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ml.chartshapes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urray\Desktop\"/>
    </mc:Choice>
  </mc:AlternateContent>
  <bookViews>
    <workbookView xWindow="0" yWindow="0" windowWidth="23040" windowHeight="9396" firstSheet="6" activeTab="8"/>
  </bookViews>
  <sheets>
    <sheet name="Fuel Cost Risk Sim" sheetId="2" r:id="rId1"/>
    <sheet name="Output data" sheetId="11" r:id="rId2"/>
    <sheet name="Output charts" sheetId="12" r:id="rId3"/>
    <sheet name="_@RISKFitInformation" sheetId="4" state="hidden" r:id="rId4"/>
    <sheet name="DBEDT-HEI-BBG Fuel Jan'00-pres" sheetId="6" r:id="rId5"/>
    <sheet name="DBEDT avg oil prices '06-'14" sheetId="3" r:id="rId6"/>
    <sheet name="Sheet1" sheetId="14" r:id="rId7"/>
    <sheet name="DBEDT avg oil prices '00 - '05" sheetId="5" r:id="rId8"/>
    <sheet name="DBEDT monthly energy '06-'15" sheetId="13" r:id="rId9"/>
    <sheet name="EIA - 2000 AEO" sheetId="8" r:id="rId10"/>
    <sheet name="EIA - 2015 AEO" sheetId="10" r:id="rId11"/>
    <sheet name="Inputs" sheetId="9" r:id="rId12"/>
  </sheets>
  <definedNames>
    <definedName name="_AtRisk_FitDataRange_FIT_1A141_DE5CA" hidden="1">'DBEDT-HEI-BBG Fuel Jan''00-pres'!$C$4:$C$153</definedName>
    <definedName name="_AtRisk_FitDataRange_FIT_1E675_2524C" hidden="1">'DBEDT-HEI-BBG Fuel Jan''00-pres'!$L$4:$L$191</definedName>
    <definedName name="_AtRisk_FitDataRange_FIT_240C5_ECF65" hidden="1">'DBEDT-HEI-BBG Fuel Jan''00-pres'!$R$4:$R$191</definedName>
    <definedName name="_AtRisk_FitDataRange_FIT_32242_5F287" hidden="1">'DBEDT avg oil prices ''06-''14'!$C$4:$C$77</definedName>
    <definedName name="_AtRisk_FitDataRange_FIT_86EB9_555D4" hidden="1">'DBEDT-HEI-BBG Fuel Jan''00-pres'!$C$4:$C$153</definedName>
    <definedName name="_AtRisk_FitDataRange_FIT_AEA11_3D33B" hidden="1">'DBEDT-HEI-BBG Fuel Jan''00-pres'!$B$3:$B$153</definedName>
    <definedName name="_AtRisk_FitDataRange_FIT_B5FC0_5AC8A" hidden="1">'DBEDT-HEI-BBG Fuel Jan''00-pres'!$O$4:$O$191</definedName>
    <definedName name="_AtRisk_FitDataRange_FIT_B6663_EE1AA" hidden="1">'DBEDT-HEI-BBG Fuel Jan''00-pres'!$C$4:$C$166</definedName>
    <definedName name="_AtRisk_FitDataRange_FIT_C4D1F_B0702" hidden="1">'DBEDT-HEI-BBG Fuel Jan''00-pres'!$C$4:$C$153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FALSE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NewMatrix1">'DBEDT-HEI-BBG Fuel Jan''00-pres'!$W$10:$X$11</definedName>
    <definedName name="NewMatrix2">'DBEDT-HEI-BBG Fuel Jan''00-pres'!$W$20:$Y$22</definedName>
    <definedName name="Pal_Workbook_GUID" hidden="1">"CP7XG7VZUH6CWSXTAJS48B5F"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TRUE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52511" concurrentCalc="0"/>
</workbook>
</file>

<file path=xl/calcChain.xml><?xml version="1.0" encoding="utf-8"?>
<calcChain xmlns="http://schemas.openxmlformats.org/spreadsheetml/2006/main">
  <c r="C11" i="4" l="1"/>
  <c r="C12" i="4"/>
  <c r="C13" i="4"/>
  <c r="C14" i="4"/>
  <c r="C15" i="4"/>
  <c r="C16" i="4"/>
  <c r="C17" i="4"/>
  <c r="C18" i="4"/>
  <c r="C19" i="4"/>
  <c r="V2" i="6"/>
  <c r="V3" i="6"/>
  <c r="V4" i="6"/>
  <c r="F83" i="2"/>
  <c r="F86" i="2"/>
  <c r="F110" i="2"/>
  <c r="F84" i="2"/>
  <c r="F88" i="2"/>
  <c r="F89" i="2"/>
  <c r="F111" i="2"/>
  <c r="F118" i="2"/>
  <c r="F119" i="2"/>
  <c r="F141" i="2"/>
  <c r="F245" i="2"/>
  <c r="F107" i="2"/>
  <c r="F108" i="2"/>
  <c r="F114" i="2"/>
  <c r="F115" i="2"/>
  <c r="F139" i="2"/>
  <c r="F244" i="2"/>
  <c r="F246" i="2"/>
  <c r="G83" i="2"/>
  <c r="G86" i="2"/>
  <c r="G110" i="2"/>
  <c r="G84" i="2"/>
  <c r="G88" i="2"/>
  <c r="G89" i="2"/>
  <c r="G111" i="2"/>
  <c r="G118" i="2"/>
  <c r="G119" i="2"/>
  <c r="G141" i="2"/>
  <c r="G245" i="2"/>
  <c r="G107" i="2"/>
  <c r="G108" i="2"/>
  <c r="G114" i="2"/>
  <c r="G115" i="2"/>
  <c r="G139" i="2"/>
  <c r="G244" i="2"/>
  <c r="G246" i="2"/>
  <c r="H83" i="2"/>
  <c r="H86" i="2"/>
  <c r="H110" i="2"/>
  <c r="H84" i="2"/>
  <c r="H88" i="2"/>
  <c r="H89" i="2"/>
  <c r="H111" i="2"/>
  <c r="H118" i="2"/>
  <c r="H119" i="2"/>
  <c r="H141" i="2"/>
  <c r="H245" i="2"/>
  <c r="H107" i="2"/>
  <c r="H108" i="2"/>
  <c r="H114" i="2"/>
  <c r="H115" i="2"/>
  <c r="H139" i="2"/>
  <c r="H244" i="2"/>
  <c r="H246" i="2"/>
  <c r="I83" i="2"/>
  <c r="I86" i="2"/>
  <c r="I110" i="2"/>
  <c r="I84" i="2"/>
  <c r="I88" i="2"/>
  <c r="I89" i="2"/>
  <c r="I111" i="2"/>
  <c r="I118" i="2"/>
  <c r="I119" i="2"/>
  <c r="I141" i="2"/>
  <c r="I245" i="2"/>
  <c r="I107" i="2"/>
  <c r="I108" i="2"/>
  <c r="I114" i="2"/>
  <c r="I115" i="2"/>
  <c r="I139" i="2"/>
  <c r="I244" i="2"/>
  <c r="I246" i="2"/>
  <c r="J83" i="2"/>
  <c r="J86" i="2"/>
  <c r="J110" i="2"/>
  <c r="J84" i="2"/>
  <c r="J88" i="2"/>
  <c r="J89" i="2"/>
  <c r="J111" i="2"/>
  <c r="J118" i="2"/>
  <c r="J119" i="2"/>
  <c r="J141" i="2"/>
  <c r="J245" i="2"/>
  <c r="J107" i="2"/>
  <c r="J108" i="2"/>
  <c r="J114" i="2"/>
  <c r="J115" i="2"/>
  <c r="J139" i="2"/>
  <c r="J244" i="2"/>
  <c r="J246" i="2"/>
  <c r="K83" i="2"/>
  <c r="K86" i="2"/>
  <c r="K110" i="2"/>
  <c r="K84" i="2"/>
  <c r="K88" i="2"/>
  <c r="K89" i="2"/>
  <c r="K111" i="2"/>
  <c r="K118" i="2"/>
  <c r="K119" i="2"/>
  <c r="K141" i="2"/>
  <c r="K245" i="2"/>
  <c r="K107" i="2"/>
  <c r="K108" i="2"/>
  <c r="K114" i="2"/>
  <c r="K115" i="2"/>
  <c r="K139" i="2"/>
  <c r="K244" i="2"/>
  <c r="K246" i="2"/>
  <c r="L83" i="2"/>
  <c r="L86" i="2"/>
  <c r="L110" i="2"/>
  <c r="L84" i="2"/>
  <c r="L88" i="2"/>
  <c r="L89" i="2"/>
  <c r="L111" i="2"/>
  <c r="L118" i="2"/>
  <c r="L119" i="2"/>
  <c r="L141" i="2"/>
  <c r="L245" i="2"/>
  <c r="L107" i="2"/>
  <c r="L108" i="2"/>
  <c r="L114" i="2"/>
  <c r="L115" i="2"/>
  <c r="L139" i="2"/>
  <c r="L244" i="2"/>
  <c r="L246" i="2"/>
  <c r="M83" i="2"/>
  <c r="M86" i="2"/>
  <c r="M110" i="2"/>
  <c r="M84" i="2"/>
  <c r="M88" i="2"/>
  <c r="M89" i="2"/>
  <c r="M111" i="2"/>
  <c r="M118" i="2"/>
  <c r="M119" i="2"/>
  <c r="M141" i="2"/>
  <c r="M245" i="2"/>
  <c r="M107" i="2"/>
  <c r="M108" i="2"/>
  <c r="M114" i="2"/>
  <c r="M115" i="2"/>
  <c r="M139" i="2"/>
  <c r="M244" i="2"/>
  <c r="M246" i="2"/>
  <c r="N83" i="2"/>
  <c r="N86" i="2"/>
  <c r="N110" i="2"/>
  <c r="N84" i="2"/>
  <c r="N88" i="2"/>
  <c r="N89" i="2"/>
  <c r="N111" i="2"/>
  <c r="N118" i="2"/>
  <c r="N119" i="2"/>
  <c r="N141" i="2"/>
  <c r="N245" i="2"/>
  <c r="N107" i="2"/>
  <c r="N108" i="2"/>
  <c r="N114" i="2"/>
  <c r="N115" i="2"/>
  <c r="N139" i="2"/>
  <c r="N244" i="2"/>
  <c r="N246" i="2"/>
  <c r="O83" i="2"/>
  <c r="O86" i="2"/>
  <c r="O110" i="2"/>
  <c r="O84" i="2"/>
  <c r="O88" i="2"/>
  <c r="O89" i="2"/>
  <c r="O111" i="2"/>
  <c r="O118" i="2"/>
  <c r="O119" i="2"/>
  <c r="O141" i="2"/>
  <c r="O245" i="2"/>
  <c r="O107" i="2"/>
  <c r="O108" i="2"/>
  <c r="O114" i="2"/>
  <c r="O115" i="2"/>
  <c r="O139" i="2"/>
  <c r="O244" i="2"/>
  <c r="O246" i="2"/>
  <c r="P83" i="2"/>
  <c r="P86" i="2"/>
  <c r="P110" i="2"/>
  <c r="P84" i="2"/>
  <c r="P88" i="2"/>
  <c r="P89" i="2"/>
  <c r="P111" i="2"/>
  <c r="P118" i="2"/>
  <c r="P119" i="2"/>
  <c r="P141" i="2"/>
  <c r="P245" i="2"/>
  <c r="P107" i="2"/>
  <c r="P108" i="2"/>
  <c r="P114" i="2"/>
  <c r="P115" i="2"/>
  <c r="P139" i="2"/>
  <c r="P244" i="2"/>
  <c r="P246" i="2"/>
  <c r="Q83" i="2"/>
  <c r="Q86" i="2"/>
  <c r="Q110" i="2"/>
  <c r="Q84" i="2"/>
  <c r="Q88" i="2"/>
  <c r="Q89" i="2"/>
  <c r="Q111" i="2"/>
  <c r="Q118" i="2"/>
  <c r="Q119" i="2"/>
  <c r="Q141" i="2"/>
  <c r="Q245" i="2"/>
  <c r="Q107" i="2"/>
  <c r="Q108" i="2"/>
  <c r="Q114" i="2"/>
  <c r="Q115" i="2"/>
  <c r="Q139" i="2"/>
  <c r="Q244" i="2"/>
  <c r="Q246" i="2"/>
  <c r="R83" i="2"/>
  <c r="R86" i="2"/>
  <c r="R110" i="2"/>
  <c r="R84" i="2"/>
  <c r="R88" i="2"/>
  <c r="R89" i="2"/>
  <c r="R111" i="2"/>
  <c r="R118" i="2"/>
  <c r="R119" i="2"/>
  <c r="R141" i="2"/>
  <c r="R245" i="2"/>
  <c r="R107" i="2"/>
  <c r="R108" i="2"/>
  <c r="R114" i="2"/>
  <c r="R115" i="2"/>
  <c r="R139" i="2"/>
  <c r="R244" i="2"/>
  <c r="R246" i="2"/>
  <c r="S83" i="2"/>
  <c r="S86" i="2"/>
  <c r="S110" i="2"/>
  <c r="S84" i="2"/>
  <c r="S88" i="2"/>
  <c r="S89" i="2"/>
  <c r="S111" i="2"/>
  <c r="S118" i="2"/>
  <c r="S119" i="2"/>
  <c r="S141" i="2"/>
  <c r="S245" i="2"/>
  <c r="S107" i="2"/>
  <c r="S108" i="2"/>
  <c r="S114" i="2"/>
  <c r="S115" i="2"/>
  <c r="S139" i="2"/>
  <c r="S244" i="2"/>
  <c r="S246" i="2"/>
  <c r="T83" i="2"/>
  <c r="T86" i="2"/>
  <c r="T110" i="2"/>
  <c r="T84" i="2"/>
  <c r="T88" i="2"/>
  <c r="T89" i="2"/>
  <c r="T111" i="2"/>
  <c r="T118" i="2"/>
  <c r="T119" i="2"/>
  <c r="T141" i="2"/>
  <c r="T245" i="2"/>
  <c r="T107" i="2"/>
  <c r="T108" i="2"/>
  <c r="T114" i="2"/>
  <c r="T115" i="2"/>
  <c r="T139" i="2"/>
  <c r="T244" i="2"/>
  <c r="T246" i="2"/>
  <c r="U83" i="2"/>
  <c r="U86" i="2"/>
  <c r="U110" i="2"/>
  <c r="U84" i="2"/>
  <c r="U88" i="2"/>
  <c r="U89" i="2"/>
  <c r="U111" i="2"/>
  <c r="U118" i="2"/>
  <c r="U119" i="2"/>
  <c r="U141" i="2"/>
  <c r="U245" i="2"/>
  <c r="U107" i="2"/>
  <c r="U108" i="2"/>
  <c r="U114" i="2"/>
  <c r="U115" i="2"/>
  <c r="U139" i="2"/>
  <c r="U244" i="2"/>
  <c r="U246" i="2"/>
  <c r="V83" i="2"/>
  <c r="V86" i="2"/>
  <c r="V110" i="2"/>
  <c r="V84" i="2"/>
  <c r="V88" i="2"/>
  <c r="V89" i="2"/>
  <c r="V111" i="2"/>
  <c r="V118" i="2"/>
  <c r="V119" i="2"/>
  <c r="V141" i="2"/>
  <c r="V245" i="2"/>
  <c r="V107" i="2"/>
  <c r="V108" i="2"/>
  <c r="V114" i="2"/>
  <c r="V115" i="2"/>
  <c r="V139" i="2"/>
  <c r="V244" i="2"/>
  <c r="V246" i="2"/>
  <c r="W83" i="2"/>
  <c r="W86" i="2"/>
  <c r="W110" i="2"/>
  <c r="W84" i="2"/>
  <c r="W88" i="2"/>
  <c r="W89" i="2"/>
  <c r="W111" i="2"/>
  <c r="W118" i="2"/>
  <c r="W119" i="2"/>
  <c r="W141" i="2"/>
  <c r="W245" i="2"/>
  <c r="W107" i="2"/>
  <c r="W108" i="2"/>
  <c r="W114" i="2"/>
  <c r="W115" i="2"/>
  <c r="W139" i="2"/>
  <c r="W244" i="2"/>
  <c r="W246" i="2"/>
  <c r="X83" i="2"/>
  <c r="X86" i="2"/>
  <c r="X110" i="2"/>
  <c r="X84" i="2"/>
  <c r="X88" i="2"/>
  <c r="X89" i="2"/>
  <c r="X111" i="2"/>
  <c r="X118" i="2"/>
  <c r="X119" i="2"/>
  <c r="X141" i="2"/>
  <c r="X245" i="2"/>
  <c r="X107" i="2"/>
  <c r="X108" i="2"/>
  <c r="X114" i="2"/>
  <c r="X115" i="2"/>
  <c r="X139" i="2"/>
  <c r="X244" i="2"/>
  <c r="X246" i="2"/>
  <c r="Y83" i="2"/>
  <c r="Y86" i="2"/>
  <c r="Y110" i="2"/>
  <c r="Y84" i="2"/>
  <c r="Y88" i="2"/>
  <c r="Y89" i="2"/>
  <c r="Y111" i="2"/>
  <c r="Y118" i="2"/>
  <c r="Y119" i="2"/>
  <c r="Y141" i="2"/>
  <c r="Y245" i="2"/>
  <c r="Y107" i="2"/>
  <c r="Y108" i="2"/>
  <c r="Y114" i="2"/>
  <c r="Y115" i="2"/>
  <c r="Y139" i="2"/>
  <c r="Y244" i="2"/>
  <c r="Y246" i="2"/>
  <c r="Z83" i="2"/>
  <c r="Z86" i="2"/>
  <c r="Z110" i="2"/>
  <c r="Z84" i="2"/>
  <c r="Z88" i="2"/>
  <c r="Z89" i="2"/>
  <c r="Z111" i="2"/>
  <c r="Z118" i="2"/>
  <c r="Z119" i="2"/>
  <c r="Z141" i="2"/>
  <c r="Z245" i="2"/>
  <c r="Z107" i="2"/>
  <c r="Z108" i="2"/>
  <c r="Z114" i="2"/>
  <c r="Z115" i="2"/>
  <c r="Z139" i="2"/>
  <c r="Z244" i="2"/>
  <c r="Z246" i="2"/>
  <c r="AA83" i="2"/>
  <c r="AA86" i="2"/>
  <c r="AA110" i="2"/>
  <c r="AA84" i="2"/>
  <c r="AA88" i="2"/>
  <c r="AA89" i="2"/>
  <c r="AA111" i="2"/>
  <c r="AA118" i="2"/>
  <c r="AA119" i="2"/>
  <c r="AA141" i="2"/>
  <c r="AA245" i="2"/>
  <c r="AA107" i="2"/>
  <c r="AA108" i="2"/>
  <c r="AA114" i="2"/>
  <c r="AA115" i="2"/>
  <c r="AA139" i="2"/>
  <c r="AA244" i="2"/>
  <c r="AA246" i="2"/>
  <c r="AB83" i="2"/>
  <c r="AB86" i="2"/>
  <c r="AB110" i="2"/>
  <c r="AB84" i="2"/>
  <c r="AB88" i="2"/>
  <c r="AB89" i="2"/>
  <c r="AB111" i="2"/>
  <c r="AB118" i="2"/>
  <c r="AB119" i="2"/>
  <c r="AB141" i="2"/>
  <c r="AB245" i="2"/>
  <c r="AB107" i="2"/>
  <c r="AB108" i="2"/>
  <c r="AB114" i="2"/>
  <c r="AB115" i="2"/>
  <c r="AB139" i="2"/>
  <c r="AB244" i="2"/>
  <c r="AB246" i="2"/>
  <c r="AC83" i="2"/>
  <c r="AC86" i="2"/>
  <c r="AC110" i="2"/>
  <c r="AC84" i="2"/>
  <c r="AC88" i="2"/>
  <c r="AC89" i="2"/>
  <c r="AC111" i="2"/>
  <c r="AC118" i="2"/>
  <c r="AC119" i="2"/>
  <c r="AC141" i="2"/>
  <c r="AC245" i="2"/>
  <c r="AC107" i="2"/>
  <c r="AC108" i="2"/>
  <c r="AC114" i="2"/>
  <c r="AC115" i="2"/>
  <c r="AC139" i="2"/>
  <c r="AC244" i="2"/>
  <c r="AC246" i="2"/>
  <c r="AD83" i="2"/>
  <c r="AD86" i="2"/>
  <c r="AD110" i="2"/>
  <c r="AD84" i="2"/>
  <c r="AD88" i="2"/>
  <c r="AD89" i="2"/>
  <c r="AD111" i="2"/>
  <c r="AD118" i="2"/>
  <c r="AD119" i="2"/>
  <c r="AD141" i="2"/>
  <c r="AD245" i="2"/>
  <c r="AD107" i="2"/>
  <c r="AD108" i="2"/>
  <c r="AD114" i="2"/>
  <c r="AD115" i="2"/>
  <c r="AD139" i="2"/>
  <c r="AD244" i="2"/>
  <c r="AD246" i="2"/>
  <c r="AE83" i="2"/>
  <c r="AE86" i="2"/>
  <c r="AE110" i="2"/>
  <c r="AE84" i="2"/>
  <c r="AE88" i="2"/>
  <c r="AE89" i="2"/>
  <c r="AE111" i="2"/>
  <c r="AE118" i="2"/>
  <c r="AE119" i="2"/>
  <c r="AE141" i="2"/>
  <c r="AE245" i="2"/>
  <c r="AE107" i="2"/>
  <c r="AE108" i="2"/>
  <c r="AE114" i="2"/>
  <c r="AE115" i="2"/>
  <c r="AE139" i="2"/>
  <c r="AE244" i="2"/>
  <c r="AE246" i="2"/>
  <c r="AF83" i="2"/>
  <c r="AF86" i="2"/>
  <c r="AF110" i="2"/>
  <c r="AF84" i="2"/>
  <c r="AF88" i="2"/>
  <c r="AF89" i="2"/>
  <c r="AF111" i="2"/>
  <c r="AF118" i="2"/>
  <c r="AF119" i="2"/>
  <c r="AF141" i="2"/>
  <c r="AF245" i="2"/>
  <c r="AF107" i="2"/>
  <c r="AF108" i="2"/>
  <c r="AF114" i="2"/>
  <c r="AF115" i="2"/>
  <c r="AF139" i="2"/>
  <c r="AF244" i="2"/>
  <c r="AF246" i="2"/>
  <c r="AG83" i="2"/>
  <c r="AG86" i="2"/>
  <c r="AG110" i="2"/>
  <c r="AG84" i="2"/>
  <c r="AG88" i="2"/>
  <c r="AG89" i="2"/>
  <c r="AG111" i="2"/>
  <c r="AG118" i="2"/>
  <c r="AG119" i="2"/>
  <c r="AG141" i="2"/>
  <c r="AG245" i="2"/>
  <c r="AG107" i="2"/>
  <c r="AG108" i="2"/>
  <c r="AG114" i="2"/>
  <c r="AG115" i="2"/>
  <c r="AG139" i="2"/>
  <c r="AG244" i="2"/>
  <c r="AG246" i="2"/>
  <c r="AH83" i="2"/>
  <c r="AH86" i="2"/>
  <c r="AH110" i="2"/>
  <c r="AH84" i="2"/>
  <c r="AH88" i="2"/>
  <c r="AH89" i="2"/>
  <c r="AH111" i="2"/>
  <c r="AH118" i="2"/>
  <c r="AH119" i="2"/>
  <c r="AH141" i="2"/>
  <c r="AH245" i="2"/>
  <c r="AH107" i="2"/>
  <c r="AH108" i="2"/>
  <c r="AH114" i="2"/>
  <c r="AH115" i="2"/>
  <c r="AH139" i="2"/>
  <c r="AH244" i="2"/>
  <c r="AH246" i="2"/>
  <c r="AI83" i="2"/>
  <c r="AI86" i="2"/>
  <c r="AI110" i="2"/>
  <c r="AI84" i="2"/>
  <c r="AI88" i="2"/>
  <c r="AI89" i="2"/>
  <c r="AI111" i="2"/>
  <c r="AI118" i="2"/>
  <c r="AI119" i="2"/>
  <c r="AI141" i="2"/>
  <c r="AI245" i="2"/>
  <c r="AI107" i="2"/>
  <c r="AI108" i="2"/>
  <c r="AI114" i="2"/>
  <c r="AI115" i="2"/>
  <c r="AI139" i="2"/>
  <c r="AI244" i="2"/>
  <c r="AI246" i="2"/>
  <c r="AJ83" i="2"/>
  <c r="AJ86" i="2"/>
  <c r="AJ110" i="2"/>
  <c r="AJ84" i="2"/>
  <c r="AJ88" i="2"/>
  <c r="AJ89" i="2"/>
  <c r="AJ111" i="2"/>
  <c r="AJ118" i="2"/>
  <c r="AJ119" i="2"/>
  <c r="AJ141" i="2"/>
  <c r="AJ245" i="2"/>
  <c r="AJ107" i="2"/>
  <c r="AJ108" i="2"/>
  <c r="AJ114" i="2"/>
  <c r="AJ115" i="2"/>
  <c r="AJ139" i="2"/>
  <c r="AJ244" i="2"/>
  <c r="AJ246" i="2"/>
  <c r="AK83" i="2"/>
  <c r="AK86" i="2"/>
  <c r="AK110" i="2"/>
  <c r="AK84" i="2"/>
  <c r="AK88" i="2"/>
  <c r="AK89" i="2"/>
  <c r="AK111" i="2"/>
  <c r="AK118" i="2"/>
  <c r="AK119" i="2"/>
  <c r="AK141" i="2"/>
  <c r="AK245" i="2"/>
  <c r="AK107" i="2"/>
  <c r="AK108" i="2"/>
  <c r="AK114" i="2"/>
  <c r="AK115" i="2"/>
  <c r="AK139" i="2"/>
  <c r="AK244" i="2"/>
  <c r="AK246" i="2"/>
  <c r="AL83" i="2"/>
  <c r="AL86" i="2"/>
  <c r="AL110" i="2"/>
  <c r="AL84" i="2"/>
  <c r="AL88" i="2"/>
  <c r="AL89" i="2"/>
  <c r="AL111" i="2"/>
  <c r="AL118" i="2"/>
  <c r="AL119" i="2"/>
  <c r="AL141" i="2"/>
  <c r="AL245" i="2"/>
  <c r="AL107" i="2"/>
  <c r="AL108" i="2"/>
  <c r="AL114" i="2"/>
  <c r="AL115" i="2"/>
  <c r="AL139" i="2"/>
  <c r="AL244" i="2"/>
  <c r="AL246" i="2"/>
  <c r="AM83" i="2"/>
  <c r="AM86" i="2"/>
  <c r="AM110" i="2"/>
  <c r="AM84" i="2"/>
  <c r="AM88" i="2"/>
  <c r="AM89" i="2"/>
  <c r="AM111" i="2"/>
  <c r="AM118" i="2"/>
  <c r="AM119" i="2"/>
  <c r="AM141" i="2"/>
  <c r="AM245" i="2"/>
  <c r="AM107" i="2"/>
  <c r="AM108" i="2"/>
  <c r="AM114" i="2"/>
  <c r="AM115" i="2"/>
  <c r="AM139" i="2"/>
  <c r="AM244" i="2"/>
  <c r="AM246" i="2"/>
  <c r="AN83" i="2"/>
  <c r="AN86" i="2"/>
  <c r="AN110" i="2"/>
  <c r="AN84" i="2"/>
  <c r="AN88" i="2"/>
  <c r="AN89" i="2"/>
  <c r="AN111" i="2"/>
  <c r="AN118" i="2"/>
  <c r="AN119" i="2"/>
  <c r="AN141" i="2"/>
  <c r="AN245" i="2"/>
  <c r="AN107" i="2"/>
  <c r="AN108" i="2"/>
  <c r="AN114" i="2"/>
  <c r="AN115" i="2"/>
  <c r="AN139" i="2"/>
  <c r="AN244" i="2"/>
  <c r="AN246" i="2"/>
  <c r="AO83" i="2"/>
  <c r="AO86" i="2"/>
  <c r="AO110" i="2"/>
  <c r="AO84" i="2"/>
  <c r="AO88" i="2"/>
  <c r="AO89" i="2"/>
  <c r="AO111" i="2"/>
  <c r="AO118" i="2"/>
  <c r="AO119" i="2"/>
  <c r="AO141" i="2"/>
  <c r="AO245" i="2"/>
  <c r="AO107" i="2"/>
  <c r="AO108" i="2"/>
  <c r="AO114" i="2"/>
  <c r="AO115" i="2"/>
  <c r="AO139" i="2"/>
  <c r="AO244" i="2"/>
  <c r="AO246" i="2"/>
  <c r="AP83" i="2"/>
  <c r="AP86" i="2"/>
  <c r="AP110" i="2"/>
  <c r="AP84" i="2"/>
  <c r="AP88" i="2"/>
  <c r="AP89" i="2"/>
  <c r="AP111" i="2"/>
  <c r="AP118" i="2"/>
  <c r="AP119" i="2"/>
  <c r="AP141" i="2"/>
  <c r="AP245" i="2"/>
  <c r="AP107" i="2"/>
  <c r="AP108" i="2"/>
  <c r="AP114" i="2"/>
  <c r="AP115" i="2"/>
  <c r="AP139" i="2"/>
  <c r="AP244" i="2"/>
  <c r="AP246" i="2"/>
  <c r="AQ83" i="2"/>
  <c r="AQ86" i="2"/>
  <c r="AQ110" i="2"/>
  <c r="AQ84" i="2"/>
  <c r="AQ88" i="2"/>
  <c r="AQ89" i="2"/>
  <c r="AQ111" i="2"/>
  <c r="AQ118" i="2"/>
  <c r="AQ119" i="2"/>
  <c r="AQ141" i="2"/>
  <c r="AQ245" i="2"/>
  <c r="AQ107" i="2"/>
  <c r="AQ108" i="2"/>
  <c r="AQ114" i="2"/>
  <c r="AQ115" i="2"/>
  <c r="AQ139" i="2"/>
  <c r="AQ244" i="2"/>
  <c r="AQ246" i="2"/>
  <c r="AR83" i="2"/>
  <c r="AR86" i="2"/>
  <c r="AR110" i="2"/>
  <c r="AR84" i="2"/>
  <c r="AR88" i="2"/>
  <c r="AR89" i="2"/>
  <c r="AR111" i="2"/>
  <c r="AR118" i="2"/>
  <c r="AR119" i="2"/>
  <c r="AR141" i="2"/>
  <c r="AR245" i="2"/>
  <c r="AR107" i="2"/>
  <c r="AR108" i="2"/>
  <c r="AR114" i="2"/>
  <c r="AR115" i="2"/>
  <c r="AR139" i="2"/>
  <c r="AR244" i="2"/>
  <c r="AR246" i="2"/>
  <c r="AS83" i="2"/>
  <c r="AS86" i="2"/>
  <c r="AS110" i="2"/>
  <c r="AS84" i="2"/>
  <c r="AS88" i="2"/>
  <c r="AS89" i="2"/>
  <c r="AS111" i="2"/>
  <c r="AS118" i="2"/>
  <c r="AS119" i="2"/>
  <c r="AS141" i="2"/>
  <c r="AS245" i="2"/>
  <c r="AS107" i="2"/>
  <c r="AS108" i="2"/>
  <c r="AS114" i="2"/>
  <c r="AS115" i="2"/>
  <c r="AS139" i="2"/>
  <c r="AS244" i="2"/>
  <c r="AS246" i="2"/>
  <c r="AT83" i="2"/>
  <c r="AT86" i="2"/>
  <c r="AT110" i="2"/>
  <c r="AT84" i="2"/>
  <c r="AT88" i="2"/>
  <c r="AT89" i="2"/>
  <c r="AT111" i="2"/>
  <c r="AT118" i="2"/>
  <c r="AT119" i="2"/>
  <c r="AT141" i="2"/>
  <c r="AT245" i="2"/>
  <c r="AT107" i="2"/>
  <c r="AT108" i="2"/>
  <c r="AT114" i="2"/>
  <c r="AT115" i="2"/>
  <c r="AT139" i="2"/>
  <c r="AT244" i="2"/>
  <c r="AT246" i="2"/>
  <c r="AU83" i="2"/>
  <c r="AU86" i="2"/>
  <c r="AU110" i="2"/>
  <c r="AU84" i="2"/>
  <c r="AU88" i="2"/>
  <c r="AU89" i="2"/>
  <c r="AU111" i="2"/>
  <c r="AU118" i="2"/>
  <c r="AU119" i="2"/>
  <c r="AU141" i="2"/>
  <c r="AU245" i="2"/>
  <c r="AU107" i="2"/>
  <c r="AU108" i="2"/>
  <c r="AU114" i="2"/>
  <c r="AU115" i="2"/>
  <c r="AU139" i="2"/>
  <c r="AU244" i="2"/>
  <c r="AU246" i="2"/>
  <c r="AV83" i="2"/>
  <c r="AV86" i="2"/>
  <c r="AV110" i="2"/>
  <c r="AV84" i="2"/>
  <c r="AV88" i="2"/>
  <c r="AV89" i="2"/>
  <c r="AV111" i="2"/>
  <c r="AV118" i="2"/>
  <c r="AV119" i="2"/>
  <c r="AV141" i="2"/>
  <c r="AV245" i="2"/>
  <c r="AV107" i="2"/>
  <c r="AV108" i="2"/>
  <c r="AV114" i="2"/>
  <c r="AV115" i="2"/>
  <c r="AV139" i="2"/>
  <c r="AV244" i="2"/>
  <c r="AV246" i="2"/>
  <c r="AW83" i="2"/>
  <c r="AW86" i="2"/>
  <c r="AW110" i="2"/>
  <c r="AW84" i="2"/>
  <c r="AW88" i="2"/>
  <c r="AW89" i="2"/>
  <c r="AW111" i="2"/>
  <c r="AW118" i="2"/>
  <c r="AW119" i="2"/>
  <c r="AW141" i="2"/>
  <c r="AW245" i="2"/>
  <c r="AW107" i="2"/>
  <c r="AW108" i="2"/>
  <c r="AW114" i="2"/>
  <c r="AW115" i="2"/>
  <c r="AW139" i="2"/>
  <c r="AW244" i="2"/>
  <c r="AW246" i="2"/>
  <c r="AX83" i="2"/>
  <c r="AX86" i="2"/>
  <c r="AX110" i="2"/>
  <c r="AX84" i="2"/>
  <c r="AX88" i="2"/>
  <c r="AX89" i="2"/>
  <c r="AX111" i="2"/>
  <c r="AX118" i="2"/>
  <c r="AX119" i="2"/>
  <c r="AX141" i="2"/>
  <c r="AX245" i="2"/>
  <c r="AX107" i="2"/>
  <c r="AX108" i="2"/>
  <c r="AX114" i="2"/>
  <c r="AX115" i="2"/>
  <c r="AX139" i="2"/>
  <c r="AX244" i="2"/>
  <c r="AX246" i="2"/>
  <c r="AY83" i="2"/>
  <c r="AY86" i="2"/>
  <c r="AY110" i="2"/>
  <c r="AY84" i="2"/>
  <c r="AY88" i="2"/>
  <c r="AY89" i="2"/>
  <c r="AY111" i="2"/>
  <c r="AY118" i="2"/>
  <c r="AY119" i="2"/>
  <c r="AY141" i="2"/>
  <c r="AY245" i="2"/>
  <c r="AY107" i="2"/>
  <c r="AY108" i="2"/>
  <c r="AY114" i="2"/>
  <c r="AY115" i="2"/>
  <c r="AY139" i="2"/>
  <c r="AY244" i="2"/>
  <c r="AY246" i="2"/>
  <c r="AZ83" i="2"/>
  <c r="AZ86" i="2"/>
  <c r="AZ110" i="2"/>
  <c r="AZ84" i="2"/>
  <c r="AZ88" i="2"/>
  <c r="AZ89" i="2"/>
  <c r="AZ111" i="2"/>
  <c r="AZ118" i="2"/>
  <c r="AZ119" i="2"/>
  <c r="AZ141" i="2"/>
  <c r="AZ245" i="2"/>
  <c r="AZ107" i="2"/>
  <c r="AZ108" i="2"/>
  <c r="AZ114" i="2"/>
  <c r="AZ115" i="2"/>
  <c r="AZ139" i="2"/>
  <c r="AZ244" i="2"/>
  <c r="AZ246" i="2"/>
  <c r="BA83" i="2"/>
  <c r="BA86" i="2"/>
  <c r="BA110" i="2"/>
  <c r="BA84" i="2"/>
  <c r="BA88" i="2"/>
  <c r="BA89" i="2"/>
  <c r="BA111" i="2"/>
  <c r="BA118" i="2"/>
  <c r="BA119" i="2"/>
  <c r="BA141" i="2"/>
  <c r="BA245" i="2"/>
  <c r="BA107" i="2"/>
  <c r="BA108" i="2"/>
  <c r="BA114" i="2"/>
  <c r="BA115" i="2"/>
  <c r="BA139" i="2"/>
  <c r="BA244" i="2"/>
  <c r="BA246" i="2"/>
  <c r="BB83" i="2"/>
  <c r="BB86" i="2"/>
  <c r="BB110" i="2"/>
  <c r="BB84" i="2"/>
  <c r="BB88" i="2"/>
  <c r="BB89" i="2"/>
  <c r="BB111" i="2"/>
  <c r="BB118" i="2"/>
  <c r="BB119" i="2"/>
  <c r="BB141" i="2"/>
  <c r="BB245" i="2"/>
  <c r="BB107" i="2"/>
  <c r="BB108" i="2"/>
  <c r="BB114" i="2"/>
  <c r="BB115" i="2"/>
  <c r="BB139" i="2"/>
  <c r="BB244" i="2"/>
  <c r="BB246" i="2"/>
  <c r="BC83" i="2"/>
  <c r="BC86" i="2"/>
  <c r="BC110" i="2"/>
  <c r="BC84" i="2"/>
  <c r="BC88" i="2"/>
  <c r="BC89" i="2"/>
  <c r="BC111" i="2"/>
  <c r="BC118" i="2"/>
  <c r="BC119" i="2"/>
  <c r="BC141" i="2"/>
  <c r="BC245" i="2"/>
  <c r="BC107" i="2"/>
  <c r="BC108" i="2"/>
  <c r="BC114" i="2"/>
  <c r="BC115" i="2"/>
  <c r="BC139" i="2"/>
  <c r="BC244" i="2"/>
  <c r="BC246" i="2"/>
  <c r="BD83" i="2"/>
  <c r="BD86" i="2"/>
  <c r="BD110" i="2"/>
  <c r="BD84" i="2"/>
  <c r="BD88" i="2"/>
  <c r="BD89" i="2"/>
  <c r="BD111" i="2"/>
  <c r="BD118" i="2"/>
  <c r="BD119" i="2"/>
  <c r="BD141" i="2"/>
  <c r="BD245" i="2"/>
  <c r="BD107" i="2"/>
  <c r="BD108" i="2"/>
  <c r="BD114" i="2"/>
  <c r="BD115" i="2"/>
  <c r="BD139" i="2"/>
  <c r="BD244" i="2"/>
  <c r="BD246" i="2"/>
  <c r="BE83" i="2"/>
  <c r="BE86" i="2"/>
  <c r="BE110" i="2"/>
  <c r="BE84" i="2"/>
  <c r="BE88" i="2"/>
  <c r="BE89" i="2"/>
  <c r="BE111" i="2"/>
  <c r="BE118" i="2"/>
  <c r="BE119" i="2"/>
  <c r="BE141" i="2"/>
  <c r="BE245" i="2"/>
  <c r="BE107" i="2"/>
  <c r="BE108" i="2"/>
  <c r="BE114" i="2"/>
  <c r="BE115" i="2"/>
  <c r="BE139" i="2"/>
  <c r="BE244" i="2"/>
  <c r="BE246" i="2"/>
  <c r="BF83" i="2"/>
  <c r="BF86" i="2"/>
  <c r="BF110" i="2"/>
  <c r="BF84" i="2"/>
  <c r="BF88" i="2"/>
  <c r="BF89" i="2"/>
  <c r="BF111" i="2"/>
  <c r="BF118" i="2"/>
  <c r="BF119" i="2"/>
  <c r="BF141" i="2"/>
  <c r="BF245" i="2"/>
  <c r="BF107" i="2"/>
  <c r="BF108" i="2"/>
  <c r="BF114" i="2"/>
  <c r="BF115" i="2"/>
  <c r="BF139" i="2"/>
  <c r="BF244" i="2"/>
  <c r="BF246" i="2"/>
  <c r="BG83" i="2"/>
  <c r="BG86" i="2"/>
  <c r="BG110" i="2"/>
  <c r="BG84" i="2"/>
  <c r="BG88" i="2"/>
  <c r="BG89" i="2"/>
  <c r="BG111" i="2"/>
  <c r="BG118" i="2"/>
  <c r="BG119" i="2"/>
  <c r="BG141" i="2"/>
  <c r="BG245" i="2"/>
  <c r="BG107" i="2"/>
  <c r="BG108" i="2"/>
  <c r="BG114" i="2"/>
  <c r="BG115" i="2"/>
  <c r="BG139" i="2"/>
  <c r="BG244" i="2"/>
  <c r="BG246" i="2"/>
  <c r="BH83" i="2"/>
  <c r="BH86" i="2"/>
  <c r="BH110" i="2"/>
  <c r="BH84" i="2"/>
  <c r="BH88" i="2"/>
  <c r="BH89" i="2"/>
  <c r="BH111" i="2"/>
  <c r="BH118" i="2"/>
  <c r="BH119" i="2"/>
  <c r="BH141" i="2"/>
  <c r="BH245" i="2"/>
  <c r="BH107" i="2"/>
  <c r="BH108" i="2"/>
  <c r="BH114" i="2"/>
  <c r="BH115" i="2"/>
  <c r="BH139" i="2"/>
  <c r="BH244" i="2"/>
  <c r="BH246" i="2"/>
  <c r="BI83" i="2"/>
  <c r="BI86" i="2"/>
  <c r="BI110" i="2"/>
  <c r="BI84" i="2"/>
  <c r="BI88" i="2"/>
  <c r="BI89" i="2"/>
  <c r="BI111" i="2"/>
  <c r="BI118" i="2"/>
  <c r="BI119" i="2"/>
  <c r="BI141" i="2"/>
  <c r="BI245" i="2"/>
  <c r="BI107" i="2"/>
  <c r="BI108" i="2"/>
  <c r="BI114" i="2"/>
  <c r="BI115" i="2"/>
  <c r="BI139" i="2"/>
  <c r="BI244" i="2"/>
  <c r="BI246" i="2"/>
  <c r="BJ83" i="2"/>
  <c r="BJ86" i="2"/>
  <c r="BJ110" i="2"/>
  <c r="BJ84" i="2"/>
  <c r="BJ88" i="2"/>
  <c r="BJ89" i="2"/>
  <c r="BJ111" i="2"/>
  <c r="BJ118" i="2"/>
  <c r="BJ119" i="2"/>
  <c r="BJ141" i="2"/>
  <c r="BJ245" i="2"/>
  <c r="BJ107" i="2"/>
  <c r="BJ108" i="2"/>
  <c r="BJ114" i="2"/>
  <c r="BJ115" i="2"/>
  <c r="BJ139" i="2"/>
  <c r="BJ244" i="2"/>
  <c r="BJ246" i="2"/>
  <c r="BK83" i="2"/>
  <c r="BK86" i="2"/>
  <c r="BK110" i="2"/>
  <c r="BK84" i="2"/>
  <c r="BK88" i="2"/>
  <c r="BK89" i="2"/>
  <c r="BK111" i="2"/>
  <c r="BK118" i="2"/>
  <c r="BK119" i="2"/>
  <c r="BK141" i="2"/>
  <c r="BK245" i="2"/>
  <c r="BK107" i="2"/>
  <c r="BK108" i="2"/>
  <c r="BK114" i="2"/>
  <c r="BK115" i="2"/>
  <c r="BK139" i="2"/>
  <c r="BK244" i="2"/>
  <c r="BK246" i="2"/>
  <c r="BL83" i="2"/>
  <c r="BL86" i="2"/>
  <c r="BL110" i="2"/>
  <c r="BL84" i="2"/>
  <c r="BL88" i="2"/>
  <c r="BL89" i="2"/>
  <c r="BL111" i="2"/>
  <c r="BL118" i="2"/>
  <c r="BL119" i="2"/>
  <c r="BL141" i="2"/>
  <c r="BL245" i="2"/>
  <c r="BL107" i="2"/>
  <c r="BL108" i="2"/>
  <c r="BL114" i="2"/>
  <c r="BL115" i="2"/>
  <c r="BL139" i="2"/>
  <c r="BL244" i="2"/>
  <c r="BL246" i="2"/>
  <c r="BM83" i="2"/>
  <c r="BM86" i="2"/>
  <c r="BM110" i="2"/>
  <c r="BM84" i="2"/>
  <c r="BM88" i="2"/>
  <c r="BM89" i="2"/>
  <c r="BM111" i="2"/>
  <c r="BM118" i="2"/>
  <c r="BM119" i="2"/>
  <c r="BM141" i="2"/>
  <c r="BM245" i="2"/>
  <c r="BM107" i="2"/>
  <c r="BM108" i="2"/>
  <c r="BM114" i="2"/>
  <c r="BM115" i="2"/>
  <c r="BM139" i="2"/>
  <c r="BM244" i="2"/>
  <c r="BM246" i="2"/>
  <c r="BN83" i="2"/>
  <c r="BN86" i="2"/>
  <c r="BN110" i="2"/>
  <c r="BN84" i="2"/>
  <c r="BN88" i="2"/>
  <c r="BN89" i="2"/>
  <c r="BN111" i="2"/>
  <c r="BN118" i="2"/>
  <c r="BN119" i="2"/>
  <c r="BN141" i="2"/>
  <c r="BN245" i="2"/>
  <c r="BN107" i="2"/>
  <c r="BN108" i="2"/>
  <c r="BN114" i="2"/>
  <c r="BN115" i="2"/>
  <c r="BN139" i="2"/>
  <c r="BN244" i="2"/>
  <c r="BN246" i="2"/>
  <c r="BO83" i="2"/>
  <c r="BO86" i="2"/>
  <c r="BO110" i="2"/>
  <c r="BO84" i="2"/>
  <c r="BO88" i="2"/>
  <c r="BO89" i="2"/>
  <c r="BO111" i="2"/>
  <c r="BO118" i="2"/>
  <c r="BO119" i="2"/>
  <c r="BO141" i="2"/>
  <c r="BO245" i="2"/>
  <c r="BO107" i="2"/>
  <c r="BO108" i="2"/>
  <c r="BO114" i="2"/>
  <c r="BO115" i="2"/>
  <c r="BO139" i="2"/>
  <c r="BO244" i="2"/>
  <c r="BO246" i="2"/>
  <c r="BP83" i="2"/>
  <c r="BP86" i="2"/>
  <c r="BP110" i="2"/>
  <c r="BP84" i="2"/>
  <c r="BP88" i="2"/>
  <c r="BP89" i="2"/>
  <c r="BP111" i="2"/>
  <c r="BP118" i="2"/>
  <c r="BP119" i="2"/>
  <c r="BP141" i="2"/>
  <c r="BP245" i="2"/>
  <c r="BP107" i="2"/>
  <c r="BP108" i="2"/>
  <c r="BP114" i="2"/>
  <c r="BP115" i="2"/>
  <c r="BP139" i="2"/>
  <c r="BP244" i="2"/>
  <c r="BP246" i="2"/>
  <c r="BQ83" i="2"/>
  <c r="BQ86" i="2"/>
  <c r="BQ110" i="2"/>
  <c r="BQ84" i="2"/>
  <c r="BQ88" i="2"/>
  <c r="BQ89" i="2"/>
  <c r="BQ111" i="2"/>
  <c r="BQ118" i="2"/>
  <c r="BQ119" i="2"/>
  <c r="BQ141" i="2"/>
  <c r="BQ245" i="2"/>
  <c r="BQ107" i="2"/>
  <c r="BQ108" i="2"/>
  <c r="BQ114" i="2"/>
  <c r="BQ115" i="2"/>
  <c r="BQ139" i="2"/>
  <c r="BQ244" i="2"/>
  <c r="BQ246" i="2"/>
  <c r="BR83" i="2"/>
  <c r="BR86" i="2"/>
  <c r="BR110" i="2"/>
  <c r="BR84" i="2"/>
  <c r="BR88" i="2"/>
  <c r="BR89" i="2"/>
  <c r="BR111" i="2"/>
  <c r="BR118" i="2"/>
  <c r="BR119" i="2"/>
  <c r="BR141" i="2"/>
  <c r="BR245" i="2"/>
  <c r="BR107" i="2"/>
  <c r="BR108" i="2"/>
  <c r="BR114" i="2"/>
  <c r="BR115" i="2"/>
  <c r="BR139" i="2"/>
  <c r="BR244" i="2"/>
  <c r="BR246" i="2"/>
  <c r="BS83" i="2"/>
  <c r="BS86" i="2"/>
  <c r="BS110" i="2"/>
  <c r="BS84" i="2"/>
  <c r="BS88" i="2"/>
  <c r="BS89" i="2"/>
  <c r="BS111" i="2"/>
  <c r="BS118" i="2"/>
  <c r="BS119" i="2"/>
  <c r="BS141" i="2"/>
  <c r="BS245" i="2"/>
  <c r="BS107" i="2"/>
  <c r="BS108" i="2"/>
  <c r="BS114" i="2"/>
  <c r="BS115" i="2"/>
  <c r="BS139" i="2"/>
  <c r="BS244" i="2"/>
  <c r="BS246" i="2"/>
  <c r="BT83" i="2"/>
  <c r="BT86" i="2"/>
  <c r="BT110" i="2"/>
  <c r="BT84" i="2"/>
  <c r="BT88" i="2"/>
  <c r="BT89" i="2"/>
  <c r="BT111" i="2"/>
  <c r="BT118" i="2"/>
  <c r="BT119" i="2"/>
  <c r="BT141" i="2"/>
  <c r="BT245" i="2"/>
  <c r="BT107" i="2"/>
  <c r="BT108" i="2"/>
  <c r="BT114" i="2"/>
  <c r="BT115" i="2"/>
  <c r="BT139" i="2"/>
  <c r="BT244" i="2"/>
  <c r="BT246" i="2"/>
  <c r="BU83" i="2"/>
  <c r="BU86" i="2"/>
  <c r="BU110" i="2"/>
  <c r="BU84" i="2"/>
  <c r="BU88" i="2"/>
  <c r="BU89" i="2"/>
  <c r="BU111" i="2"/>
  <c r="BU118" i="2"/>
  <c r="BU119" i="2"/>
  <c r="BU141" i="2"/>
  <c r="BU245" i="2"/>
  <c r="BU107" i="2"/>
  <c r="BU108" i="2"/>
  <c r="BU114" i="2"/>
  <c r="BU115" i="2"/>
  <c r="BU139" i="2"/>
  <c r="BU244" i="2"/>
  <c r="BU246" i="2"/>
  <c r="BV83" i="2"/>
  <c r="BV86" i="2"/>
  <c r="BV110" i="2"/>
  <c r="BV84" i="2"/>
  <c r="BV88" i="2"/>
  <c r="BV89" i="2"/>
  <c r="BV111" i="2"/>
  <c r="BV118" i="2"/>
  <c r="BV119" i="2"/>
  <c r="BV141" i="2"/>
  <c r="BV245" i="2"/>
  <c r="BV107" i="2"/>
  <c r="BV108" i="2"/>
  <c r="BV114" i="2"/>
  <c r="BV115" i="2"/>
  <c r="BV139" i="2"/>
  <c r="BV244" i="2"/>
  <c r="BV246" i="2"/>
  <c r="BW83" i="2"/>
  <c r="BW86" i="2"/>
  <c r="BW110" i="2"/>
  <c r="BW84" i="2"/>
  <c r="BW88" i="2"/>
  <c r="BW89" i="2"/>
  <c r="BW111" i="2"/>
  <c r="BW118" i="2"/>
  <c r="BW119" i="2"/>
  <c r="BW141" i="2"/>
  <c r="BW245" i="2"/>
  <c r="BW107" i="2"/>
  <c r="BW108" i="2"/>
  <c r="BW114" i="2"/>
  <c r="BW115" i="2"/>
  <c r="BW139" i="2"/>
  <c r="BW244" i="2"/>
  <c r="BW246" i="2"/>
  <c r="BX83" i="2"/>
  <c r="BX86" i="2"/>
  <c r="BX110" i="2"/>
  <c r="BX84" i="2"/>
  <c r="BX88" i="2"/>
  <c r="BX89" i="2"/>
  <c r="BX111" i="2"/>
  <c r="BX118" i="2"/>
  <c r="BX119" i="2"/>
  <c r="BX141" i="2"/>
  <c r="BX245" i="2"/>
  <c r="BX107" i="2"/>
  <c r="BX108" i="2"/>
  <c r="BX114" i="2"/>
  <c r="BX115" i="2"/>
  <c r="BX139" i="2"/>
  <c r="BX244" i="2"/>
  <c r="BX246" i="2"/>
  <c r="BY83" i="2"/>
  <c r="BY86" i="2"/>
  <c r="BY110" i="2"/>
  <c r="BY84" i="2"/>
  <c r="BY88" i="2"/>
  <c r="BY89" i="2"/>
  <c r="BY111" i="2"/>
  <c r="BY118" i="2"/>
  <c r="BY119" i="2"/>
  <c r="BY141" i="2"/>
  <c r="BY245" i="2"/>
  <c r="BY107" i="2"/>
  <c r="BY108" i="2"/>
  <c r="BY114" i="2"/>
  <c r="BY115" i="2"/>
  <c r="BY139" i="2"/>
  <c r="BY244" i="2"/>
  <c r="BY246" i="2"/>
  <c r="BZ83" i="2"/>
  <c r="BZ86" i="2"/>
  <c r="BZ110" i="2"/>
  <c r="BZ84" i="2"/>
  <c r="BZ88" i="2"/>
  <c r="BZ89" i="2"/>
  <c r="BZ111" i="2"/>
  <c r="BZ118" i="2"/>
  <c r="BZ119" i="2"/>
  <c r="BZ141" i="2"/>
  <c r="BZ245" i="2"/>
  <c r="BZ107" i="2"/>
  <c r="BZ108" i="2"/>
  <c r="BZ114" i="2"/>
  <c r="BZ115" i="2"/>
  <c r="BZ139" i="2"/>
  <c r="BZ244" i="2"/>
  <c r="BZ246" i="2"/>
  <c r="CA83" i="2"/>
  <c r="CA86" i="2"/>
  <c r="CA110" i="2"/>
  <c r="CA84" i="2"/>
  <c r="CA88" i="2"/>
  <c r="CA89" i="2"/>
  <c r="CA111" i="2"/>
  <c r="CA118" i="2"/>
  <c r="CA119" i="2"/>
  <c r="CA141" i="2"/>
  <c r="CA245" i="2"/>
  <c r="CA107" i="2"/>
  <c r="CA108" i="2"/>
  <c r="CA114" i="2"/>
  <c r="CA115" i="2"/>
  <c r="CA139" i="2"/>
  <c r="CA244" i="2"/>
  <c r="CA246" i="2"/>
  <c r="CB83" i="2"/>
  <c r="CB86" i="2"/>
  <c r="CB110" i="2"/>
  <c r="CB84" i="2"/>
  <c r="CB88" i="2"/>
  <c r="CB89" i="2"/>
  <c r="CB111" i="2"/>
  <c r="CB118" i="2"/>
  <c r="CB119" i="2"/>
  <c r="CB141" i="2"/>
  <c r="CB245" i="2"/>
  <c r="CB107" i="2"/>
  <c r="CB108" i="2"/>
  <c r="CB114" i="2"/>
  <c r="CB115" i="2"/>
  <c r="CB139" i="2"/>
  <c r="CB244" i="2"/>
  <c r="CB246" i="2"/>
  <c r="CC83" i="2"/>
  <c r="CC86" i="2"/>
  <c r="CC110" i="2"/>
  <c r="CC84" i="2"/>
  <c r="CC88" i="2"/>
  <c r="CC89" i="2"/>
  <c r="CC111" i="2"/>
  <c r="CC118" i="2"/>
  <c r="CC119" i="2"/>
  <c r="CC141" i="2"/>
  <c r="CC245" i="2"/>
  <c r="CC107" i="2"/>
  <c r="CC108" i="2"/>
  <c r="CC114" i="2"/>
  <c r="CC115" i="2"/>
  <c r="CC139" i="2"/>
  <c r="CC244" i="2"/>
  <c r="CC246" i="2"/>
  <c r="CD83" i="2"/>
  <c r="CD86" i="2"/>
  <c r="CD110" i="2"/>
  <c r="CD84" i="2"/>
  <c r="CD88" i="2"/>
  <c r="CD89" i="2"/>
  <c r="CD111" i="2"/>
  <c r="CD118" i="2"/>
  <c r="CD119" i="2"/>
  <c r="CD141" i="2"/>
  <c r="CD245" i="2"/>
  <c r="CD107" i="2"/>
  <c r="CD108" i="2"/>
  <c r="CD114" i="2"/>
  <c r="CD115" i="2"/>
  <c r="CD139" i="2"/>
  <c r="CD244" i="2"/>
  <c r="CD246" i="2"/>
  <c r="CE83" i="2"/>
  <c r="CE86" i="2"/>
  <c r="CE110" i="2"/>
  <c r="CE84" i="2"/>
  <c r="CE88" i="2"/>
  <c r="CE89" i="2"/>
  <c r="CE111" i="2"/>
  <c r="CE118" i="2"/>
  <c r="CE119" i="2"/>
  <c r="CE141" i="2"/>
  <c r="CE245" i="2"/>
  <c r="CE107" i="2"/>
  <c r="CE108" i="2"/>
  <c r="CE114" i="2"/>
  <c r="CE115" i="2"/>
  <c r="CE139" i="2"/>
  <c r="CE244" i="2"/>
  <c r="CE246" i="2"/>
  <c r="CF83" i="2"/>
  <c r="CF86" i="2"/>
  <c r="CF110" i="2"/>
  <c r="CF84" i="2"/>
  <c r="CF88" i="2"/>
  <c r="CF89" i="2"/>
  <c r="CF111" i="2"/>
  <c r="CF118" i="2"/>
  <c r="CF119" i="2"/>
  <c r="CF141" i="2"/>
  <c r="CF245" i="2"/>
  <c r="CF107" i="2"/>
  <c r="CF108" i="2"/>
  <c r="CF114" i="2"/>
  <c r="CF115" i="2"/>
  <c r="CF139" i="2"/>
  <c r="CF244" i="2"/>
  <c r="CF246" i="2"/>
  <c r="CG83" i="2"/>
  <c r="CG86" i="2"/>
  <c r="CG110" i="2"/>
  <c r="CG84" i="2"/>
  <c r="CG88" i="2"/>
  <c r="CG89" i="2"/>
  <c r="CG111" i="2"/>
  <c r="CG118" i="2"/>
  <c r="CG119" i="2"/>
  <c r="CG141" i="2"/>
  <c r="CG245" i="2"/>
  <c r="CG107" i="2"/>
  <c r="CG108" i="2"/>
  <c r="CG114" i="2"/>
  <c r="CG115" i="2"/>
  <c r="CG139" i="2"/>
  <c r="CG244" i="2"/>
  <c r="CG246" i="2"/>
  <c r="CH83" i="2"/>
  <c r="CH86" i="2"/>
  <c r="CH110" i="2"/>
  <c r="CH84" i="2"/>
  <c r="CH88" i="2"/>
  <c r="CH89" i="2"/>
  <c r="CH111" i="2"/>
  <c r="CH118" i="2"/>
  <c r="CH119" i="2"/>
  <c r="CH141" i="2"/>
  <c r="CH245" i="2"/>
  <c r="CH107" i="2"/>
  <c r="CH108" i="2"/>
  <c r="CH114" i="2"/>
  <c r="CH115" i="2"/>
  <c r="CH139" i="2"/>
  <c r="CH244" i="2"/>
  <c r="CH246" i="2"/>
  <c r="CI83" i="2"/>
  <c r="CI86" i="2"/>
  <c r="CI110" i="2"/>
  <c r="CI84" i="2"/>
  <c r="CI88" i="2"/>
  <c r="CI89" i="2"/>
  <c r="CI111" i="2"/>
  <c r="CI118" i="2"/>
  <c r="CI119" i="2"/>
  <c r="CI141" i="2"/>
  <c r="CI245" i="2"/>
  <c r="CI107" i="2"/>
  <c r="CI108" i="2"/>
  <c r="CI114" i="2"/>
  <c r="CI115" i="2"/>
  <c r="CI139" i="2"/>
  <c r="CI244" i="2"/>
  <c r="CI246" i="2"/>
  <c r="CJ83" i="2"/>
  <c r="CJ86" i="2"/>
  <c r="CJ110" i="2"/>
  <c r="CJ84" i="2"/>
  <c r="CJ88" i="2"/>
  <c r="CJ89" i="2"/>
  <c r="CJ111" i="2"/>
  <c r="CJ118" i="2"/>
  <c r="CJ119" i="2"/>
  <c r="CJ141" i="2"/>
  <c r="CJ245" i="2"/>
  <c r="CJ107" i="2"/>
  <c r="CJ108" i="2"/>
  <c r="CJ114" i="2"/>
  <c r="CJ115" i="2"/>
  <c r="CJ139" i="2"/>
  <c r="CJ244" i="2"/>
  <c r="CJ246" i="2"/>
  <c r="CK83" i="2"/>
  <c r="CK86" i="2"/>
  <c r="CK110" i="2"/>
  <c r="CK84" i="2"/>
  <c r="CK88" i="2"/>
  <c r="CK89" i="2"/>
  <c r="CK111" i="2"/>
  <c r="CK118" i="2"/>
  <c r="CK119" i="2"/>
  <c r="CK141" i="2"/>
  <c r="CK245" i="2"/>
  <c r="CK107" i="2"/>
  <c r="CK108" i="2"/>
  <c r="CK114" i="2"/>
  <c r="CK115" i="2"/>
  <c r="CK139" i="2"/>
  <c r="CK244" i="2"/>
  <c r="CK246" i="2"/>
  <c r="CL83" i="2"/>
  <c r="CL86" i="2"/>
  <c r="CL110" i="2"/>
  <c r="CL84" i="2"/>
  <c r="CL88" i="2"/>
  <c r="CL89" i="2"/>
  <c r="CL111" i="2"/>
  <c r="CL118" i="2"/>
  <c r="CL119" i="2"/>
  <c r="CL141" i="2"/>
  <c r="CL245" i="2"/>
  <c r="CL107" i="2"/>
  <c r="CL108" i="2"/>
  <c r="CL114" i="2"/>
  <c r="CL115" i="2"/>
  <c r="CL139" i="2"/>
  <c r="CL244" i="2"/>
  <c r="CL246" i="2"/>
  <c r="CM83" i="2"/>
  <c r="CM86" i="2"/>
  <c r="CM110" i="2"/>
  <c r="CM84" i="2"/>
  <c r="CM88" i="2"/>
  <c r="CM89" i="2"/>
  <c r="CM111" i="2"/>
  <c r="CM118" i="2"/>
  <c r="CM119" i="2"/>
  <c r="CM141" i="2"/>
  <c r="CM245" i="2"/>
  <c r="CM107" i="2"/>
  <c r="CM108" i="2"/>
  <c r="CM114" i="2"/>
  <c r="CM115" i="2"/>
  <c r="CM139" i="2"/>
  <c r="CM244" i="2"/>
  <c r="CM246" i="2"/>
  <c r="CN83" i="2"/>
  <c r="CN86" i="2"/>
  <c r="CN110" i="2"/>
  <c r="CN84" i="2"/>
  <c r="CN88" i="2"/>
  <c r="CN89" i="2"/>
  <c r="CN111" i="2"/>
  <c r="CN118" i="2"/>
  <c r="CN119" i="2"/>
  <c r="CN141" i="2"/>
  <c r="CN245" i="2"/>
  <c r="CN107" i="2"/>
  <c r="CN108" i="2"/>
  <c r="CN114" i="2"/>
  <c r="CN115" i="2"/>
  <c r="CN139" i="2"/>
  <c r="CN244" i="2"/>
  <c r="CN246" i="2"/>
  <c r="CO83" i="2"/>
  <c r="CO86" i="2"/>
  <c r="CO110" i="2"/>
  <c r="CO84" i="2"/>
  <c r="CO88" i="2"/>
  <c r="CO89" i="2"/>
  <c r="CO111" i="2"/>
  <c r="CO118" i="2"/>
  <c r="CO119" i="2"/>
  <c r="CO141" i="2"/>
  <c r="CO245" i="2"/>
  <c r="CO107" i="2"/>
  <c r="CO108" i="2"/>
  <c r="CO114" i="2"/>
  <c r="CO115" i="2"/>
  <c r="CO139" i="2"/>
  <c r="CO244" i="2"/>
  <c r="CO246" i="2"/>
  <c r="CP83" i="2"/>
  <c r="CP86" i="2"/>
  <c r="CP110" i="2"/>
  <c r="CP84" i="2"/>
  <c r="CP88" i="2"/>
  <c r="CP89" i="2"/>
  <c r="CP111" i="2"/>
  <c r="CP118" i="2"/>
  <c r="CP119" i="2"/>
  <c r="CP141" i="2"/>
  <c r="CP245" i="2"/>
  <c r="CP107" i="2"/>
  <c r="CP108" i="2"/>
  <c r="CP114" i="2"/>
  <c r="CP115" i="2"/>
  <c r="CP139" i="2"/>
  <c r="CP244" i="2"/>
  <c r="CP246" i="2"/>
  <c r="CQ83" i="2"/>
  <c r="CQ86" i="2"/>
  <c r="CQ110" i="2"/>
  <c r="CQ84" i="2"/>
  <c r="CQ88" i="2"/>
  <c r="CQ89" i="2"/>
  <c r="CQ111" i="2"/>
  <c r="CQ118" i="2"/>
  <c r="CQ119" i="2"/>
  <c r="CQ141" i="2"/>
  <c r="CQ245" i="2"/>
  <c r="CQ107" i="2"/>
  <c r="CQ108" i="2"/>
  <c r="CQ114" i="2"/>
  <c r="CQ115" i="2"/>
  <c r="CQ139" i="2"/>
  <c r="CQ244" i="2"/>
  <c r="CQ246" i="2"/>
  <c r="CR83" i="2"/>
  <c r="CR86" i="2"/>
  <c r="CR110" i="2"/>
  <c r="CR84" i="2"/>
  <c r="CR88" i="2"/>
  <c r="CR89" i="2"/>
  <c r="CR111" i="2"/>
  <c r="CR118" i="2"/>
  <c r="CR119" i="2"/>
  <c r="CR141" i="2"/>
  <c r="CR245" i="2"/>
  <c r="CR107" i="2"/>
  <c r="CR108" i="2"/>
  <c r="CR114" i="2"/>
  <c r="CR115" i="2"/>
  <c r="CR139" i="2"/>
  <c r="CR244" i="2"/>
  <c r="CR246" i="2"/>
  <c r="CS83" i="2"/>
  <c r="CS86" i="2"/>
  <c r="CS110" i="2"/>
  <c r="CS84" i="2"/>
  <c r="CS88" i="2"/>
  <c r="CS89" i="2"/>
  <c r="CS111" i="2"/>
  <c r="CS118" i="2"/>
  <c r="CS119" i="2"/>
  <c r="CS141" i="2"/>
  <c r="CS245" i="2"/>
  <c r="CS107" i="2"/>
  <c r="CS108" i="2"/>
  <c r="CS114" i="2"/>
  <c r="CS115" i="2"/>
  <c r="CS139" i="2"/>
  <c r="CS244" i="2"/>
  <c r="CS246" i="2"/>
  <c r="CT83" i="2"/>
  <c r="CT86" i="2"/>
  <c r="CT110" i="2"/>
  <c r="CT84" i="2"/>
  <c r="CT88" i="2"/>
  <c r="CT89" i="2"/>
  <c r="CT111" i="2"/>
  <c r="CT118" i="2"/>
  <c r="CT119" i="2"/>
  <c r="CT141" i="2"/>
  <c r="CT245" i="2"/>
  <c r="CT107" i="2"/>
  <c r="CT108" i="2"/>
  <c r="CT114" i="2"/>
  <c r="CT115" i="2"/>
  <c r="CT139" i="2"/>
  <c r="CT244" i="2"/>
  <c r="CT246" i="2"/>
  <c r="CU83" i="2"/>
  <c r="CU86" i="2"/>
  <c r="CU110" i="2"/>
  <c r="CU84" i="2"/>
  <c r="CU88" i="2"/>
  <c r="CU89" i="2"/>
  <c r="CU111" i="2"/>
  <c r="CU118" i="2"/>
  <c r="CU119" i="2"/>
  <c r="CU141" i="2"/>
  <c r="CU245" i="2"/>
  <c r="CU107" i="2"/>
  <c r="CU108" i="2"/>
  <c r="CU114" i="2"/>
  <c r="CU115" i="2"/>
  <c r="CU139" i="2"/>
  <c r="CU244" i="2"/>
  <c r="CU246" i="2"/>
  <c r="CV83" i="2"/>
  <c r="CV86" i="2"/>
  <c r="CV110" i="2"/>
  <c r="CV84" i="2"/>
  <c r="CV88" i="2"/>
  <c r="CV89" i="2"/>
  <c r="CV111" i="2"/>
  <c r="CV118" i="2"/>
  <c r="CV119" i="2"/>
  <c r="CV141" i="2"/>
  <c r="CV245" i="2"/>
  <c r="CV107" i="2"/>
  <c r="CV108" i="2"/>
  <c r="CV114" i="2"/>
  <c r="CV115" i="2"/>
  <c r="CV139" i="2"/>
  <c r="CV244" i="2"/>
  <c r="CV246" i="2"/>
  <c r="CW83" i="2"/>
  <c r="CW86" i="2"/>
  <c r="CW110" i="2"/>
  <c r="CW84" i="2"/>
  <c r="CW88" i="2"/>
  <c r="CW89" i="2"/>
  <c r="CW111" i="2"/>
  <c r="CW118" i="2"/>
  <c r="CW119" i="2"/>
  <c r="CW141" i="2"/>
  <c r="CW245" i="2"/>
  <c r="CW107" i="2"/>
  <c r="CW108" i="2"/>
  <c r="CW114" i="2"/>
  <c r="CW115" i="2"/>
  <c r="CW139" i="2"/>
  <c r="CW244" i="2"/>
  <c r="CW246" i="2"/>
  <c r="CX83" i="2"/>
  <c r="CX86" i="2"/>
  <c r="CX110" i="2"/>
  <c r="CX84" i="2"/>
  <c r="CX88" i="2"/>
  <c r="CX89" i="2"/>
  <c r="CX111" i="2"/>
  <c r="CX118" i="2"/>
  <c r="CX119" i="2"/>
  <c r="CX141" i="2"/>
  <c r="CX245" i="2"/>
  <c r="CX107" i="2"/>
  <c r="CX108" i="2"/>
  <c r="CX114" i="2"/>
  <c r="CX115" i="2"/>
  <c r="CX139" i="2"/>
  <c r="CX244" i="2"/>
  <c r="CX246" i="2"/>
  <c r="CY83" i="2"/>
  <c r="CY86" i="2"/>
  <c r="CY110" i="2"/>
  <c r="CY84" i="2"/>
  <c r="CY88" i="2"/>
  <c r="CY89" i="2"/>
  <c r="CY111" i="2"/>
  <c r="CY118" i="2"/>
  <c r="CY119" i="2"/>
  <c r="CY141" i="2"/>
  <c r="CY245" i="2"/>
  <c r="CY107" i="2"/>
  <c r="CY108" i="2"/>
  <c r="CY114" i="2"/>
  <c r="CY115" i="2"/>
  <c r="CY139" i="2"/>
  <c r="CY244" i="2"/>
  <c r="CY246" i="2"/>
  <c r="CZ83" i="2"/>
  <c r="CZ86" i="2"/>
  <c r="CZ110" i="2"/>
  <c r="CZ84" i="2"/>
  <c r="CZ88" i="2"/>
  <c r="CZ89" i="2"/>
  <c r="CZ111" i="2"/>
  <c r="CZ118" i="2"/>
  <c r="CZ119" i="2"/>
  <c r="CZ141" i="2"/>
  <c r="CZ245" i="2"/>
  <c r="CZ107" i="2"/>
  <c r="CZ108" i="2"/>
  <c r="CZ114" i="2"/>
  <c r="CZ115" i="2"/>
  <c r="CZ139" i="2"/>
  <c r="CZ244" i="2"/>
  <c r="CZ246" i="2"/>
  <c r="DA83" i="2"/>
  <c r="DA86" i="2"/>
  <c r="DA110" i="2"/>
  <c r="DA84" i="2"/>
  <c r="DA88" i="2"/>
  <c r="DA89" i="2"/>
  <c r="DA111" i="2"/>
  <c r="DA118" i="2"/>
  <c r="DA119" i="2"/>
  <c r="DA141" i="2"/>
  <c r="DA245" i="2"/>
  <c r="DA107" i="2"/>
  <c r="DA108" i="2"/>
  <c r="DA114" i="2"/>
  <c r="DA115" i="2"/>
  <c r="DA139" i="2"/>
  <c r="DA244" i="2"/>
  <c r="DA246" i="2"/>
  <c r="DB83" i="2"/>
  <c r="DB86" i="2"/>
  <c r="DB110" i="2"/>
  <c r="DB84" i="2"/>
  <c r="DB88" i="2"/>
  <c r="DB89" i="2"/>
  <c r="DB111" i="2"/>
  <c r="DB118" i="2"/>
  <c r="DB119" i="2"/>
  <c r="DB141" i="2"/>
  <c r="DB245" i="2"/>
  <c r="DB107" i="2"/>
  <c r="DB108" i="2"/>
  <c r="DB114" i="2"/>
  <c r="DB115" i="2"/>
  <c r="DB139" i="2"/>
  <c r="DB244" i="2"/>
  <c r="DB246" i="2"/>
  <c r="DC83" i="2"/>
  <c r="DC86" i="2"/>
  <c r="DC110" i="2"/>
  <c r="DC84" i="2"/>
  <c r="DC88" i="2"/>
  <c r="DC89" i="2"/>
  <c r="DC111" i="2"/>
  <c r="DC118" i="2"/>
  <c r="DC119" i="2"/>
  <c r="DC141" i="2"/>
  <c r="DC245" i="2"/>
  <c r="DC107" i="2"/>
  <c r="DC108" i="2"/>
  <c r="DC114" i="2"/>
  <c r="DC115" i="2"/>
  <c r="DC139" i="2"/>
  <c r="DC244" i="2"/>
  <c r="DC246" i="2"/>
  <c r="DD83" i="2"/>
  <c r="DD86" i="2"/>
  <c r="DD110" i="2"/>
  <c r="DD84" i="2"/>
  <c r="DD88" i="2"/>
  <c r="DD89" i="2"/>
  <c r="DD111" i="2"/>
  <c r="DD118" i="2"/>
  <c r="DD119" i="2"/>
  <c r="DD141" i="2"/>
  <c r="DD245" i="2"/>
  <c r="DD107" i="2"/>
  <c r="DD108" i="2"/>
  <c r="DD114" i="2"/>
  <c r="DD115" i="2"/>
  <c r="DD139" i="2"/>
  <c r="DD244" i="2"/>
  <c r="DD246" i="2"/>
  <c r="DE83" i="2"/>
  <c r="DE86" i="2"/>
  <c r="DE110" i="2"/>
  <c r="DE84" i="2"/>
  <c r="DE88" i="2"/>
  <c r="DE89" i="2"/>
  <c r="DE111" i="2"/>
  <c r="DE118" i="2"/>
  <c r="DE119" i="2"/>
  <c r="DE141" i="2"/>
  <c r="DE245" i="2"/>
  <c r="DE107" i="2"/>
  <c r="DE108" i="2"/>
  <c r="DE114" i="2"/>
  <c r="DE115" i="2"/>
  <c r="DE139" i="2"/>
  <c r="DE244" i="2"/>
  <c r="DE246" i="2"/>
  <c r="DF83" i="2"/>
  <c r="DF86" i="2"/>
  <c r="DF110" i="2"/>
  <c r="DF84" i="2"/>
  <c r="DF88" i="2"/>
  <c r="DF89" i="2"/>
  <c r="DF111" i="2"/>
  <c r="DF118" i="2"/>
  <c r="DF119" i="2"/>
  <c r="DF141" i="2"/>
  <c r="DF245" i="2"/>
  <c r="DF107" i="2"/>
  <c r="DF108" i="2"/>
  <c r="DF114" i="2"/>
  <c r="DF115" i="2"/>
  <c r="DF139" i="2"/>
  <c r="DF244" i="2"/>
  <c r="DF246" i="2"/>
  <c r="DG83" i="2"/>
  <c r="DG86" i="2"/>
  <c r="DG110" i="2"/>
  <c r="DG84" i="2"/>
  <c r="DG88" i="2"/>
  <c r="DG89" i="2"/>
  <c r="DG111" i="2"/>
  <c r="DG118" i="2"/>
  <c r="DG119" i="2"/>
  <c r="DG141" i="2"/>
  <c r="DG245" i="2"/>
  <c r="DG107" i="2"/>
  <c r="DG108" i="2"/>
  <c r="DG114" i="2"/>
  <c r="DG115" i="2"/>
  <c r="DG139" i="2"/>
  <c r="DG244" i="2"/>
  <c r="DG246" i="2"/>
  <c r="DH83" i="2"/>
  <c r="DH86" i="2"/>
  <c r="DH110" i="2"/>
  <c r="DH84" i="2"/>
  <c r="DH88" i="2"/>
  <c r="DH89" i="2"/>
  <c r="DH111" i="2"/>
  <c r="DH118" i="2"/>
  <c r="DH119" i="2"/>
  <c r="DH141" i="2"/>
  <c r="DH245" i="2"/>
  <c r="DH107" i="2"/>
  <c r="DH108" i="2"/>
  <c r="DH114" i="2"/>
  <c r="DH115" i="2"/>
  <c r="DH139" i="2"/>
  <c r="DH244" i="2"/>
  <c r="DH246" i="2"/>
  <c r="DI83" i="2"/>
  <c r="DI86" i="2"/>
  <c r="DI110" i="2"/>
  <c r="DI84" i="2"/>
  <c r="DI88" i="2"/>
  <c r="DI89" i="2"/>
  <c r="DI111" i="2"/>
  <c r="DI118" i="2"/>
  <c r="DI119" i="2"/>
  <c r="DI141" i="2"/>
  <c r="DI245" i="2"/>
  <c r="DI107" i="2"/>
  <c r="DI108" i="2"/>
  <c r="DI114" i="2"/>
  <c r="DI115" i="2"/>
  <c r="DI139" i="2"/>
  <c r="DI244" i="2"/>
  <c r="DI246" i="2"/>
  <c r="DJ83" i="2"/>
  <c r="DJ86" i="2"/>
  <c r="DJ110" i="2"/>
  <c r="DJ84" i="2"/>
  <c r="DJ88" i="2"/>
  <c r="DJ89" i="2"/>
  <c r="DJ111" i="2"/>
  <c r="DJ118" i="2"/>
  <c r="DJ119" i="2"/>
  <c r="DJ141" i="2"/>
  <c r="DJ245" i="2"/>
  <c r="DJ107" i="2"/>
  <c r="DJ108" i="2"/>
  <c r="DJ114" i="2"/>
  <c r="DJ115" i="2"/>
  <c r="DJ139" i="2"/>
  <c r="DJ244" i="2"/>
  <c r="DJ246" i="2"/>
  <c r="DK83" i="2"/>
  <c r="DK86" i="2"/>
  <c r="DK110" i="2"/>
  <c r="DK84" i="2"/>
  <c r="DK88" i="2"/>
  <c r="DK89" i="2"/>
  <c r="DK111" i="2"/>
  <c r="DK118" i="2"/>
  <c r="DK119" i="2"/>
  <c r="DK141" i="2"/>
  <c r="DK245" i="2"/>
  <c r="DK107" i="2"/>
  <c r="DK108" i="2"/>
  <c r="DK114" i="2"/>
  <c r="DK115" i="2"/>
  <c r="DK139" i="2"/>
  <c r="DK244" i="2"/>
  <c r="DK246" i="2"/>
  <c r="DL83" i="2"/>
  <c r="DL86" i="2"/>
  <c r="DL110" i="2"/>
  <c r="DL84" i="2"/>
  <c r="DL88" i="2"/>
  <c r="DL89" i="2"/>
  <c r="DL111" i="2"/>
  <c r="DL118" i="2"/>
  <c r="DL119" i="2"/>
  <c r="DL141" i="2"/>
  <c r="DL245" i="2"/>
  <c r="DL107" i="2"/>
  <c r="DL108" i="2"/>
  <c r="DL114" i="2"/>
  <c r="DL115" i="2"/>
  <c r="DL139" i="2"/>
  <c r="DL244" i="2"/>
  <c r="DL246" i="2"/>
  <c r="DM83" i="2"/>
  <c r="DM86" i="2"/>
  <c r="DM110" i="2"/>
  <c r="DM84" i="2"/>
  <c r="DM88" i="2"/>
  <c r="DM89" i="2"/>
  <c r="DM111" i="2"/>
  <c r="DM118" i="2"/>
  <c r="DM119" i="2"/>
  <c r="DM141" i="2"/>
  <c r="DM245" i="2"/>
  <c r="DM107" i="2"/>
  <c r="DM108" i="2"/>
  <c r="DM114" i="2"/>
  <c r="DM115" i="2"/>
  <c r="DM139" i="2"/>
  <c r="DM244" i="2"/>
  <c r="DM246" i="2"/>
  <c r="DN83" i="2"/>
  <c r="DN86" i="2"/>
  <c r="DN110" i="2"/>
  <c r="DN84" i="2"/>
  <c r="DN88" i="2"/>
  <c r="DN89" i="2"/>
  <c r="DN111" i="2"/>
  <c r="DN118" i="2"/>
  <c r="DN119" i="2"/>
  <c r="DN141" i="2"/>
  <c r="DN245" i="2"/>
  <c r="DN107" i="2"/>
  <c r="DN108" i="2"/>
  <c r="DN114" i="2"/>
  <c r="DN115" i="2"/>
  <c r="DN139" i="2"/>
  <c r="DN244" i="2"/>
  <c r="DN246" i="2"/>
  <c r="DO83" i="2"/>
  <c r="DO86" i="2"/>
  <c r="DO110" i="2"/>
  <c r="DO84" i="2"/>
  <c r="DO88" i="2"/>
  <c r="DO89" i="2"/>
  <c r="DO111" i="2"/>
  <c r="DO118" i="2"/>
  <c r="DO119" i="2"/>
  <c r="DO141" i="2"/>
  <c r="DO245" i="2"/>
  <c r="DO107" i="2"/>
  <c r="DO108" i="2"/>
  <c r="DO114" i="2"/>
  <c r="DO115" i="2"/>
  <c r="DO139" i="2"/>
  <c r="DO244" i="2"/>
  <c r="DO246" i="2"/>
  <c r="DP83" i="2"/>
  <c r="DP86" i="2"/>
  <c r="DP110" i="2"/>
  <c r="DP84" i="2"/>
  <c r="DP88" i="2"/>
  <c r="DP89" i="2"/>
  <c r="DP111" i="2"/>
  <c r="DP118" i="2"/>
  <c r="DP119" i="2"/>
  <c r="DP141" i="2"/>
  <c r="DP245" i="2"/>
  <c r="DP107" i="2"/>
  <c r="DP108" i="2"/>
  <c r="DP114" i="2"/>
  <c r="DP115" i="2"/>
  <c r="DP139" i="2"/>
  <c r="DP244" i="2"/>
  <c r="DP246" i="2"/>
  <c r="DQ83" i="2"/>
  <c r="DQ86" i="2"/>
  <c r="DQ110" i="2"/>
  <c r="DQ84" i="2"/>
  <c r="DQ88" i="2"/>
  <c r="DQ89" i="2"/>
  <c r="DQ111" i="2"/>
  <c r="DQ118" i="2"/>
  <c r="DQ119" i="2"/>
  <c r="DQ141" i="2"/>
  <c r="DQ245" i="2"/>
  <c r="DQ107" i="2"/>
  <c r="DQ108" i="2"/>
  <c r="DQ114" i="2"/>
  <c r="DQ115" i="2"/>
  <c r="DQ139" i="2"/>
  <c r="DQ244" i="2"/>
  <c r="DQ246" i="2"/>
  <c r="DR83" i="2"/>
  <c r="DR86" i="2"/>
  <c r="DR110" i="2"/>
  <c r="DR84" i="2"/>
  <c r="DR88" i="2"/>
  <c r="DR89" i="2"/>
  <c r="DR111" i="2"/>
  <c r="DR118" i="2"/>
  <c r="DR119" i="2"/>
  <c r="DR141" i="2"/>
  <c r="DR245" i="2"/>
  <c r="DR107" i="2"/>
  <c r="DR108" i="2"/>
  <c r="DR114" i="2"/>
  <c r="DR115" i="2"/>
  <c r="DR139" i="2"/>
  <c r="DR244" i="2"/>
  <c r="DR246" i="2"/>
  <c r="DS83" i="2"/>
  <c r="DS86" i="2"/>
  <c r="DS110" i="2"/>
  <c r="DS84" i="2"/>
  <c r="DS88" i="2"/>
  <c r="DS89" i="2"/>
  <c r="DS111" i="2"/>
  <c r="DS118" i="2"/>
  <c r="DS119" i="2"/>
  <c r="DS141" i="2"/>
  <c r="DS245" i="2"/>
  <c r="DS107" i="2"/>
  <c r="DS108" i="2"/>
  <c r="DS114" i="2"/>
  <c r="DS115" i="2"/>
  <c r="DS139" i="2"/>
  <c r="DS244" i="2"/>
  <c r="DS246" i="2"/>
  <c r="DT83" i="2"/>
  <c r="DT86" i="2"/>
  <c r="DT110" i="2"/>
  <c r="DT84" i="2"/>
  <c r="DT88" i="2"/>
  <c r="DT89" i="2"/>
  <c r="DT111" i="2"/>
  <c r="DT118" i="2"/>
  <c r="DT119" i="2"/>
  <c r="DT141" i="2"/>
  <c r="DT245" i="2"/>
  <c r="DT107" i="2"/>
  <c r="DT108" i="2"/>
  <c r="DT114" i="2"/>
  <c r="DT115" i="2"/>
  <c r="DT139" i="2"/>
  <c r="DT244" i="2"/>
  <c r="DT246" i="2"/>
  <c r="DU83" i="2"/>
  <c r="DU86" i="2"/>
  <c r="DU110" i="2"/>
  <c r="DU84" i="2"/>
  <c r="DU88" i="2"/>
  <c r="DU89" i="2"/>
  <c r="DU111" i="2"/>
  <c r="DU118" i="2"/>
  <c r="DU119" i="2"/>
  <c r="DU141" i="2"/>
  <c r="DU245" i="2"/>
  <c r="DU107" i="2"/>
  <c r="DU108" i="2"/>
  <c r="DU114" i="2"/>
  <c r="DU115" i="2"/>
  <c r="DU139" i="2"/>
  <c r="DU244" i="2"/>
  <c r="DU246" i="2"/>
  <c r="DV83" i="2"/>
  <c r="DV86" i="2"/>
  <c r="DV110" i="2"/>
  <c r="DV84" i="2"/>
  <c r="DV88" i="2"/>
  <c r="DV89" i="2"/>
  <c r="DV111" i="2"/>
  <c r="DV118" i="2"/>
  <c r="DV119" i="2"/>
  <c r="DV141" i="2"/>
  <c r="DV245" i="2"/>
  <c r="DV107" i="2"/>
  <c r="DV108" i="2"/>
  <c r="DV114" i="2"/>
  <c r="DV115" i="2"/>
  <c r="DV139" i="2"/>
  <c r="DV244" i="2"/>
  <c r="DV246" i="2"/>
  <c r="DW83" i="2"/>
  <c r="DW86" i="2"/>
  <c r="DW110" i="2"/>
  <c r="DW84" i="2"/>
  <c r="DW88" i="2"/>
  <c r="DW89" i="2"/>
  <c r="DW111" i="2"/>
  <c r="DW118" i="2"/>
  <c r="DW119" i="2"/>
  <c r="DW141" i="2"/>
  <c r="DW245" i="2"/>
  <c r="DW107" i="2"/>
  <c r="DW108" i="2"/>
  <c r="DW114" i="2"/>
  <c r="DW115" i="2"/>
  <c r="DW139" i="2"/>
  <c r="DW244" i="2"/>
  <c r="DW246" i="2"/>
  <c r="DX83" i="2"/>
  <c r="DX86" i="2"/>
  <c r="DX110" i="2"/>
  <c r="DX84" i="2"/>
  <c r="DX88" i="2"/>
  <c r="DX89" i="2"/>
  <c r="DX111" i="2"/>
  <c r="DX118" i="2"/>
  <c r="DX119" i="2"/>
  <c r="DX141" i="2"/>
  <c r="DX245" i="2"/>
  <c r="DX107" i="2"/>
  <c r="DX108" i="2"/>
  <c r="DX114" i="2"/>
  <c r="DX115" i="2"/>
  <c r="DX139" i="2"/>
  <c r="DX244" i="2"/>
  <c r="DX246" i="2"/>
  <c r="DY83" i="2"/>
  <c r="DY86" i="2"/>
  <c r="DY110" i="2"/>
  <c r="DY84" i="2"/>
  <c r="DY88" i="2"/>
  <c r="DY89" i="2"/>
  <c r="DY111" i="2"/>
  <c r="DY118" i="2"/>
  <c r="DY119" i="2"/>
  <c r="DY141" i="2"/>
  <c r="DY245" i="2"/>
  <c r="DY107" i="2"/>
  <c r="DY108" i="2"/>
  <c r="DY114" i="2"/>
  <c r="DY115" i="2"/>
  <c r="DY139" i="2"/>
  <c r="DY244" i="2"/>
  <c r="DY246" i="2"/>
  <c r="DZ83" i="2"/>
  <c r="DZ86" i="2"/>
  <c r="DZ110" i="2"/>
  <c r="DZ84" i="2"/>
  <c r="DZ88" i="2"/>
  <c r="DZ89" i="2"/>
  <c r="DZ111" i="2"/>
  <c r="DZ118" i="2"/>
  <c r="DZ119" i="2"/>
  <c r="DZ141" i="2"/>
  <c r="DZ245" i="2"/>
  <c r="DZ107" i="2"/>
  <c r="DZ108" i="2"/>
  <c r="DZ114" i="2"/>
  <c r="DZ115" i="2"/>
  <c r="DZ139" i="2"/>
  <c r="DZ244" i="2"/>
  <c r="DZ246" i="2"/>
  <c r="EA83" i="2"/>
  <c r="EA86" i="2"/>
  <c r="EA110" i="2"/>
  <c r="EA84" i="2"/>
  <c r="EA88" i="2"/>
  <c r="EA89" i="2"/>
  <c r="EA111" i="2"/>
  <c r="EA118" i="2"/>
  <c r="EA119" i="2"/>
  <c r="EA141" i="2"/>
  <c r="EA245" i="2"/>
  <c r="EA107" i="2"/>
  <c r="EA108" i="2"/>
  <c r="EA114" i="2"/>
  <c r="EA115" i="2"/>
  <c r="EA139" i="2"/>
  <c r="EA244" i="2"/>
  <c r="EA246" i="2"/>
  <c r="EB83" i="2"/>
  <c r="EB86" i="2"/>
  <c r="EB110" i="2"/>
  <c r="EB84" i="2"/>
  <c r="EB88" i="2"/>
  <c r="EB89" i="2"/>
  <c r="EB111" i="2"/>
  <c r="EB118" i="2"/>
  <c r="EB119" i="2"/>
  <c r="EB141" i="2"/>
  <c r="EB245" i="2"/>
  <c r="EB107" i="2"/>
  <c r="EB108" i="2"/>
  <c r="EB114" i="2"/>
  <c r="EB115" i="2"/>
  <c r="EB139" i="2"/>
  <c r="EB244" i="2"/>
  <c r="EB246" i="2"/>
  <c r="EC83" i="2"/>
  <c r="EC86" i="2"/>
  <c r="EC110" i="2"/>
  <c r="EC84" i="2"/>
  <c r="EC88" i="2"/>
  <c r="EC89" i="2"/>
  <c r="EC111" i="2"/>
  <c r="EC118" i="2"/>
  <c r="EC119" i="2"/>
  <c r="EC141" i="2"/>
  <c r="EC245" i="2"/>
  <c r="EC107" i="2"/>
  <c r="EC108" i="2"/>
  <c r="EC114" i="2"/>
  <c r="EC115" i="2"/>
  <c r="EC139" i="2"/>
  <c r="EC244" i="2"/>
  <c r="EC246" i="2"/>
  <c r="ED83" i="2"/>
  <c r="ED86" i="2"/>
  <c r="ED110" i="2"/>
  <c r="ED84" i="2"/>
  <c r="ED88" i="2"/>
  <c r="ED89" i="2"/>
  <c r="ED111" i="2"/>
  <c r="ED118" i="2"/>
  <c r="ED119" i="2"/>
  <c r="ED141" i="2"/>
  <c r="ED245" i="2"/>
  <c r="ED107" i="2"/>
  <c r="ED108" i="2"/>
  <c r="ED114" i="2"/>
  <c r="ED115" i="2"/>
  <c r="ED139" i="2"/>
  <c r="ED244" i="2"/>
  <c r="ED246" i="2"/>
  <c r="EE83" i="2"/>
  <c r="EE86" i="2"/>
  <c r="EE110" i="2"/>
  <c r="EE84" i="2"/>
  <c r="EE88" i="2"/>
  <c r="EE89" i="2"/>
  <c r="EE111" i="2"/>
  <c r="EE118" i="2"/>
  <c r="EE119" i="2"/>
  <c r="EE141" i="2"/>
  <c r="EE245" i="2"/>
  <c r="EE107" i="2"/>
  <c r="EE108" i="2"/>
  <c r="EE114" i="2"/>
  <c r="EE115" i="2"/>
  <c r="EE139" i="2"/>
  <c r="EE244" i="2"/>
  <c r="EE246" i="2"/>
  <c r="EF83" i="2"/>
  <c r="EF86" i="2"/>
  <c r="EF110" i="2"/>
  <c r="EF84" i="2"/>
  <c r="EF88" i="2"/>
  <c r="EF89" i="2"/>
  <c r="EF111" i="2"/>
  <c r="EF118" i="2"/>
  <c r="EF119" i="2"/>
  <c r="EF141" i="2"/>
  <c r="EF245" i="2"/>
  <c r="EF107" i="2"/>
  <c r="EF108" i="2"/>
  <c r="EF114" i="2"/>
  <c r="EF115" i="2"/>
  <c r="EF139" i="2"/>
  <c r="EF244" i="2"/>
  <c r="EF246" i="2"/>
  <c r="EG83" i="2"/>
  <c r="EG86" i="2"/>
  <c r="EG110" i="2"/>
  <c r="EG84" i="2"/>
  <c r="EG88" i="2"/>
  <c r="EG89" i="2"/>
  <c r="EG111" i="2"/>
  <c r="EG118" i="2"/>
  <c r="EG119" i="2"/>
  <c r="EG141" i="2"/>
  <c r="EG245" i="2"/>
  <c r="EG107" i="2"/>
  <c r="EG108" i="2"/>
  <c r="EG114" i="2"/>
  <c r="EG115" i="2"/>
  <c r="EG139" i="2"/>
  <c r="EG244" i="2"/>
  <c r="EG246" i="2"/>
  <c r="EH83" i="2"/>
  <c r="EH86" i="2"/>
  <c r="EH110" i="2"/>
  <c r="EH84" i="2"/>
  <c r="EH88" i="2"/>
  <c r="EH89" i="2"/>
  <c r="EH111" i="2"/>
  <c r="EH118" i="2"/>
  <c r="EH119" i="2"/>
  <c r="EH141" i="2"/>
  <c r="EH245" i="2"/>
  <c r="EH107" i="2"/>
  <c r="EH108" i="2"/>
  <c r="EH114" i="2"/>
  <c r="EH115" i="2"/>
  <c r="EH139" i="2"/>
  <c r="EH244" i="2"/>
  <c r="EH246" i="2"/>
  <c r="EI83" i="2"/>
  <c r="EI86" i="2"/>
  <c r="EI110" i="2"/>
  <c r="EI84" i="2"/>
  <c r="EI88" i="2"/>
  <c r="EI89" i="2"/>
  <c r="EI111" i="2"/>
  <c r="EI118" i="2"/>
  <c r="EI119" i="2"/>
  <c r="EI141" i="2"/>
  <c r="EI245" i="2"/>
  <c r="EI107" i="2"/>
  <c r="EI108" i="2"/>
  <c r="EI114" i="2"/>
  <c r="EI115" i="2"/>
  <c r="EI139" i="2"/>
  <c r="EI244" i="2"/>
  <c r="EI246" i="2"/>
  <c r="EJ83" i="2"/>
  <c r="EJ86" i="2"/>
  <c r="EJ110" i="2"/>
  <c r="EJ84" i="2"/>
  <c r="EJ88" i="2"/>
  <c r="EJ89" i="2"/>
  <c r="EJ111" i="2"/>
  <c r="EJ118" i="2"/>
  <c r="EJ119" i="2"/>
  <c r="EJ141" i="2"/>
  <c r="EJ245" i="2"/>
  <c r="EJ107" i="2"/>
  <c r="EJ108" i="2"/>
  <c r="EJ114" i="2"/>
  <c r="EJ115" i="2"/>
  <c r="EJ139" i="2"/>
  <c r="EJ244" i="2"/>
  <c r="EJ246" i="2"/>
  <c r="EK83" i="2"/>
  <c r="EK86" i="2"/>
  <c r="EK110" i="2"/>
  <c r="EK84" i="2"/>
  <c r="EK88" i="2"/>
  <c r="EK89" i="2"/>
  <c r="EK111" i="2"/>
  <c r="EK118" i="2"/>
  <c r="EK119" i="2"/>
  <c r="EK141" i="2"/>
  <c r="EK245" i="2"/>
  <c r="EK107" i="2"/>
  <c r="EK108" i="2"/>
  <c r="EK114" i="2"/>
  <c r="EK115" i="2"/>
  <c r="EK139" i="2"/>
  <c r="EK244" i="2"/>
  <c r="EK246" i="2"/>
  <c r="EL83" i="2"/>
  <c r="EL86" i="2"/>
  <c r="EL110" i="2"/>
  <c r="EL84" i="2"/>
  <c r="EL88" i="2"/>
  <c r="EL89" i="2"/>
  <c r="EL111" i="2"/>
  <c r="EL118" i="2"/>
  <c r="EL119" i="2"/>
  <c r="EL141" i="2"/>
  <c r="EL245" i="2"/>
  <c r="EL107" i="2"/>
  <c r="EL108" i="2"/>
  <c r="EL114" i="2"/>
  <c r="EL115" i="2"/>
  <c r="EL139" i="2"/>
  <c r="EL244" i="2"/>
  <c r="EL246" i="2"/>
  <c r="EM83" i="2"/>
  <c r="EM86" i="2"/>
  <c r="EM110" i="2"/>
  <c r="EM84" i="2"/>
  <c r="EM88" i="2"/>
  <c r="EM89" i="2"/>
  <c r="EM111" i="2"/>
  <c r="EM118" i="2"/>
  <c r="EM119" i="2"/>
  <c r="EM141" i="2"/>
  <c r="EM245" i="2"/>
  <c r="EM107" i="2"/>
  <c r="EM108" i="2"/>
  <c r="EM114" i="2"/>
  <c r="EM115" i="2"/>
  <c r="EM139" i="2"/>
  <c r="EM244" i="2"/>
  <c r="EM246" i="2"/>
  <c r="EN83" i="2"/>
  <c r="EN86" i="2"/>
  <c r="EN110" i="2"/>
  <c r="EN84" i="2"/>
  <c r="EN88" i="2"/>
  <c r="EN89" i="2"/>
  <c r="EN111" i="2"/>
  <c r="EN118" i="2"/>
  <c r="EN119" i="2"/>
  <c r="EN141" i="2"/>
  <c r="EN245" i="2"/>
  <c r="EN107" i="2"/>
  <c r="EN108" i="2"/>
  <c r="EN114" i="2"/>
  <c r="EN115" i="2"/>
  <c r="EN139" i="2"/>
  <c r="EN244" i="2"/>
  <c r="EN246" i="2"/>
  <c r="EO83" i="2"/>
  <c r="EO86" i="2"/>
  <c r="EO110" i="2"/>
  <c r="EO84" i="2"/>
  <c r="EO88" i="2"/>
  <c r="EO89" i="2"/>
  <c r="EO111" i="2"/>
  <c r="EO118" i="2"/>
  <c r="EO119" i="2"/>
  <c r="EO141" i="2"/>
  <c r="EO245" i="2"/>
  <c r="EO107" i="2"/>
  <c r="EO108" i="2"/>
  <c r="EO114" i="2"/>
  <c r="EO115" i="2"/>
  <c r="EO139" i="2"/>
  <c r="EO244" i="2"/>
  <c r="EO246" i="2"/>
  <c r="EP83" i="2"/>
  <c r="EP86" i="2"/>
  <c r="EP110" i="2"/>
  <c r="EP84" i="2"/>
  <c r="EP88" i="2"/>
  <c r="EP89" i="2"/>
  <c r="EP111" i="2"/>
  <c r="EP118" i="2"/>
  <c r="EP119" i="2"/>
  <c r="EP141" i="2"/>
  <c r="EP245" i="2"/>
  <c r="EP107" i="2"/>
  <c r="EP108" i="2"/>
  <c r="EP114" i="2"/>
  <c r="EP115" i="2"/>
  <c r="EP139" i="2"/>
  <c r="EP244" i="2"/>
  <c r="EP246" i="2"/>
  <c r="EQ83" i="2"/>
  <c r="EQ86" i="2"/>
  <c r="EQ110" i="2"/>
  <c r="EQ84" i="2"/>
  <c r="EQ88" i="2"/>
  <c r="EQ89" i="2"/>
  <c r="EQ111" i="2"/>
  <c r="EQ118" i="2"/>
  <c r="EQ119" i="2"/>
  <c r="EQ141" i="2"/>
  <c r="EQ245" i="2"/>
  <c r="EQ107" i="2"/>
  <c r="EQ108" i="2"/>
  <c r="EQ114" i="2"/>
  <c r="EQ115" i="2"/>
  <c r="EQ139" i="2"/>
  <c r="EQ244" i="2"/>
  <c r="EQ246" i="2"/>
  <c r="ER83" i="2"/>
  <c r="ER86" i="2"/>
  <c r="ER110" i="2"/>
  <c r="ER84" i="2"/>
  <c r="ER88" i="2"/>
  <c r="ER89" i="2"/>
  <c r="ER111" i="2"/>
  <c r="ER118" i="2"/>
  <c r="ER119" i="2"/>
  <c r="ER141" i="2"/>
  <c r="ER245" i="2"/>
  <c r="ER107" i="2"/>
  <c r="ER108" i="2"/>
  <c r="ER114" i="2"/>
  <c r="ER115" i="2"/>
  <c r="ER139" i="2"/>
  <c r="ER244" i="2"/>
  <c r="ER246" i="2"/>
  <c r="ES83" i="2"/>
  <c r="ES86" i="2"/>
  <c r="ES110" i="2"/>
  <c r="ES84" i="2"/>
  <c r="ES88" i="2"/>
  <c r="ES89" i="2"/>
  <c r="ES111" i="2"/>
  <c r="ES118" i="2"/>
  <c r="ES119" i="2"/>
  <c r="ES141" i="2"/>
  <c r="ES245" i="2"/>
  <c r="ES107" i="2"/>
  <c r="ES108" i="2"/>
  <c r="ES114" i="2"/>
  <c r="ES115" i="2"/>
  <c r="ES139" i="2"/>
  <c r="ES244" i="2"/>
  <c r="ES246" i="2"/>
  <c r="ET83" i="2"/>
  <c r="ET86" i="2"/>
  <c r="ET110" i="2"/>
  <c r="ET84" i="2"/>
  <c r="ET88" i="2"/>
  <c r="ET89" i="2"/>
  <c r="ET111" i="2"/>
  <c r="ET118" i="2"/>
  <c r="ET119" i="2"/>
  <c r="ET141" i="2"/>
  <c r="ET245" i="2"/>
  <c r="ET107" i="2"/>
  <c r="ET108" i="2"/>
  <c r="ET114" i="2"/>
  <c r="ET115" i="2"/>
  <c r="ET139" i="2"/>
  <c r="ET244" i="2"/>
  <c r="ET246" i="2"/>
  <c r="EU83" i="2"/>
  <c r="EU86" i="2"/>
  <c r="EU110" i="2"/>
  <c r="EU84" i="2"/>
  <c r="EU88" i="2"/>
  <c r="EU89" i="2"/>
  <c r="EU111" i="2"/>
  <c r="EU118" i="2"/>
  <c r="EU119" i="2"/>
  <c r="EU141" i="2"/>
  <c r="EU245" i="2"/>
  <c r="EU107" i="2"/>
  <c r="EU108" i="2"/>
  <c r="EU114" i="2"/>
  <c r="EU115" i="2"/>
  <c r="EU139" i="2"/>
  <c r="EU244" i="2"/>
  <c r="EU246" i="2"/>
  <c r="EV83" i="2"/>
  <c r="EV86" i="2"/>
  <c r="EV110" i="2"/>
  <c r="EV84" i="2"/>
  <c r="EV88" i="2"/>
  <c r="EV89" i="2"/>
  <c r="EV111" i="2"/>
  <c r="EV118" i="2"/>
  <c r="EV119" i="2"/>
  <c r="EV141" i="2"/>
  <c r="EV245" i="2"/>
  <c r="EV107" i="2"/>
  <c r="EV108" i="2"/>
  <c r="EV114" i="2"/>
  <c r="EV115" i="2"/>
  <c r="EV139" i="2"/>
  <c r="EV244" i="2"/>
  <c r="EV246" i="2"/>
  <c r="EW83" i="2"/>
  <c r="EW86" i="2"/>
  <c r="EW110" i="2"/>
  <c r="EW84" i="2"/>
  <c r="EW88" i="2"/>
  <c r="EW89" i="2"/>
  <c r="EW111" i="2"/>
  <c r="EW118" i="2"/>
  <c r="EW119" i="2"/>
  <c r="EW141" i="2"/>
  <c r="EW245" i="2"/>
  <c r="EW107" i="2"/>
  <c r="EW108" i="2"/>
  <c r="EW114" i="2"/>
  <c r="EW115" i="2"/>
  <c r="EW139" i="2"/>
  <c r="EW244" i="2"/>
  <c r="EW246" i="2"/>
  <c r="EX83" i="2"/>
  <c r="EX86" i="2"/>
  <c r="EX110" i="2"/>
  <c r="EX84" i="2"/>
  <c r="EX88" i="2"/>
  <c r="EX89" i="2"/>
  <c r="EX111" i="2"/>
  <c r="EX118" i="2"/>
  <c r="EX119" i="2"/>
  <c r="EX141" i="2"/>
  <c r="EX245" i="2"/>
  <c r="EX107" i="2"/>
  <c r="EX108" i="2"/>
  <c r="EX114" i="2"/>
  <c r="EX115" i="2"/>
  <c r="EX139" i="2"/>
  <c r="EX244" i="2"/>
  <c r="EX246" i="2"/>
  <c r="EY83" i="2"/>
  <c r="EY86" i="2"/>
  <c r="EY110" i="2"/>
  <c r="EY84" i="2"/>
  <c r="EY88" i="2"/>
  <c r="EY89" i="2"/>
  <c r="EY111" i="2"/>
  <c r="EY118" i="2"/>
  <c r="EY119" i="2"/>
  <c r="EY141" i="2"/>
  <c r="EY245" i="2"/>
  <c r="EY107" i="2"/>
  <c r="EY108" i="2"/>
  <c r="EY114" i="2"/>
  <c r="EY115" i="2"/>
  <c r="EY139" i="2"/>
  <c r="EY244" i="2"/>
  <c r="EY246" i="2"/>
  <c r="EZ83" i="2"/>
  <c r="EZ86" i="2"/>
  <c r="EZ110" i="2"/>
  <c r="EZ84" i="2"/>
  <c r="EZ88" i="2"/>
  <c r="EZ89" i="2"/>
  <c r="EZ111" i="2"/>
  <c r="EZ118" i="2"/>
  <c r="EZ119" i="2"/>
  <c r="EZ141" i="2"/>
  <c r="EZ245" i="2"/>
  <c r="EZ107" i="2"/>
  <c r="EZ108" i="2"/>
  <c r="EZ114" i="2"/>
  <c r="EZ115" i="2"/>
  <c r="EZ139" i="2"/>
  <c r="EZ244" i="2"/>
  <c r="EZ246" i="2"/>
  <c r="FA83" i="2"/>
  <c r="FA86" i="2"/>
  <c r="FA110" i="2"/>
  <c r="FA84" i="2"/>
  <c r="FA88" i="2"/>
  <c r="FA89" i="2"/>
  <c r="FA111" i="2"/>
  <c r="FA118" i="2"/>
  <c r="FA119" i="2"/>
  <c r="FA141" i="2"/>
  <c r="FA245" i="2"/>
  <c r="FA107" i="2"/>
  <c r="FA108" i="2"/>
  <c r="FA114" i="2"/>
  <c r="FA115" i="2"/>
  <c r="FA139" i="2"/>
  <c r="FA244" i="2"/>
  <c r="FA246" i="2"/>
  <c r="FB83" i="2"/>
  <c r="FB86" i="2"/>
  <c r="FB110" i="2"/>
  <c r="FB84" i="2"/>
  <c r="FB88" i="2"/>
  <c r="FB89" i="2"/>
  <c r="FB111" i="2"/>
  <c r="FB118" i="2"/>
  <c r="FB119" i="2"/>
  <c r="FB141" i="2"/>
  <c r="FB245" i="2"/>
  <c r="FB107" i="2"/>
  <c r="FB108" i="2"/>
  <c r="FB114" i="2"/>
  <c r="FB115" i="2"/>
  <c r="FB139" i="2"/>
  <c r="FB244" i="2"/>
  <c r="FB246" i="2"/>
  <c r="FC83" i="2"/>
  <c r="FC86" i="2"/>
  <c r="FC110" i="2"/>
  <c r="FC84" i="2"/>
  <c r="FC88" i="2"/>
  <c r="FC89" i="2"/>
  <c r="FC111" i="2"/>
  <c r="FC118" i="2"/>
  <c r="FC119" i="2"/>
  <c r="FC141" i="2"/>
  <c r="FC245" i="2"/>
  <c r="FC107" i="2"/>
  <c r="FC108" i="2"/>
  <c r="FC114" i="2"/>
  <c r="FC115" i="2"/>
  <c r="FC139" i="2"/>
  <c r="FC244" i="2"/>
  <c r="FC246" i="2"/>
  <c r="FD83" i="2"/>
  <c r="FD86" i="2"/>
  <c r="FD110" i="2"/>
  <c r="FD84" i="2"/>
  <c r="FD88" i="2"/>
  <c r="FD89" i="2"/>
  <c r="FD111" i="2"/>
  <c r="FD118" i="2"/>
  <c r="FD119" i="2"/>
  <c r="FD141" i="2"/>
  <c r="FD245" i="2"/>
  <c r="FD107" i="2"/>
  <c r="FD108" i="2"/>
  <c r="FD114" i="2"/>
  <c r="FD115" i="2"/>
  <c r="FD139" i="2"/>
  <c r="FD244" i="2"/>
  <c r="FD246" i="2"/>
  <c r="FE83" i="2"/>
  <c r="FE86" i="2"/>
  <c r="FE110" i="2"/>
  <c r="FE84" i="2"/>
  <c r="FE88" i="2"/>
  <c r="FE89" i="2"/>
  <c r="FE111" i="2"/>
  <c r="FE118" i="2"/>
  <c r="FE119" i="2"/>
  <c r="FE141" i="2"/>
  <c r="FE245" i="2"/>
  <c r="FE107" i="2"/>
  <c r="FE108" i="2"/>
  <c r="FE114" i="2"/>
  <c r="FE115" i="2"/>
  <c r="FE139" i="2"/>
  <c r="FE244" i="2"/>
  <c r="FE246" i="2"/>
  <c r="FF83" i="2"/>
  <c r="FF86" i="2"/>
  <c r="FF110" i="2"/>
  <c r="FF84" i="2"/>
  <c r="FF88" i="2"/>
  <c r="FF89" i="2"/>
  <c r="FF111" i="2"/>
  <c r="FF118" i="2"/>
  <c r="FF119" i="2"/>
  <c r="FF141" i="2"/>
  <c r="FF245" i="2"/>
  <c r="FF107" i="2"/>
  <c r="FF108" i="2"/>
  <c r="FF114" i="2"/>
  <c r="FF115" i="2"/>
  <c r="FF139" i="2"/>
  <c r="FF244" i="2"/>
  <c r="FF246" i="2"/>
  <c r="FG83" i="2"/>
  <c r="FG86" i="2"/>
  <c r="FG110" i="2"/>
  <c r="FG84" i="2"/>
  <c r="FG88" i="2"/>
  <c r="FG89" i="2"/>
  <c r="FG111" i="2"/>
  <c r="FG118" i="2"/>
  <c r="FG119" i="2"/>
  <c r="FG141" i="2"/>
  <c r="FG245" i="2"/>
  <c r="FG107" i="2"/>
  <c r="FG108" i="2"/>
  <c r="FG114" i="2"/>
  <c r="FG115" i="2"/>
  <c r="FG139" i="2"/>
  <c r="FG244" i="2"/>
  <c r="FG246" i="2"/>
  <c r="FH83" i="2"/>
  <c r="FH86" i="2"/>
  <c r="FH110" i="2"/>
  <c r="FH84" i="2"/>
  <c r="FH88" i="2"/>
  <c r="FH89" i="2"/>
  <c r="FH111" i="2"/>
  <c r="FH118" i="2"/>
  <c r="FH119" i="2"/>
  <c r="FH141" i="2"/>
  <c r="FH245" i="2"/>
  <c r="FH107" i="2"/>
  <c r="FH108" i="2"/>
  <c r="FH114" i="2"/>
  <c r="FH115" i="2"/>
  <c r="FH139" i="2"/>
  <c r="FH244" i="2"/>
  <c r="FH246" i="2"/>
  <c r="FI83" i="2"/>
  <c r="FI86" i="2"/>
  <c r="FI110" i="2"/>
  <c r="FI84" i="2"/>
  <c r="FI88" i="2"/>
  <c r="FI89" i="2"/>
  <c r="FI111" i="2"/>
  <c r="FI118" i="2"/>
  <c r="FI119" i="2"/>
  <c r="FI141" i="2"/>
  <c r="FI245" i="2"/>
  <c r="FI107" i="2"/>
  <c r="FI108" i="2"/>
  <c r="FI114" i="2"/>
  <c r="FI115" i="2"/>
  <c r="FI139" i="2"/>
  <c r="FI244" i="2"/>
  <c r="FI246" i="2"/>
  <c r="FJ83" i="2"/>
  <c r="FJ86" i="2"/>
  <c r="FJ110" i="2"/>
  <c r="FJ84" i="2"/>
  <c r="FJ88" i="2"/>
  <c r="FJ89" i="2"/>
  <c r="FJ111" i="2"/>
  <c r="FJ118" i="2"/>
  <c r="FJ119" i="2"/>
  <c r="FJ141" i="2"/>
  <c r="FJ245" i="2"/>
  <c r="FJ107" i="2"/>
  <c r="FJ108" i="2"/>
  <c r="FJ114" i="2"/>
  <c r="FJ115" i="2"/>
  <c r="FJ139" i="2"/>
  <c r="FJ244" i="2"/>
  <c r="FJ246" i="2"/>
  <c r="FK83" i="2"/>
  <c r="FK86" i="2"/>
  <c r="FK110" i="2"/>
  <c r="FK84" i="2"/>
  <c r="FK88" i="2"/>
  <c r="FK89" i="2"/>
  <c r="FK111" i="2"/>
  <c r="FK118" i="2"/>
  <c r="FK119" i="2"/>
  <c r="FK141" i="2"/>
  <c r="FK245" i="2"/>
  <c r="FK107" i="2"/>
  <c r="FK108" i="2"/>
  <c r="FK114" i="2"/>
  <c r="FK115" i="2"/>
  <c r="FK139" i="2"/>
  <c r="FK244" i="2"/>
  <c r="FK246" i="2"/>
  <c r="FL83" i="2"/>
  <c r="FL86" i="2"/>
  <c r="FL110" i="2"/>
  <c r="FL84" i="2"/>
  <c r="FL88" i="2"/>
  <c r="FL89" i="2"/>
  <c r="FL111" i="2"/>
  <c r="FL118" i="2"/>
  <c r="FL119" i="2"/>
  <c r="FL141" i="2"/>
  <c r="FL245" i="2"/>
  <c r="FL107" i="2"/>
  <c r="FL108" i="2"/>
  <c r="FL114" i="2"/>
  <c r="FL115" i="2"/>
  <c r="FL139" i="2"/>
  <c r="FL244" i="2"/>
  <c r="FL246" i="2"/>
  <c r="FM83" i="2"/>
  <c r="FM86" i="2"/>
  <c r="FM110" i="2"/>
  <c r="FM84" i="2"/>
  <c r="FM88" i="2"/>
  <c r="FM89" i="2"/>
  <c r="FM111" i="2"/>
  <c r="FM118" i="2"/>
  <c r="FM119" i="2"/>
  <c r="FM141" i="2"/>
  <c r="FM245" i="2"/>
  <c r="FM107" i="2"/>
  <c r="FM108" i="2"/>
  <c r="FM114" i="2"/>
  <c r="FM115" i="2"/>
  <c r="FM139" i="2"/>
  <c r="FM244" i="2"/>
  <c r="FM246" i="2"/>
  <c r="FN83" i="2"/>
  <c r="FN86" i="2"/>
  <c r="FN110" i="2"/>
  <c r="FN84" i="2"/>
  <c r="FN88" i="2"/>
  <c r="FN89" i="2"/>
  <c r="FN111" i="2"/>
  <c r="FN118" i="2"/>
  <c r="FN119" i="2"/>
  <c r="FN141" i="2"/>
  <c r="FN245" i="2"/>
  <c r="FN107" i="2"/>
  <c r="FN108" i="2"/>
  <c r="FN114" i="2"/>
  <c r="FN115" i="2"/>
  <c r="FN139" i="2"/>
  <c r="FN244" i="2"/>
  <c r="FN246" i="2"/>
  <c r="FO83" i="2"/>
  <c r="FO86" i="2"/>
  <c r="FO110" i="2"/>
  <c r="FO84" i="2"/>
  <c r="FO88" i="2"/>
  <c r="FO89" i="2"/>
  <c r="FO111" i="2"/>
  <c r="FO118" i="2"/>
  <c r="FO119" i="2"/>
  <c r="FO141" i="2"/>
  <c r="FO245" i="2"/>
  <c r="FO107" i="2"/>
  <c r="FO108" i="2"/>
  <c r="FO114" i="2"/>
  <c r="FO115" i="2"/>
  <c r="FO139" i="2"/>
  <c r="FO244" i="2"/>
  <c r="FO246" i="2"/>
  <c r="FP83" i="2"/>
  <c r="FP86" i="2"/>
  <c r="FP110" i="2"/>
  <c r="FP84" i="2"/>
  <c r="FP88" i="2"/>
  <c r="FP89" i="2"/>
  <c r="FP111" i="2"/>
  <c r="FP118" i="2"/>
  <c r="FP119" i="2"/>
  <c r="FP141" i="2"/>
  <c r="FP245" i="2"/>
  <c r="FP107" i="2"/>
  <c r="FP108" i="2"/>
  <c r="FP114" i="2"/>
  <c r="FP115" i="2"/>
  <c r="FP139" i="2"/>
  <c r="FP244" i="2"/>
  <c r="FP246" i="2"/>
  <c r="FQ83" i="2"/>
  <c r="FQ86" i="2"/>
  <c r="FQ110" i="2"/>
  <c r="FQ84" i="2"/>
  <c r="FQ88" i="2"/>
  <c r="FQ89" i="2"/>
  <c r="FQ111" i="2"/>
  <c r="FQ118" i="2"/>
  <c r="FQ119" i="2"/>
  <c r="FQ141" i="2"/>
  <c r="FQ245" i="2"/>
  <c r="FQ107" i="2"/>
  <c r="FQ108" i="2"/>
  <c r="FQ114" i="2"/>
  <c r="FQ115" i="2"/>
  <c r="FQ139" i="2"/>
  <c r="FQ244" i="2"/>
  <c r="FQ246" i="2"/>
  <c r="FR83" i="2"/>
  <c r="FR86" i="2"/>
  <c r="FR110" i="2"/>
  <c r="FR84" i="2"/>
  <c r="FR88" i="2"/>
  <c r="FR89" i="2"/>
  <c r="FR111" i="2"/>
  <c r="FR118" i="2"/>
  <c r="FR119" i="2"/>
  <c r="FR141" i="2"/>
  <c r="FR245" i="2"/>
  <c r="FR107" i="2"/>
  <c r="FR108" i="2"/>
  <c r="FR114" i="2"/>
  <c r="FR115" i="2"/>
  <c r="FR139" i="2"/>
  <c r="FR244" i="2"/>
  <c r="FR246" i="2"/>
  <c r="FS83" i="2"/>
  <c r="FS86" i="2"/>
  <c r="FS110" i="2"/>
  <c r="FS84" i="2"/>
  <c r="FS88" i="2"/>
  <c r="FS89" i="2"/>
  <c r="FS111" i="2"/>
  <c r="FS118" i="2"/>
  <c r="FS119" i="2"/>
  <c r="FS141" i="2"/>
  <c r="FS245" i="2"/>
  <c r="FS107" i="2"/>
  <c r="FS108" i="2"/>
  <c r="FS114" i="2"/>
  <c r="FS115" i="2"/>
  <c r="FS139" i="2"/>
  <c r="FS244" i="2"/>
  <c r="FS246" i="2"/>
  <c r="FT83" i="2"/>
  <c r="FT86" i="2"/>
  <c r="FT110" i="2"/>
  <c r="FT84" i="2"/>
  <c r="FT88" i="2"/>
  <c r="FT89" i="2"/>
  <c r="FT111" i="2"/>
  <c r="FT118" i="2"/>
  <c r="FT119" i="2"/>
  <c r="FT141" i="2"/>
  <c r="FT245" i="2"/>
  <c r="FT107" i="2"/>
  <c r="FT108" i="2"/>
  <c r="FT114" i="2"/>
  <c r="FT115" i="2"/>
  <c r="FT139" i="2"/>
  <c r="FT244" i="2"/>
  <c r="FT246" i="2"/>
  <c r="FU83" i="2"/>
  <c r="FU86" i="2"/>
  <c r="FU110" i="2"/>
  <c r="FU84" i="2"/>
  <c r="FU88" i="2"/>
  <c r="FU89" i="2"/>
  <c r="FU111" i="2"/>
  <c r="FU118" i="2"/>
  <c r="FU119" i="2"/>
  <c r="FU141" i="2"/>
  <c r="FU245" i="2"/>
  <c r="FU107" i="2"/>
  <c r="FU108" i="2"/>
  <c r="FU114" i="2"/>
  <c r="FU115" i="2"/>
  <c r="FU139" i="2"/>
  <c r="FU244" i="2"/>
  <c r="FU246" i="2"/>
  <c r="FV83" i="2"/>
  <c r="FV86" i="2"/>
  <c r="FV110" i="2"/>
  <c r="FV84" i="2"/>
  <c r="FV88" i="2"/>
  <c r="FV89" i="2"/>
  <c r="FV111" i="2"/>
  <c r="FV118" i="2"/>
  <c r="FV119" i="2"/>
  <c r="FV141" i="2"/>
  <c r="FV245" i="2"/>
  <c r="FV107" i="2"/>
  <c r="FV108" i="2"/>
  <c r="FV114" i="2"/>
  <c r="FV115" i="2"/>
  <c r="FV139" i="2"/>
  <c r="FV244" i="2"/>
  <c r="FV246" i="2"/>
  <c r="FW83" i="2"/>
  <c r="FW86" i="2"/>
  <c r="FW110" i="2"/>
  <c r="FW84" i="2"/>
  <c r="FW88" i="2"/>
  <c r="FW89" i="2"/>
  <c r="FW111" i="2"/>
  <c r="FW118" i="2"/>
  <c r="FW119" i="2"/>
  <c r="FW141" i="2"/>
  <c r="FW245" i="2"/>
  <c r="FW107" i="2"/>
  <c r="FW108" i="2"/>
  <c r="FW114" i="2"/>
  <c r="FW115" i="2"/>
  <c r="FW139" i="2"/>
  <c r="FW244" i="2"/>
  <c r="FW246" i="2"/>
  <c r="FX83" i="2"/>
  <c r="FX86" i="2"/>
  <c r="FX110" i="2"/>
  <c r="FX84" i="2"/>
  <c r="FX88" i="2"/>
  <c r="FX89" i="2"/>
  <c r="FX111" i="2"/>
  <c r="FX118" i="2"/>
  <c r="FX119" i="2"/>
  <c r="FX141" i="2"/>
  <c r="FX245" i="2"/>
  <c r="FX107" i="2"/>
  <c r="FX108" i="2"/>
  <c r="FX114" i="2"/>
  <c r="FX115" i="2"/>
  <c r="FX139" i="2"/>
  <c r="FX244" i="2"/>
  <c r="FX246" i="2"/>
  <c r="FY83" i="2"/>
  <c r="FY86" i="2"/>
  <c r="FY110" i="2"/>
  <c r="FY84" i="2"/>
  <c r="FY88" i="2"/>
  <c r="FY89" i="2"/>
  <c r="FY111" i="2"/>
  <c r="FY118" i="2"/>
  <c r="FY119" i="2"/>
  <c r="FY141" i="2"/>
  <c r="FY245" i="2"/>
  <c r="FY107" i="2"/>
  <c r="FY108" i="2"/>
  <c r="FY114" i="2"/>
  <c r="FY115" i="2"/>
  <c r="FY139" i="2"/>
  <c r="FY244" i="2"/>
  <c r="FY246" i="2"/>
  <c r="FZ83" i="2"/>
  <c r="FZ86" i="2"/>
  <c r="FZ110" i="2"/>
  <c r="FZ84" i="2"/>
  <c r="FZ88" i="2"/>
  <c r="FZ89" i="2"/>
  <c r="FZ111" i="2"/>
  <c r="FZ118" i="2"/>
  <c r="FZ119" i="2"/>
  <c r="FZ141" i="2"/>
  <c r="FZ245" i="2"/>
  <c r="FZ107" i="2"/>
  <c r="FZ108" i="2"/>
  <c r="FZ114" i="2"/>
  <c r="FZ115" i="2"/>
  <c r="FZ139" i="2"/>
  <c r="FZ244" i="2"/>
  <c r="FZ246" i="2"/>
  <c r="GA83" i="2"/>
  <c r="GA86" i="2"/>
  <c r="GA110" i="2"/>
  <c r="GA84" i="2"/>
  <c r="GA88" i="2"/>
  <c r="GA89" i="2"/>
  <c r="GA111" i="2"/>
  <c r="GA118" i="2"/>
  <c r="GA119" i="2"/>
  <c r="GA141" i="2"/>
  <c r="GA245" i="2"/>
  <c r="GA107" i="2"/>
  <c r="GA108" i="2"/>
  <c r="GA114" i="2"/>
  <c r="GA115" i="2"/>
  <c r="GA139" i="2"/>
  <c r="GA244" i="2"/>
  <c r="GA246" i="2"/>
  <c r="GB83" i="2"/>
  <c r="GB86" i="2"/>
  <c r="GB110" i="2"/>
  <c r="GB84" i="2"/>
  <c r="GB88" i="2"/>
  <c r="GB89" i="2"/>
  <c r="GB111" i="2"/>
  <c r="GB118" i="2"/>
  <c r="GB119" i="2"/>
  <c r="GB141" i="2"/>
  <c r="GB245" i="2"/>
  <c r="GB107" i="2"/>
  <c r="GB108" i="2"/>
  <c r="GB114" i="2"/>
  <c r="GB115" i="2"/>
  <c r="GB139" i="2"/>
  <c r="GB244" i="2"/>
  <c r="GB246" i="2"/>
  <c r="GC83" i="2"/>
  <c r="GC86" i="2"/>
  <c r="GC110" i="2"/>
  <c r="GC84" i="2"/>
  <c r="GC88" i="2"/>
  <c r="GC89" i="2"/>
  <c r="GC111" i="2"/>
  <c r="GC118" i="2"/>
  <c r="GC119" i="2"/>
  <c r="GC141" i="2"/>
  <c r="GC245" i="2"/>
  <c r="GC107" i="2"/>
  <c r="GC108" i="2"/>
  <c r="GC114" i="2"/>
  <c r="GC115" i="2"/>
  <c r="GC139" i="2"/>
  <c r="GC244" i="2"/>
  <c r="GC246" i="2"/>
  <c r="GD83" i="2"/>
  <c r="GD86" i="2"/>
  <c r="GD110" i="2"/>
  <c r="GD84" i="2"/>
  <c r="GD88" i="2"/>
  <c r="GD89" i="2"/>
  <c r="GD111" i="2"/>
  <c r="GD118" i="2"/>
  <c r="GD119" i="2"/>
  <c r="GD141" i="2"/>
  <c r="GD245" i="2"/>
  <c r="GD107" i="2"/>
  <c r="GD108" i="2"/>
  <c r="GD114" i="2"/>
  <c r="GD115" i="2"/>
  <c r="GD139" i="2"/>
  <c r="GD244" i="2"/>
  <c r="GD246" i="2"/>
  <c r="GE83" i="2"/>
  <c r="GE86" i="2"/>
  <c r="GE110" i="2"/>
  <c r="GE84" i="2"/>
  <c r="GE88" i="2"/>
  <c r="GE89" i="2"/>
  <c r="GE111" i="2"/>
  <c r="GE118" i="2"/>
  <c r="GE119" i="2"/>
  <c r="GE141" i="2"/>
  <c r="GE245" i="2"/>
  <c r="GE107" i="2"/>
  <c r="GE108" i="2"/>
  <c r="GE114" i="2"/>
  <c r="GE115" i="2"/>
  <c r="GE139" i="2"/>
  <c r="GE244" i="2"/>
  <c r="GE246" i="2"/>
  <c r="GF83" i="2"/>
  <c r="GF86" i="2"/>
  <c r="GF110" i="2"/>
  <c r="GF84" i="2"/>
  <c r="GF88" i="2"/>
  <c r="GF89" i="2"/>
  <c r="GF111" i="2"/>
  <c r="GF118" i="2"/>
  <c r="GF119" i="2"/>
  <c r="GF141" i="2"/>
  <c r="GF245" i="2"/>
  <c r="GF107" i="2"/>
  <c r="GF108" i="2"/>
  <c r="GF114" i="2"/>
  <c r="GF115" i="2"/>
  <c r="GF139" i="2"/>
  <c r="GF244" i="2"/>
  <c r="GF246" i="2"/>
  <c r="GG83" i="2"/>
  <c r="GG86" i="2"/>
  <c r="GG110" i="2"/>
  <c r="GG84" i="2"/>
  <c r="GG88" i="2"/>
  <c r="GG89" i="2"/>
  <c r="GG111" i="2"/>
  <c r="GG118" i="2"/>
  <c r="GG119" i="2"/>
  <c r="GG141" i="2"/>
  <c r="GG245" i="2"/>
  <c r="GG107" i="2"/>
  <c r="GG108" i="2"/>
  <c r="GG114" i="2"/>
  <c r="GG115" i="2"/>
  <c r="GG139" i="2"/>
  <c r="GG244" i="2"/>
  <c r="GG246" i="2"/>
  <c r="GH83" i="2"/>
  <c r="GH86" i="2"/>
  <c r="GH110" i="2"/>
  <c r="GH84" i="2"/>
  <c r="GH88" i="2"/>
  <c r="GH89" i="2"/>
  <c r="GH111" i="2"/>
  <c r="GH118" i="2"/>
  <c r="GH119" i="2"/>
  <c r="GH141" i="2"/>
  <c r="GH245" i="2"/>
  <c r="GH107" i="2"/>
  <c r="GH108" i="2"/>
  <c r="GH114" i="2"/>
  <c r="GH115" i="2"/>
  <c r="GH139" i="2"/>
  <c r="GH244" i="2"/>
  <c r="GH246" i="2"/>
  <c r="GI83" i="2"/>
  <c r="GI86" i="2"/>
  <c r="GI110" i="2"/>
  <c r="GI84" i="2"/>
  <c r="GI88" i="2"/>
  <c r="GI89" i="2"/>
  <c r="GI111" i="2"/>
  <c r="GI118" i="2"/>
  <c r="GI119" i="2"/>
  <c r="GI141" i="2"/>
  <c r="GI245" i="2"/>
  <c r="GI107" i="2"/>
  <c r="GI108" i="2"/>
  <c r="GI114" i="2"/>
  <c r="GI115" i="2"/>
  <c r="GI139" i="2"/>
  <c r="GI244" i="2"/>
  <c r="GI246" i="2"/>
  <c r="GJ83" i="2"/>
  <c r="GJ86" i="2"/>
  <c r="GJ110" i="2"/>
  <c r="GJ84" i="2"/>
  <c r="GJ88" i="2"/>
  <c r="GJ89" i="2"/>
  <c r="GJ111" i="2"/>
  <c r="GJ118" i="2"/>
  <c r="GJ119" i="2"/>
  <c r="GJ141" i="2"/>
  <c r="GJ245" i="2"/>
  <c r="GJ107" i="2"/>
  <c r="GJ108" i="2"/>
  <c r="GJ114" i="2"/>
  <c r="GJ115" i="2"/>
  <c r="GJ139" i="2"/>
  <c r="GJ244" i="2"/>
  <c r="GJ246" i="2"/>
  <c r="GK83" i="2"/>
  <c r="GK86" i="2"/>
  <c r="GK110" i="2"/>
  <c r="GK84" i="2"/>
  <c r="GK88" i="2"/>
  <c r="GK89" i="2"/>
  <c r="GK111" i="2"/>
  <c r="GK118" i="2"/>
  <c r="GK119" i="2"/>
  <c r="GK141" i="2"/>
  <c r="GK245" i="2"/>
  <c r="GK107" i="2"/>
  <c r="GK108" i="2"/>
  <c r="GK114" i="2"/>
  <c r="GK115" i="2"/>
  <c r="GK139" i="2"/>
  <c r="GK244" i="2"/>
  <c r="GK246" i="2"/>
  <c r="GL83" i="2"/>
  <c r="GL86" i="2"/>
  <c r="GL110" i="2"/>
  <c r="GL84" i="2"/>
  <c r="GL88" i="2"/>
  <c r="GL89" i="2"/>
  <c r="GL111" i="2"/>
  <c r="GL118" i="2"/>
  <c r="GL119" i="2"/>
  <c r="GL141" i="2"/>
  <c r="GL245" i="2"/>
  <c r="GL107" i="2"/>
  <c r="GL108" i="2"/>
  <c r="GL114" i="2"/>
  <c r="GL115" i="2"/>
  <c r="GL139" i="2"/>
  <c r="GL244" i="2"/>
  <c r="GL246" i="2"/>
  <c r="GM83" i="2"/>
  <c r="GM86" i="2"/>
  <c r="GM110" i="2"/>
  <c r="GM84" i="2"/>
  <c r="GM88" i="2"/>
  <c r="GM89" i="2"/>
  <c r="GM111" i="2"/>
  <c r="GM118" i="2"/>
  <c r="GM119" i="2"/>
  <c r="GM141" i="2"/>
  <c r="GM245" i="2"/>
  <c r="GM107" i="2"/>
  <c r="GM108" i="2"/>
  <c r="GM114" i="2"/>
  <c r="GM115" i="2"/>
  <c r="GM139" i="2"/>
  <c r="GM244" i="2"/>
  <c r="GM246" i="2"/>
  <c r="GN83" i="2"/>
  <c r="GN86" i="2"/>
  <c r="GN110" i="2"/>
  <c r="GN84" i="2"/>
  <c r="GN88" i="2"/>
  <c r="GN89" i="2"/>
  <c r="GN111" i="2"/>
  <c r="GN118" i="2"/>
  <c r="GN119" i="2"/>
  <c r="GN141" i="2"/>
  <c r="GN245" i="2"/>
  <c r="GN107" i="2"/>
  <c r="GN108" i="2"/>
  <c r="GN114" i="2"/>
  <c r="GN115" i="2"/>
  <c r="GN139" i="2"/>
  <c r="GN244" i="2"/>
  <c r="GN246" i="2"/>
  <c r="GO83" i="2"/>
  <c r="GO86" i="2"/>
  <c r="GO110" i="2"/>
  <c r="GO84" i="2"/>
  <c r="GO88" i="2"/>
  <c r="GO89" i="2"/>
  <c r="GO111" i="2"/>
  <c r="GO118" i="2"/>
  <c r="GO119" i="2"/>
  <c r="GO141" i="2"/>
  <c r="GO245" i="2"/>
  <c r="GO107" i="2"/>
  <c r="GO108" i="2"/>
  <c r="GO114" i="2"/>
  <c r="GO115" i="2"/>
  <c r="GO139" i="2"/>
  <c r="GO244" i="2"/>
  <c r="GO246" i="2"/>
  <c r="GP83" i="2"/>
  <c r="GP86" i="2"/>
  <c r="GP110" i="2"/>
  <c r="GP84" i="2"/>
  <c r="GP88" i="2"/>
  <c r="GP89" i="2"/>
  <c r="GP111" i="2"/>
  <c r="GP118" i="2"/>
  <c r="GP119" i="2"/>
  <c r="GP141" i="2"/>
  <c r="GP245" i="2"/>
  <c r="GP107" i="2"/>
  <c r="GP108" i="2"/>
  <c r="GP114" i="2"/>
  <c r="GP115" i="2"/>
  <c r="GP139" i="2"/>
  <c r="GP244" i="2"/>
  <c r="GP246" i="2"/>
  <c r="GQ83" i="2"/>
  <c r="GQ86" i="2"/>
  <c r="GQ110" i="2"/>
  <c r="GQ84" i="2"/>
  <c r="GQ88" i="2"/>
  <c r="GQ89" i="2"/>
  <c r="GQ111" i="2"/>
  <c r="GQ118" i="2"/>
  <c r="GQ119" i="2"/>
  <c r="GQ141" i="2"/>
  <c r="GQ245" i="2"/>
  <c r="GQ107" i="2"/>
  <c r="GQ108" i="2"/>
  <c r="GQ114" i="2"/>
  <c r="GQ115" i="2"/>
  <c r="GQ139" i="2"/>
  <c r="GQ244" i="2"/>
  <c r="GQ246" i="2"/>
  <c r="GR83" i="2"/>
  <c r="GR86" i="2"/>
  <c r="GR110" i="2"/>
  <c r="GR84" i="2"/>
  <c r="GR88" i="2"/>
  <c r="GR89" i="2"/>
  <c r="GR111" i="2"/>
  <c r="GR118" i="2"/>
  <c r="GR119" i="2"/>
  <c r="GR141" i="2"/>
  <c r="GR245" i="2"/>
  <c r="GR107" i="2"/>
  <c r="GR108" i="2"/>
  <c r="GR114" i="2"/>
  <c r="GR115" i="2"/>
  <c r="GR139" i="2"/>
  <c r="GR244" i="2"/>
  <c r="GR246" i="2"/>
  <c r="GS83" i="2"/>
  <c r="GS86" i="2"/>
  <c r="GS110" i="2"/>
  <c r="GS84" i="2"/>
  <c r="GS88" i="2"/>
  <c r="GS89" i="2"/>
  <c r="GS111" i="2"/>
  <c r="GS118" i="2"/>
  <c r="GS119" i="2"/>
  <c r="GS141" i="2"/>
  <c r="GS245" i="2"/>
  <c r="GS107" i="2"/>
  <c r="GS108" i="2"/>
  <c r="GS114" i="2"/>
  <c r="GS115" i="2"/>
  <c r="GS139" i="2"/>
  <c r="GS244" i="2"/>
  <c r="GS246" i="2"/>
  <c r="GT83" i="2"/>
  <c r="GT86" i="2"/>
  <c r="GT110" i="2"/>
  <c r="GT84" i="2"/>
  <c r="GT88" i="2"/>
  <c r="GT89" i="2"/>
  <c r="GT111" i="2"/>
  <c r="GT118" i="2"/>
  <c r="GT119" i="2"/>
  <c r="GT141" i="2"/>
  <c r="GT245" i="2"/>
  <c r="GT107" i="2"/>
  <c r="GT108" i="2"/>
  <c r="GT114" i="2"/>
  <c r="GT115" i="2"/>
  <c r="GT139" i="2"/>
  <c r="GT244" i="2"/>
  <c r="GT246" i="2"/>
  <c r="GU83" i="2"/>
  <c r="GU86" i="2"/>
  <c r="GU110" i="2"/>
  <c r="GU84" i="2"/>
  <c r="GU88" i="2"/>
  <c r="GU89" i="2"/>
  <c r="GU111" i="2"/>
  <c r="GU118" i="2"/>
  <c r="GU119" i="2"/>
  <c r="GU141" i="2"/>
  <c r="GU245" i="2"/>
  <c r="GU107" i="2"/>
  <c r="GU108" i="2"/>
  <c r="GU114" i="2"/>
  <c r="GU115" i="2"/>
  <c r="GU139" i="2"/>
  <c r="GU244" i="2"/>
  <c r="GU246" i="2"/>
  <c r="GV83" i="2"/>
  <c r="GV86" i="2"/>
  <c r="GV110" i="2"/>
  <c r="GV84" i="2"/>
  <c r="GV88" i="2"/>
  <c r="GV89" i="2"/>
  <c r="GV111" i="2"/>
  <c r="GV118" i="2"/>
  <c r="GV119" i="2"/>
  <c r="GV141" i="2"/>
  <c r="GV245" i="2"/>
  <c r="GV107" i="2"/>
  <c r="GV108" i="2"/>
  <c r="GV114" i="2"/>
  <c r="GV115" i="2"/>
  <c r="GV139" i="2"/>
  <c r="GV244" i="2"/>
  <c r="GV246" i="2"/>
  <c r="GW83" i="2"/>
  <c r="GW86" i="2"/>
  <c r="GW110" i="2"/>
  <c r="GW84" i="2"/>
  <c r="GW88" i="2"/>
  <c r="GW89" i="2"/>
  <c r="GW111" i="2"/>
  <c r="GW118" i="2"/>
  <c r="GW119" i="2"/>
  <c r="GW141" i="2"/>
  <c r="GW245" i="2"/>
  <c r="GW107" i="2"/>
  <c r="GW108" i="2"/>
  <c r="GW114" i="2"/>
  <c r="GW115" i="2"/>
  <c r="GW139" i="2"/>
  <c r="GW244" i="2"/>
  <c r="GW246" i="2"/>
  <c r="GX83" i="2"/>
  <c r="GX86" i="2"/>
  <c r="GX110" i="2"/>
  <c r="GX84" i="2"/>
  <c r="GX88" i="2"/>
  <c r="GX89" i="2"/>
  <c r="GX111" i="2"/>
  <c r="GX118" i="2"/>
  <c r="GX119" i="2"/>
  <c r="GX141" i="2"/>
  <c r="GX245" i="2"/>
  <c r="GX107" i="2"/>
  <c r="GX108" i="2"/>
  <c r="GX114" i="2"/>
  <c r="GX115" i="2"/>
  <c r="GX139" i="2"/>
  <c r="GX244" i="2"/>
  <c r="GX246" i="2"/>
  <c r="GY83" i="2"/>
  <c r="GY86" i="2"/>
  <c r="GY110" i="2"/>
  <c r="GY84" i="2"/>
  <c r="GY88" i="2"/>
  <c r="GY89" i="2"/>
  <c r="GY111" i="2"/>
  <c r="GY118" i="2"/>
  <c r="GY119" i="2"/>
  <c r="GY141" i="2"/>
  <c r="GY245" i="2"/>
  <c r="GY107" i="2"/>
  <c r="GY108" i="2"/>
  <c r="GY114" i="2"/>
  <c r="GY115" i="2"/>
  <c r="GY139" i="2"/>
  <c r="GY244" i="2"/>
  <c r="GY246" i="2"/>
  <c r="GZ83" i="2"/>
  <c r="GZ86" i="2"/>
  <c r="GZ110" i="2"/>
  <c r="GZ84" i="2"/>
  <c r="GZ88" i="2"/>
  <c r="GZ89" i="2"/>
  <c r="GZ111" i="2"/>
  <c r="GZ118" i="2"/>
  <c r="GZ119" i="2"/>
  <c r="GZ141" i="2"/>
  <c r="GZ245" i="2"/>
  <c r="GZ107" i="2"/>
  <c r="GZ108" i="2"/>
  <c r="GZ114" i="2"/>
  <c r="GZ115" i="2"/>
  <c r="GZ139" i="2"/>
  <c r="GZ244" i="2"/>
  <c r="GZ246" i="2"/>
  <c r="HA83" i="2"/>
  <c r="HA86" i="2"/>
  <c r="HA110" i="2"/>
  <c r="HA84" i="2"/>
  <c r="HA88" i="2"/>
  <c r="HA89" i="2"/>
  <c r="HA111" i="2"/>
  <c r="HA118" i="2"/>
  <c r="HA119" i="2"/>
  <c r="HA141" i="2"/>
  <c r="HA245" i="2"/>
  <c r="HA107" i="2"/>
  <c r="HA108" i="2"/>
  <c r="HA114" i="2"/>
  <c r="HA115" i="2"/>
  <c r="HA139" i="2"/>
  <c r="HA244" i="2"/>
  <c r="HA246" i="2"/>
  <c r="HB83" i="2"/>
  <c r="HB86" i="2"/>
  <c r="HB110" i="2"/>
  <c r="HB84" i="2"/>
  <c r="HB88" i="2"/>
  <c r="HB89" i="2"/>
  <c r="HB111" i="2"/>
  <c r="HB118" i="2"/>
  <c r="HB119" i="2"/>
  <c r="HB141" i="2"/>
  <c r="HB245" i="2"/>
  <c r="HB107" i="2"/>
  <c r="HB108" i="2"/>
  <c r="HB114" i="2"/>
  <c r="HB115" i="2"/>
  <c r="HB139" i="2"/>
  <c r="HB244" i="2"/>
  <c r="HB246" i="2"/>
  <c r="HC83" i="2"/>
  <c r="HC86" i="2"/>
  <c r="HC110" i="2"/>
  <c r="HC84" i="2"/>
  <c r="HC88" i="2"/>
  <c r="HC89" i="2"/>
  <c r="HC111" i="2"/>
  <c r="HC118" i="2"/>
  <c r="HC119" i="2"/>
  <c r="HC141" i="2"/>
  <c r="HC245" i="2"/>
  <c r="HC107" i="2"/>
  <c r="HC108" i="2"/>
  <c r="HC114" i="2"/>
  <c r="HC115" i="2"/>
  <c r="HC139" i="2"/>
  <c r="HC244" i="2"/>
  <c r="HC246" i="2"/>
  <c r="HD83" i="2"/>
  <c r="HD86" i="2"/>
  <c r="HD110" i="2"/>
  <c r="HD84" i="2"/>
  <c r="HD88" i="2"/>
  <c r="HD89" i="2"/>
  <c r="HD111" i="2"/>
  <c r="HD118" i="2"/>
  <c r="HD119" i="2"/>
  <c r="HD141" i="2"/>
  <c r="HD245" i="2"/>
  <c r="HD107" i="2"/>
  <c r="HD108" i="2"/>
  <c r="HD114" i="2"/>
  <c r="HD115" i="2"/>
  <c r="HD139" i="2"/>
  <c r="HD244" i="2"/>
  <c r="HD246" i="2"/>
  <c r="HE83" i="2"/>
  <c r="HE86" i="2"/>
  <c r="HE110" i="2"/>
  <c r="HE84" i="2"/>
  <c r="HE88" i="2"/>
  <c r="HE89" i="2"/>
  <c r="HE111" i="2"/>
  <c r="HE118" i="2"/>
  <c r="HE119" i="2"/>
  <c r="HE141" i="2"/>
  <c r="HE245" i="2"/>
  <c r="HE107" i="2"/>
  <c r="HE108" i="2"/>
  <c r="HE114" i="2"/>
  <c r="HE115" i="2"/>
  <c r="HE139" i="2"/>
  <c r="HE244" i="2"/>
  <c r="HE246" i="2"/>
  <c r="HF83" i="2"/>
  <c r="HF86" i="2"/>
  <c r="HF110" i="2"/>
  <c r="HF84" i="2"/>
  <c r="HF88" i="2"/>
  <c r="HF89" i="2"/>
  <c r="HF111" i="2"/>
  <c r="HF118" i="2"/>
  <c r="HF119" i="2"/>
  <c r="HF141" i="2"/>
  <c r="HF245" i="2"/>
  <c r="HF107" i="2"/>
  <c r="HF108" i="2"/>
  <c r="HF114" i="2"/>
  <c r="HF115" i="2"/>
  <c r="HF139" i="2"/>
  <c r="HF244" i="2"/>
  <c r="HF246" i="2"/>
  <c r="HG83" i="2"/>
  <c r="HG86" i="2"/>
  <c r="HG110" i="2"/>
  <c r="HG84" i="2"/>
  <c r="HG88" i="2"/>
  <c r="HG89" i="2"/>
  <c r="HG111" i="2"/>
  <c r="HG118" i="2"/>
  <c r="HG119" i="2"/>
  <c r="HG141" i="2"/>
  <c r="HG245" i="2"/>
  <c r="HG107" i="2"/>
  <c r="HG108" i="2"/>
  <c r="HG114" i="2"/>
  <c r="HG115" i="2"/>
  <c r="HG139" i="2"/>
  <c r="HG244" i="2"/>
  <c r="HG246" i="2"/>
  <c r="HH83" i="2"/>
  <c r="HH86" i="2"/>
  <c r="HH110" i="2"/>
  <c r="HH84" i="2"/>
  <c r="HH88" i="2"/>
  <c r="HH89" i="2"/>
  <c r="HH111" i="2"/>
  <c r="HH118" i="2"/>
  <c r="HH119" i="2"/>
  <c r="HH141" i="2"/>
  <c r="HH245" i="2"/>
  <c r="HH107" i="2"/>
  <c r="HH108" i="2"/>
  <c r="HH114" i="2"/>
  <c r="HH115" i="2"/>
  <c r="HH139" i="2"/>
  <c r="HH244" i="2"/>
  <c r="HH246" i="2"/>
  <c r="HI83" i="2"/>
  <c r="HI86" i="2"/>
  <c r="HI110" i="2"/>
  <c r="HI84" i="2"/>
  <c r="HI88" i="2"/>
  <c r="HI89" i="2"/>
  <c r="HI111" i="2"/>
  <c r="HI118" i="2"/>
  <c r="HI119" i="2"/>
  <c r="HI141" i="2"/>
  <c r="HI245" i="2"/>
  <c r="HI107" i="2"/>
  <c r="HI108" i="2"/>
  <c r="HI114" i="2"/>
  <c r="HI115" i="2"/>
  <c r="HI139" i="2"/>
  <c r="HI244" i="2"/>
  <c r="HI246" i="2"/>
  <c r="HJ83" i="2"/>
  <c r="HJ86" i="2"/>
  <c r="HJ110" i="2"/>
  <c r="HJ84" i="2"/>
  <c r="HJ88" i="2"/>
  <c r="HJ89" i="2"/>
  <c r="HJ111" i="2"/>
  <c r="HJ118" i="2"/>
  <c r="HJ119" i="2"/>
  <c r="HJ141" i="2"/>
  <c r="HJ245" i="2"/>
  <c r="HJ107" i="2"/>
  <c r="HJ108" i="2"/>
  <c r="HJ114" i="2"/>
  <c r="HJ115" i="2"/>
  <c r="HJ139" i="2"/>
  <c r="HJ244" i="2"/>
  <c r="HJ246" i="2"/>
  <c r="HK83" i="2"/>
  <c r="HK86" i="2"/>
  <c r="HK110" i="2"/>
  <c r="HK84" i="2"/>
  <c r="HK88" i="2"/>
  <c r="HK89" i="2"/>
  <c r="HK111" i="2"/>
  <c r="HK118" i="2"/>
  <c r="HK119" i="2"/>
  <c r="HK141" i="2"/>
  <c r="HK245" i="2"/>
  <c r="HK107" i="2"/>
  <c r="HK108" i="2"/>
  <c r="HK114" i="2"/>
  <c r="HK115" i="2"/>
  <c r="HK139" i="2"/>
  <c r="HK244" i="2"/>
  <c r="HK246" i="2"/>
  <c r="HL83" i="2"/>
  <c r="HL86" i="2"/>
  <c r="HL110" i="2"/>
  <c r="HL84" i="2"/>
  <c r="HL88" i="2"/>
  <c r="HL89" i="2"/>
  <c r="HL111" i="2"/>
  <c r="HL118" i="2"/>
  <c r="HL119" i="2"/>
  <c r="HL141" i="2"/>
  <c r="HL245" i="2"/>
  <c r="HL107" i="2"/>
  <c r="HL108" i="2"/>
  <c r="HL114" i="2"/>
  <c r="HL115" i="2"/>
  <c r="HL139" i="2"/>
  <c r="HL244" i="2"/>
  <c r="HL246" i="2"/>
  <c r="HM83" i="2"/>
  <c r="HM86" i="2"/>
  <c r="HM110" i="2"/>
  <c r="HM84" i="2"/>
  <c r="HM88" i="2"/>
  <c r="HM89" i="2"/>
  <c r="HM111" i="2"/>
  <c r="HM118" i="2"/>
  <c r="HM119" i="2"/>
  <c r="HM141" i="2"/>
  <c r="HM245" i="2"/>
  <c r="HM107" i="2"/>
  <c r="HM108" i="2"/>
  <c r="HM114" i="2"/>
  <c r="HM115" i="2"/>
  <c r="HM139" i="2"/>
  <c r="HM244" i="2"/>
  <c r="HM246" i="2"/>
  <c r="HN83" i="2"/>
  <c r="HN86" i="2"/>
  <c r="HN110" i="2"/>
  <c r="HN84" i="2"/>
  <c r="HN88" i="2"/>
  <c r="HN89" i="2"/>
  <c r="HN111" i="2"/>
  <c r="HN118" i="2"/>
  <c r="HN119" i="2"/>
  <c r="HN141" i="2"/>
  <c r="HN245" i="2"/>
  <c r="HN107" i="2"/>
  <c r="HN108" i="2"/>
  <c r="HN114" i="2"/>
  <c r="HN115" i="2"/>
  <c r="HN139" i="2"/>
  <c r="HN244" i="2"/>
  <c r="HN246" i="2"/>
  <c r="HO83" i="2"/>
  <c r="HO86" i="2"/>
  <c r="HO110" i="2"/>
  <c r="HO84" i="2"/>
  <c r="HO88" i="2"/>
  <c r="HO89" i="2"/>
  <c r="HO111" i="2"/>
  <c r="HO118" i="2"/>
  <c r="HO119" i="2"/>
  <c r="HO141" i="2"/>
  <c r="HO245" i="2"/>
  <c r="HO107" i="2"/>
  <c r="HO108" i="2"/>
  <c r="HO114" i="2"/>
  <c r="HO115" i="2"/>
  <c r="HO139" i="2"/>
  <c r="HO244" i="2"/>
  <c r="HO246" i="2"/>
  <c r="HP83" i="2"/>
  <c r="HP86" i="2"/>
  <c r="HP110" i="2"/>
  <c r="HP84" i="2"/>
  <c r="HP88" i="2"/>
  <c r="HP89" i="2"/>
  <c r="HP111" i="2"/>
  <c r="HP118" i="2"/>
  <c r="HP119" i="2"/>
  <c r="HP141" i="2"/>
  <c r="HP245" i="2"/>
  <c r="HP107" i="2"/>
  <c r="HP108" i="2"/>
  <c r="HP114" i="2"/>
  <c r="HP115" i="2"/>
  <c r="HP139" i="2"/>
  <c r="HP244" i="2"/>
  <c r="HP246" i="2"/>
  <c r="HQ83" i="2"/>
  <c r="HQ86" i="2"/>
  <c r="HQ110" i="2"/>
  <c r="HQ84" i="2"/>
  <c r="HQ88" i="2"/>
  <c r="HQ89" i="2"/>
  <c r="HQ111" i="2"/>
  <c r="HQ118" i="2"/>
  <c r="HQ119" i="2"/>
  <c r="HQ141" i="2"/>
  <c r="HQ245" i="2"/>
  <c r="HQ107" i="2"/>
  <c r="HQ108" i="2"/>
  <c r="HQ114" i="2"/>
  <c r="HQ115" i="2"/>
  <c r="HQ139" i="2"/>
  <c r="HQ244" i="2"/>
  <c r="HQ246" i="2"/>
  <c r="HR83" i="2"/>
  <c r="HR86" i="2"/>
  <c r="HR110" i="2"/>
  <c r="HR84" i="2"/>
  <c r="HR88" i="2"/>
  <c r="HR89" i="2"/>
  <c r="HR111" i="2"/>
  <c r="HR118" i="2"/>
  <c r="HR119" i="2"/>
  <c r="HR141" i="2"/>
  <c r="HR245" i="2"/>
  <c r="HR107" i="2"/>
  <c r="HR108" i="2"/>
  <c r="HR114" i="2"/>
  <c r="HR115" i="2"/>
  <c r="HR139" i="2"/>
  <c r="HR244" i="2"/>
  <c r="HR246" i="2"/>
  <c r="HS83" i="2"/>
  <c r="HS86" i="2"/>
  <c r="HS110" i="2"/>
  <c r="HS84" i="2"/>
  <c r="HS88" i="2"/>
  <c r="HS89" i="2"/>
  <c r="HS111" i="2"/>
  <c r="HS118" i="2"/>
  <c r="HS119" i="2"/>
  <c r="HS141" i="2"/>
  <c r="HS245" i="2"/>
  <c r="HS107" i="2"/>
  <c r="HS108" i="2"/>
  <c r="HS114" i="2"/>
  <c r="HS115" i="2"/>
  <c r="HS139" i="2"/>
  <c r="HS244" i="2"/>
  <c r="HS246" i="2"/>
  <c r="HT83" i="2"/>
  <c r="HT86" i="2"/>
  <c r="HT110" i="2"/>
  <c r="HT84" i="2"/>
  <c r="HT88" i="2"/>
  <c r="HT89" i="2"/>
  <c r="HT111" i="2"/>
  <c r="HT118" i="2"/>
  <c r="HT119" i="2"/>
  <c r="HT141" i="2"/>
  <c r="HT245" i="2"/>
  <c r="HT107" i="2"/>
  <c r="HT108" i="2"/>
  <c r="HT114" i="2"/>
  <c r="HT115" i="2"/>
  <c r="HT139" i="2"/>
  <c r="HT244" i="2"/>
  <c r="HT246" i="2"/>
  <c r="HU83" i="2"/>
  <c r="HU86" i="2"/>
  <c r="HU110" i="2"/>
  <c r="HU84" i="2"/>
  <c r="HU88" i="2"/>
  <c r="HU89" i="2"/>
  <c r="HU111" i="2"/>
  <c r="HU118" i="2"/>
  <c r="HU119" i="2"/>
  <c r="HU141" i="2"/>
  <c r="HU245" i="2"/>
  <c r="HU107" i="2"/>
  <c r="HU108" i="2"/>
  <c r="HU114" i="2"/>
  <c r="HU115" i="2"/>
  <c r="HU139" i="2"/>
  <c r="HU244" i="2"/>
  <c r="HU246" i="2"/>
  <c r="HV83" i="2"/>
  <c r="HV86" i="2"/>
  <c r="HV110" i="2"/>
  <c r="HV84" i="2"/>
  <c r="HV88" i="2"/>
  <c r="HV89" i="2"/>
  <c r="HV111" i="2"/>
  <c r="HV118" i="2"/>
  <c r="HV119" i="2"/>
  <c r="HV141" i="2"/>
  <c r="HV245" i="2"/>
  <c r="HV107" i="2"/>
  <c r="HV108" i="2"/>
  <c r="HV114" i="2"/>
  <c r="HV115" i="2"/>
  <c r="HV139" i="2"/>
  <c r="HV244" i="2"/>
  <c r="HV246" i="2"/>
  <c r="HW83" i="2"/>
  <c r="HW86" i="2"/>
  <c r="HW110" i="2"/>
  <c r="HW84" i="2"/>
  <c r="HW88" i="2"/>
  <c r="HW89" i="2"/>
  <c r="HW111" i="2"/>
  <c r="HW118" i="2"/>
  <c r="HW119" i="2"/>
  <c r="HW141" i="2"/>
  <c r="HW245" i="2"/>
  <c r="HW107" i="2"/>
  <c r="HW108" i="2"/>
  <c r="HW114" i="2"/>
  <c r="HW115" i="2"/>
  <c r="HW139" i="2"/>
  <c r="HW244" i="2"/>
  <c r="HW246" i="2"/>
  <c r="HX83" i="2"/>
  <c r="HX86" i="2"/>
  <c r="HX110" i="2"/>
  <c r="HX84" i="2"/>
  <c r="HX88" i="2"/>
  <c r="HX89" i="2"/>
  <c r="HX111" i="2"/>
  <c r="HX118" i="2"/>
  <c r="HX119" i="2"/>
  <c r="HX141" i="2"/>
  <c r="HX245" i="2"/>
  <c r="HX107" i="2"/>
  <c r="HX108" i="2"/>
  <c r="HX114" i="2"/>
  <c r="HX115" i="2"/>
  <c r="HX139" i="2"/>
  <c r="HX244" i="2"/>
  <c r="HX246" i="2"/>
  <c r="HY83" i="2"/>
  <c r="HY86" i="2"/>
  <c r="HY110" i="2"/>
  <c r="HY84" i="2"/>
  <c r="HY88" i="2"/>
  <c r="HY89" i="2"/>
  <c r="HY111" i="2"/>
  <c r="HY118" i="2"/>
  <c r="HY119" i="2"/>
  <c r="HY141" i="2"/>
  <c r="HY245" i="2"/>
  <c r="HY107" i="2"/>
  <c r="HY108" i="2"/>
  <c r="HY114" i="2"/>
  <c r="HY115" i="2"/>
  <c r="HY139" i="2"/>
  <c r="HY244" i="2"/>
  <c r="HY246" i="2"/>
  <c r="HZ83" i="2"/>
  <c r="HZ86" i="2"/>
  <c r="HZ110" i="2"/>
  <c r="HZ84" i="2"/>
  <c r="HZ88" i="2"/>
  <c r="HZ89" i="2"/>
  <c r="HZ111" i="2"/>
  <c r="HZ118" i="2"/>
  <c r="HZ119" i="2"/>
  <c r="HZ141" i="2"/>
  <c r="HZ245" i="2"/>
  <c r="HZ107" i="2"/>
  <c r="HZ108" i="2"/>
  <c r="HZ114" i="2"/>
  <c r="HZ115" i="2"/>
  <c r="HZ139" i="2"/>
  <c r="HZ244" i="2"/>
  <c r="HZ246" i="2"/>
  <c r="IA83" i="2"/>
  <c r="IA86" i="2"/>
  <c r="IA110" i="2"/>
  <c r="IA84" i="2"/>
  <c r="IA88" i="2"/>
  <c r="IA89" i="2"/>
  <c r="IA111" i="2"/>
  <c r="IA118" i="2"/>
  <c r="IA119" i="2"/>
  <c r="IA141" i="2"/>
  <c r="IA245" i="2"/>
  <c r="IA107" i="2"/>
  <c r="IA108" i="2"/>
  <c r="IA114" i="2"/>
  <c r="IA115" i="2"/>
  <c r="IA139" i="2"/>
  <c r="IA244" i="2"/>
  <c r="IA246" i="2"/>
  <c r="IB83" i="2"/>
  <c r="IB86" i="2"/>
  <c r="IB110" i="2"/>
  <c r="IB84" i="2"/>
  <c r="IB88" i="2"/>
  <c r="IB89" i="2"/>
  <c r="IB111" i="2"/>
  <c r="IB118" i="2"/>
  <c r="IB119" i="2"/>
  <c r="IB141" i="2"/>
  <c r="IB245" i="2"/>
  <c r="IB107" i="2"/>
  <c r="IB108" i="2"/>
  <c r="IB114" i="2"/>
  <c r="IB115" i="2"/>
  <c r="IB139" i="2"/>
  <c r="IB244" i="2"/>
  <c r="IB246" i="2"/>
  <c r="IC83" i="2"/>
  <c r="IC86" i="2"/>
  <c r="IC110" i="2"/>
  <c r="IC84" i="2"/>
  <c r="IC88" i="2"/>
  <c r="IC89" i="2"/>
  <c r="IC111" i="2"/>
  <c r="IC118" i="2"/>
  <c r="IC119" i="2"/>
  <c r="IC141" i="2"/>
  <c r="IC245" i="2"/>
  <c r="IC107" i="2"/>
  <c r="IC108" i="2"/>
  <c r="IC114" i="2"/>
  <c r="IC115" i="2"/>
  <c r="IC139" i="2"/>
  <c r="IC244" i="2"/>
  <c r="IC246" i="2"/>
  <c r="ID83" i="2"/>
  <c r="ID86" i="2"/>
  <c r="ID110" i="2"/>
  <c r="ID84" i="2"/>
  <c r="ID88" i="2"/>
  <c r="ID89" i="2"/>
  <c r="ID111" i="2"/>
  <c r="ID118" i="2"/>
  <c r="ID119" i="2"/>
  <c r="ID141" i="2"/>
  <c r="ID245" i="2"/>
  <c r="ID107" i="2"/>
  <c r="ID108" i="2"/>
  <c r="ID114" i="2"/>
  <c r="ID115" i="2"/>
  <c r="ID139" i="2"/>
  <c r="ID244" i="2"/>
  <c r="ID246" i="2"/>
  <c r="IE83" i="2"/>
  <c r="IE86" i="2"/>
  <c r="IE110" i="2"/>
  <c r="IE84" i="2"/>
  <c r="IE88" i="2"/>
  <c r="IE89" i="2"/>
  <c r="IE111" i="2"/>
  <c r="IE118" i="2"/>
  <c r="IE119" i="2"/>
  <c r="IE141" i="2"/>
  <c r="IE245" i="2"/>
  <c r="IE107" i="2"/>
  <c r="IE108" i="2"/>
  <c r="IE114" i="2"/>
  <c r="IE115" i="2"/>
  <c r="IE139" i="2"/>
  <c r="IE244" i="2"/>
  <c r="IE246" i="2"/>
  <c r="IF83" i="2"/>
  <c r="IF86" i="2"/>
  <c r="IF110" i="2"/>
  <c r="IF84" i="2"/>
  <c r="IF88" i="2"/>
  <c r="IF89" i="2"/>
  <c r="IF111" i="2"/>
  <c r="IF118" i="2"/>
  <c r="IF119" i="2"/>
  <c r="IF141" i="2"/>
  <c r="IF245" i="2"/>
  <c r="IF107" i="2"/>
  <c r="IF108" i="2"/>
  <c r="IF114" i="2"/>
  <c r="IF115" i="2"/>
  <c r="IF139" i="2"/>
  <c r="IF244" i="2"/>
  <c r="IF246" i="2"/>
  <c r="IG83" i="2"/>
  <c r="IG86" i="2"/>
  <c r="IG110" i="2"/>
  <c r="IG84" i="2"/>
  <c r="IG88" i="2"/>
  <c r="IG89" i="2"/>
  <c r="IG111" i="2"/>
  <c r="IG118" i="2"/>
  <c r="IG119" i="2"/>
  <c r="IG141" i="2"/>
  <c r="IG245" i="2"/>
  <c r="IG107" i="2"/>
  <c r="IG108" i="2"/>
  <c r="IG114" i="2"/>
  <c r="IG115" i="2"/>
  <c r="IG139" i="2"/>
  <c r="IG244" i="2"/>
  <c r="IG246" i="2"/>
  <c r="IH83" i="2"/>
  <c r="IH86" i="2"/>
  <c r="IH110" i="2"/>
  <c r="IH84" i="2"/>
  <c r="IH88" i="2"/>
  <c r="IH89" i="2"/>
  <c r="IH111" i="2"/>
  <c r="IH118" i="2"/>
  <c r="IH119" i="2"/>
  <c r="IH141" i="2"/>
  <c r="IH245" i="2"/>
  <c r="IH107" i="2"/>
  <c r="IH108" i="2"/>
  <c r="IH114" i="2"/>
  <c r="IH115" i="2"/>
  <c r="IH139" i="2"/>
  <c r="IH244" i="2"/>
  <c r="IH246" i="2"/>
  <c r="II83" i="2"/>
  <c r="II86" i="2"/>
  <c r="II110" i="2"/>
  <c r="II84" i="2"/>
  <c r="II88" i="2"/>
  <c r="II89" i="2"/>
  <c r="II111" i="2"/>
  <c r="II118" i="2"/>
  <c r="II119" i="2"/>
  <c r="II141" i="2"/>
  <c r="II245" i="2"/>
  <c r="II107" i="2"/>
  <c r="II108" i="2"/>
  <c r="II114" i="2"/>
  <c r="II115" i="2"/>
  <c r="II139" i="2"/>
  <c r="II244" i="2"/>
  <c r="II246" i="2"/>
  <c r="IJ83" i="2"/>
  <c r="IJ86" i="2"/>
  <c r="IJ110" i="2"/>
  <c r="IJ84" i="2"/>
  <c r="IJ88" i="2"/>
  <c r="IJ89" i="2"/>
  <c r="IJ111" i="2"/>
  <c r="IJ118" i="2"/>
  <c r="IJ119" i="2"/>
  <c r="IJ141" i="2"/>
  <c r="IJ245" i="2"/>
  <c r="IJ107" i="2"/>
  <c r="IJ108" i="2"/>
  <c r="IJ114" i="2"/>
  <c r="IJ115" i="2"/>
  <c r="IJ139" i="2"/>
  <c r="IJ244" i="2"/>
  <c r="IJ246" i="2"/>
  <c r="IK83" i="2"/>
  <c r="IK86" i="2"/>
  <c r="IK110" i="2"/>
  <c r="IK84" i="2"/>
  <c r="IK88" i="2"/>
  <c r="IK89" i="2"/>
  <c r="IK111" i="2"/>
  <c r="IK118" i="2"/>
  <c r="IK119" i="2"/>
  <c r="IK141" i="2"/>
  <c r="IK245" i="2"/>
  <c r="IK107" i="2"/>
  <c r="IK108" i="2"/>
  <c r="IK114" i="2"/>
  <c r="IK115" i="2"/>
  <c r="IK139" i="2"/>
  <c r="IK244" i="2"/>
  <c r="IK246" i="2"/>
  <c r="IL83" i="2"/>
  <c r="IL86" i="2"/>
  <c r="IL110" i="2"/>
  <c r="IL84" i="2"/>
  <c r="IL88" i="2"/>
  <c r="IL89" i="2"/>
  <c r="IL111" i="2"/>
  <c r="IL118" i="2"/>
  <c r="IL119" i="2"/>
  <c r="IL141" i="2"/>
  <c r="IL245" i="2"/>
  <c r="IL107" i="2"/>
  <c r="IL108" i="2"/>
  <c r="IL114" i="2"/>
  <c r="IL115" i="2"/>
  <c r="IL139" i="2"/>
  <c r="IL244" i="2"/>
  <c r="IL246" i="2"/>
  <c r="IM83" i="2"/>
  <c r="IM86" i="2"/>
  <c r="IM110" i="2"/>
  <c r="IM84" i="2"/>
  <c r="IM88" i="2"/>
  <c r="IM89" i="2"/>
  <c r="IM111" i="2"/>
  <c r="IM118" i="2"/>
  <c r="IM119" i="2"/>
  <c r="IM141" i="2"/>
  <c r="IM245" i="2"/>
  <c r="IM107" i="2"/>
  <c r="IM108" i="2"/>
  <c r="IM114" i="2"/>
  <c r="IM115" i="2"/>
  <c r="IM139" i="2"/>
  <c r="IM244" i="2"/>
  <c r="IM246" i="2"/>
  <c r="IN83" i="2"/>
  <c r="IN86" i="2"/>
  <c r="IN110" i="2"/>
  <c r="IN84" i="2"/>
  <c r="IN88" i="2"/>
  <c r="IN89" i="2"/>
  <c r="IN111" i="2"/>
  <c r="IN118" i="2"/>
  <c r="IN119" i="2"/>
  <c r="IN141" i="2"/>
  <c r="IN245" i="2"/>
  <c r="IN107" i="2"/>
  <c r="IN108" i="2"/>
  <c r="IN114" i="2"/>
  <c r="IN115" i="2"/>
  <c r="IN139" i="2"/>
  <c r="IN244" i="2"/>
  <c r="IN246" i="2"/>
  <c r="IO83" i="2"/>
  <c r="IO86" i="2"/>
  <c r="IO110" i="2"/>
  <c r="IO84" i="2"/>
  <c r="IO88" i="2"/>
  <c r="IO89" i="2"/>
  <c r="IO111" i="2"/>
  <c r="IO118" i="2"/>
  <c r="IO119" i="2"/>
  <c r="IO141" i="2"/>
  <c r="IO245" i="2"/>
  <c r="IO107" i="2"/>
  <c r="IO108" i="2"/>
  <c r="IO114" i="2"/>
  <c r="IO115" i="2"/>
  <c r="IO139" i="2"/>
  <c r="IO244" i="2"/>
  <c r="IO246" i="2"/>
  <c r="IP83" i="2"/>
  <c r="IP86" i="2"/>
  <c r="IP110" i="2"/>
  <c r="IP84" i="2"/>
  <c r="IP88" i="2"/>
  <c r="IP89" i="2"/>
  <c r="IP111" i="2"/>
  <c r="IP118" i="2"/>
  <c r="IP119" i="2"/>
  <c r="IP141" i="2"/>
  <c r="IP245" i="2"/>
  <c r="IP107" i="2"/>
  <c r="IP108" i="2"/>
  <c r="IP114" i="2"/>
  <c r="IP115" i="2"/>
  <c r="IP139" i="2"/>
  <c r="IP244" i="2"/>
  <c r="IP246" i="2"/>
  <c r="IQ83" i="2"/>
  <c r="IQ86" i="2"/>
  <c r="IQ110" i="2"/>
  <c r="IQ84" i="2"/>
  <c r="IQ88" i="2"/>
  <c r="IQ89" i="2"/>
  <c r="IQ111" i="2"/>
  <c r="IQ118" i="2"/>
  <c r="IQ119" i="2"/>
  <c r="IQ141" i="2"/>
  <c r="IQ245" i="2"/>
  <c r="IQ107" i="2"/>
  <c r="IQ108" i="2"/>
  <c r="IQ114" i="2"/>
  <c r="IQ115" i="2"/>
  <c r="IQ139" i="2"/>
  <c r="IQ244" i="2"/>
  <c r="IQ246" i="2"/>
  <c r="IR83" i="2"/>
  <c r="IR86" i="2"/>
  <c r="IR110" i="2"/>
  <c r="IR84" i="2"/>
  <c r="IR88" i="2"/>
  <c r="IR89" i="2"/>
  <c r="IR111" i="2"/>
  <c r="IR118" i="2"/>
  <c r="IR119" i="2"/>
  <c r="IR141" i="2"/>
  <c r="IR245" i="2"/>
  <c r="IR107" i="2"/>
  <c r="IR108" i="2"/>
  <c r="IR114" i="2"/>
  <c r="IR115" i="2"/>
  <c r="IR139" i="2"/>
  <c r="IR244" i="2"/>
  <c r="IR246" i="2"/>
  <c r="IS83" i="2"/>
  <c r="IS86" i="2"/>
  <c r="IS110" i="2"/>
  <c r="IS84" i="2"/>
  <c r="IS88" i="2"/>
  <c r="IS89" i="2"/>
  <c r="IS111" i="2"/>
  <c r="IS118" i="2"/>
  <c r="IS119" i="2"/>
  <c r="IS141" i="2"/>
  <c r="IS245" i="2"/>
  <c r="IS107" i="2"/>
  <c r="IS108" i="2"/>
  <c r="IS114" i="2"/>
  <c r="IS115" i="2"/>
  <c r="IS139" i="2"/>
  <c r="IS244" i="2"/>
  <c r="IS246" i="2"/>
  <c r="IT83" i="2"/>
  <c r="IT86" i="2"/>
  <c r="IT110" i="2"/>
  <c r="IT84" i="2"/>
  <c r="IT88" i="2"/>
  <c r="IT89" i="2"/>
  <c r="IT111" i="2"/>
  <c r="IT118" i="2"/>
  <c r="IT119" i="2"/>
  <c r="IT141" i="2"/>
  <c r="IT245" i="2"/>
  <c r="IT107" i="2"/>
  <c r="IT108" i="2"/>
  <c r="IT114" i="2"/>
  <c r="IT115" i="2"/>
  <c r="IT139" i="2"/>
  <c r="IT244" i="2"/>
  <c r="IT246" i="2"/>
  <c r="IU83" i="2"/>
  <c r="IU86" i="2"/>
  <c r="IU110" i="2"/>
  <c r="IU84" i="2"/>
  <c r="IU88" i="2"/>
  <c r="IU89" i="2"/>
  <c r="IU111" i="2"/>
  <c r="IU118" i="2"/>
  <c r="IU119" i="2"/>
  <c r="IU141" i="2"/>
  <c r="IU245" i="2"/>
  <c r="IU107" i="2"/>
  <c r="IU108" i="2"/>
  <c r="IU114" i="2"/>
  <c r="IU115" i="2"/>
  <c r="IU139" i="2"/>
  <c r="IU244" i="2"/>
  <c r="IU246" i="2"/>
  <c r="IV83" i="2"/>
  <c r="IV86" i="2"/>
  <c r="IV110" i="2"/>
  <c r="IV84" i="2"/>
  <c r="IV88" i="2"/>
  <c r="IV89" i="2"/>
  <c r="IV111" i="2"/>
  <c r="IV118" i="2"/>
  <c r="IV119" i="2"/>
  <c r="IV141" i="2"/>
  <c r="IV245" i="2"/>
  <c r="IV107" i="2"/>
  <c r="IV108" i="2"/>
  <c r="IV114" i="2"/>
  <c r="IV115" i="2"/>
  <c r="IV139" i="2"/>
  <c r="IV244" i="2"/>
  <c r="IV246" i="2"/>
  <c r="IW83" i="2"/>
  <c r="IW86" i="2"/>
  <c r="IW110" i="2"/>
  <c r="IW84" i="2"/>
  <c r="IW88" i="2"/>
  <c r="IW89" i="2"/>
  <c r="IW111" i="2"/>
  <c r="IW118" i="2"/>
  <c r="IW119" i="2"/>
  <c r="IW141" i="2"/>
  <c r="IW245" i="2"/>
  <c r="IW107" i="2"/>
  <c r="IW108" i="2"/>
  <c r="IW114" i="2"/>
  <c r="IW115" i="2"/>
  <c r="IW139" i="2"/>
  <c r="IW244" i="2"/>
  <c r="IW246" i="2"/>
  <c r="IX83" i="2"/>
  <c r="IX86" i="2"/>
  <c r="IX110" i="2"/>
  <c r="IX84" i="2"/>
  <c r="IX88" i="2"/>
  <c r="IX89" i="2"/>
  <c r="IX111" i="2"/>
  <c r="IX118" i="2"/>
  <c r="IX119" i="2"/>
  <c r="IX141" i="2"/>
  <c r="IX245" i="2"/>
  <c r="IX107" i="2"/>
  <c r="IX108" i="2"/>
  <c r="IX114" i="2"/>
  <c r="IX115" i="2"/>
  <c r="IX139" i="2"/>
  <c r="IX244" i="2"/>
  <c r="IX246" i="2"/>
  <c r="IY83" i="2"/>
  <c r="IY86" i="2"/>
  <c r="IY110" i="2"/>
  <c r="IY84" i="2"/>
  <c r="IY88" i="2"/>
  <c r="IY89" i="2"/>
  <c r="IY111" i="2"/>
  <c r="IY118" i="2"/>
  <c r="IY119" i="2"/>
  <c r="IY141" i="2"/>
  <c r="IY245" i="2"/>
  <c r="IY107" i="2"/>
  <c r="IY108" i="2"/>
  <c r="IY114" i="2"/>
  <c r="IY115" i="2"/>
  <c r="IY139" i="2"/>
  <c r="IY244" i="2"/>
  <c r="IY246" i="2"/>
  <c r="IZ83" i="2"/>
  <c r="IZ86" i="2"/>
  <c r="IZ110" i="2"/>
  <c r="IZ84" i="2"/>
  <c r="IZ88" i="2"/>
  <c r="IZ89" i="2"/>
  <c r="IZ111" i="2"/>
  <c r="IZ118" i="2"/>
  <c r="IZ119" i="2"/>
  <c r="IZ141" i="2"/>
  <c r="IZ245" i="2"/>
  <c r="IZ107" i="2"/>
  <c r="IZ108" i="2"/>
  <c r="IZ114" i="2"/>
  <c r="IZ115" i="2"/>
  <c r="IZ139" i="2"/>
  <c r="IZ244" i="2"/>
  <c r="IZ246" i="2"/>
  <c r="JA83" i="2"/>
  <c r="JA86" i="2"/>
  <c r="JA110" i="2"/>
  <c r="JA84" i="2"/>
  <c r="JA88" i="2"/>
  <c r="JA89" i="2"/>
  <c r="JA111" i="2"/>
  <c r="JA118" i="2"/>
  <c r="JA119" i="2"/>
  <c r="JA141" i="2"/>
  <c r="JA245" i="2"/>
  <c r="JA107" i="2"/>
  <c r="JA108" i="2"/>
  <c r="JA114" i="2"/>
  <c r="JA115" i="2"/>
  <c r="JA139" i="2"/>
  <c r="JA244" i="2"/>
  <c r="JA246" i="2"/>
  <c r="JB83" i="2"/>
  <c r="JB86" i="2"/>
  <c r="JB110" i="2"/>
  <c r="JB84" i="2"/>
  <c r="JB88" i="2"/>
  <c r="JB89" i="2"/>
  <c r="JB111" i="2"/>
  <c r="JB118" i="2"/>
  <c r="JB119" i="2"/>
  <c r="JB141" i="2"/>
  <c r="JB245" i="2"/>
  <c r="JB107" i="2"/>
  <c r="JB108" i="2"/>
  <c r="JB114" i="2"/>
  <c r="JB115" i="2"/>
  <c r="JB139" i="2"/>
  <c r="JB244" i="2"/>
  <c r="JB246" i="2"/>
  <c r="JC83" i="2"/>
  <c r="JC86" i="2"/>
  <c r="JC110" i="2"/>
  <c r="JC84" i="2"/>
  <c r="JC88" i="2"/>
  <c r="JC89" i="2"/>
  <c r="JC111" i="2"/>
  <c r="JC118" i="2"/>
  <c r="JC119" i="2"/>
  <c r="JC141" i="2"/>
  <c r="JC245" i="2"/>
  <c r="JC107" i="2"/>
  <c r="JC108" i="2"/>
  <c r="JC114" i="2"/>
  <c r="JC115" i="2"/>
  <c r="JC139" i="2"/>
  <c r="JC244" i="2"/>
  <c r="JC246" i="2"/>
  <c r="JD83" i="2"/>
  <c r="JD86" i="2"/>
  <c r="JD110" i="2"/>
  <c r="JD84" i="2"/>
  <c r="JD88" i="2"/>
  <c r="JD89" i="2"/>
  <c r="JD111" i="2"/>
  <c r="JD118" i="2"/>
  <c r="JD119" i="2"/>
  <c r="JD141" i="2"/>
  <c r="JD245" i="2"/>
  <c r="JD107" i="2"/>
  <c r="JD108" i="2"/>
  <c r="JD114" i="2"/>
  <c r="JD115" i="2"/>
  <c r="JD139" i="2"/>
  <c r="JD244" i="2"/>
  <c r="JD246" i="2"/>
  <c r="JE83" i="2"/>
  <c r="JE86" i="2"/>
  <c r="JE110" i="2"/>
  <c r="JE84" i="2"/>
  <c r="JE88" i="2"/>
  <c r="JE89" i="2"/>
  <c r="JE111" i="2"/>
  <c r="JE118" i="2"/>
  <c r="JE119" i="2"/>
  <c r="JE141" i="2"/>
  <c r="JE245" i="2"/>
  <c r="JE107" i="2"/>
  <c r="JE108" i="2"/>
  <c r="JE114" i="2"/>
  <c r="JE115" i="2"/>
  <c r="JE139" i="2"/>
  <c r="JE244" i="2"/>
  <c r="JE246" i="2"/>
  <c r="JF83" i="2"/>
  <c r="JF86" i="2"/>
  <c r="JF110" i="2"/>
  <c r="JF84" i="2"/>
  <c r="JF88" i="2"/>
  <c r="JF89" i="2"/>
  <c r="JF111" i="2"/>
  <c r="JF118" i="2"/>
  <c r="JF119" i="2"/>
  <c r="JF141" i="2"/>
  <c r="JF245" i="2"/>
  <c r="JF107" i="2"/>
  <c r="JF108" i="2"/>
  <c r="JF114" i="2"/>
  <c r="JF115" i="2"/>
  <c r="JF139" i="2"/>
  <c r="JF244" i="2"/>
  <c r="JF246" i="2"/>
  <c r="JG83" i="2"/>
  <c r="JG86" i="2"/>
  <c r="JG110" i="2"/>
  <c r="JG84" i="2"/>
  <c r="JG88" i="2"/>
  <c r="JG89" i="2"/>
  <c r="JG111" i="2"/>
  <c r="JG118" i="2"/>
  <c r="JG119" i="2"/>
  <c r="JG141" i="2"/>
  <c r="JG245" i="2"/>
  <c r="JG107" i="2"/>
  <c r="JG108" i="2"/>
  <c r="JG114" i="2"/>
  <c r="JG115" i="2"/>
  <c r="JG139" i="2"/>
  <c r="JG244" i="2"/>
  <c r="JG246" i="2"/>
  <c r="JH83" i="2"/>
  <c r="JH86" i="2"/>
  <c r="JH110" i="2"/>
  <c r="JH84" i="2"/>
  <c r="JH88" i="2"/>
  <c r="JH89" i="2"/>
  <c r="JH111" i="2"/>
  <c r="JH118" i="2"/>
  <c r="JH119" i="2"/>
  <c r="JH141" i="2"/>
  <c r="JH245" i="2"/>
  <c r="JH107" i="2"/>
  <c r="JH108" i="2"/>
  <c r="JH114" i="2"/>
  <c r="JH115" i="2"/>
  <c r="JH139" i="2"/>
  <c r="JH244" i="2"/>
  <c r="JH246" i="2"/>
  <c r="JI83" i="2"/>
  <c r="JI86" i="2"/>
  <c r="JI110" i="2"/>
  <c r="JI84" i="2"/>
  <c r="JI88" i="2"/>
  <c r="JI89" i="2"/>
  <c r="JI111" i="2"/>
  <c r="JI118" i="2"/>
  <c r="JI119" i="2"/>
  <c r="JI141" i="2"/>
  <c r="JI245" i="2"/>
  <c r="JI107" i="2"/>
  <c r="JI108" i="2"/>
  <c r="JI114" i="2"/>
  <c r="JI115" i="2"/>
  <c r="JI139" i="2"/>
  <c r="JI244" i="2"/>
  <c r="JI246" i="2"/>
  <c r="JJ83" i="2"/>
  <c r="JJ86" i="2"/>
  <c r="JJ110" i="2"/>
  <c r="JJ84" i="2"/>
  <c r="JJ88" i="2"/>
  <c r="JJ89" i="2"/>
  <c r="JJ111" i="2"/>
  <c r="JJ118" i="2"/>
  <c r="JJ119" i="2"/>
  <c r="JJ141" i="2"/>
  <c r="JJ245" i="2"/>
  <c r="JJ107" i="2"/>
  <c r="JJ108" i="2"/>
  <c r="JJ114" i="2"/>
  <c r="JJ115" i="2"/>
  <c r="JJ139" i="2"/>
  <c r="JJ244" i="2"/>
  <c r="JJ246" i="2"/>
  <c r="JK83" i="2"/>
  <c r="JK86" i="2"/>
  <c r="JK110" i="2"/>
  <c r="JK84" i="2"/>
  <c r="JK88" i="2"/>
  <c r="JK89" i="2"/>
  <c r="JK111" i="2"/>
  <c r="JK118" i="2"/>
  <c r="JK119" i="2"/>
  <c r="JK141" i="2"/>
  <c r="JK245" i="2"/>
  <c r="JK107" i="2"/>
  <c r="JK108" i="2"/>
  <c r="JK114" i="2"/>
  <c r="JK115" i="2"/>
  <c r="JK139" i="2"/>
  <c r="JK244" i="2"/>
  <c r="JK246" i="2"/>
  <c r="JL83" i="2"/>
  <c r="JL86" i="2"/>
  <c r="JL110" i="2"/>
  <c r="JL84" i="2"/>
  <c r="JL88" i="2"/>
  <c r="JL89" i="2"/>
  <c r="JL111" i="2"/>
  <c r="JL118" i="2"/>
  <c r="JL119" i="2"/>
  <c r="JL141" i="2"/>
  <c r="JL245" i="2"/>
  <c r="JL107" i="2"/>
  <c r="JL108" i="2"/>
  <c r="JL114" i="2"/>
  <c r="JL115" i="2"/>
  <c r="JL139" i="2"/>
  <c r="JL244" i="2"/>
  <c r="JL246" i="2"/>
  <c r="JM83" i="2"/>
  <c r="JM86" i="2"/>
  <c r="JM110" i="2"/>
  <c r="JM84" i="2"/>
  <c r="JM88" i="2"/>
  <c r="JM89" i="2"/>
  <c r="JM111" i="2"/>
  <c r="JM118" i="2"/>
  <c r="JM119" i="2"/>
  <c r="JM141" i="2"/>
  <c r="JM245" i="2"/>
  <c r="JM107" i="2"/>
  <c r="JM108" i="2"/>
  <c r="JM114" i="2"/>
  <c r="JM115" i="2"/>
  <c r="JM139" i="2"/>
  <c r="JM244" i="2"/>
  <c r="JM246" i="2"/>
  <c r="JN83" i="2"/>
  <c r="JN86" i="2"/>
  <c r="JN110" i="2"/>
  <c r="JN84" i="2"/>
  <c r="JN88" i="2"/>
  <c r="JN89" i="2"/>
  <c r="JN111" i="2"/>
  <c r="JN118" i="2"/>
  <c r="JN119" i="2"/>
  <c r="JN141" i="2"/>
  <c r="JN245" i="2"/>
  <c r="JN107" i="2"/>
  <c r="JN108" i="2"/>
  <c r="JN114" i="2"/>
  <c r="JN115" i="2"/>
  <c r="JN139" i="2"/>
  <c r="JN244" i="2"/>
  <c r="JN246" i="2"/>
  <c r="JO83" i="2"/>
  <c r="JO86" i="2"/>
  <c r="JO110" i="2"/>
  <c r="JO84" i="2"/>
  <c r="JO88" i="2"/>
  <c r="JO89" i="2"/>
  <c r="JO111" i="2"/>
  <c r="JO118" i="2"/>
  <c r="JO119" i="2"/>
  <c r="JO141" i="2"/>
  <c r="JO245" i="2"/>
  <c r="JO107" i="2"/>
  <c r="JO108" i="2"/>
  <c r="JO114" i="2"/>
  <c r="JO115" i="2"/>
  <c r="JO139" i="2"/>
  <c r="JO244" i="2"/>
  <c r="JO246" i="2"/>
  <c r="JP83" i="2"/>
  <c r="JP86" i="2"/>
  <c r="JP110" i="2"/>
  <c r="JP84" i="2"/>
  <c r="JP88" i="2"/>
  <c r="JP89" i="2"/>
  <c r="JP111" i="2"/>
  <c r="JP118" i="2"/>
  <c r="JP119" i="2"/>
  <c r="JP141" i="2"/>
  <c r="JP245" i="2"/>
  <c r="JP107" i="2"/>
  <c r="JP108" i="2"/>
  <c r="JP114" i="2"/>
  <c r="JP115" i="2"/>
  <c r="JP139" i="2"/>
  <c r="JP244" i="2"/>
  <c r="JP246" i="2"/>
  <c r="JQ83" i="2"/>
  <c r="JQ86" i="2"/>
  <c r="JQ110" i="2"/>
  <c r="JQ84" i="2"/>
  <c r="JQ88" i="2"/>
  <c r="JQ89" i="2"/>
  <c r="JQ111" i="2"/>
  <c r="JQ118" i="2"/>
  <c r="JQ119" i="2"/>
  <c r="JQ141" i="2"/>
  <c r="JQ245" i="2"/>
  <c r="JQ107" i="2"/>
  <c r="JQ108" i="2"/>
  <c r="JQ114" i="2"/>
  <c r="JQ115" i="2"/>
  <c r="JQ139" i="2"/>
  <c r="JQ244" i="2"/>
  <c r="JQ246" i="2"/>
  <c r="JR83" i="2"/>
  <c r="JR86" i="2"/>
  <c r="JR110" i="2"/>
  <c r="JR84" i="2"/>
  <c r="JR88" i="2"/>
  <c r="JR89" i="2"/>
  <c r="JR111" i="2"/>
  <c r="JR118" i="2"/>
  <c r="JR119" i="2"/>
  <c r="JR141" i="2"/>
  <c r="JR245" i="2"/>
  <c r="JR107" i="2"/>
  <c r="JR108" i="2"/>
  <c r="JR114" i="2"/>
  <c r="JR115" i="2"/>
  <c r="JR139" i="2"/>
  <c r="JR244" i="2"/>
  <c r="JR246" i="2"/>
  <c r="JS83" i="2"/>
  <c r="JS86" i="2"/>
  <c r="JS110" i="2"/>
  <c r="JS84" i="2"/>
  <c r="JS88" i="2"/>
  <c r="JS89" i="2"/>
  <c r="JS111" i="2"/>
  <c r="JS118" i="2"/>
  <c r="JS119" i="2"/>
  <c r="JS141" i="2"/>
  <c r="JS245" i="2"/>
  <c r="JS107" i="2"/>
  <c r="JS108" i="2"/>
  <c r="JS114" i="2"/>
  <c r="JS115" i="2"/>
  <c r="JS139" i="2"/>
  <c r="JS244" i="2"/>
  <c r="JS246" i="2"/>
  <c r="JT83" i="2"/>
  <c r="JT86" i="2"/>
  <c r="JT110" i="2"/>
  <c r="JT84" i="2"/>
  <c r="JT88" i="2"/>
  <c r="JT89" i="2"/>
  <c r="JT111" i="2"/>
  <c r="JT118" i="2"/>
  <c r="JT119" i="2"/>
  <c r="JT141" i="2"/>
  <c r="JT245" i="2"/>
  <c r="JT107" i="2"/>
  <c r="JT108" i="2"/>
  <c r="JT114" i="2"/>
  <c r="JT115" i="2"/>
  <c r="JT139" i="2"/>
  <c r="JT244" i="2"/>
  <c r="JT246" i="2"/>
  <c r="JU83" i="2"/>
  <c r="JU86" i="2"/>
  <c r="JU110" i="2"/>
  <c r="JU84" i="2"/>
  <c r="JU88" i="2"/>
  <c r="JU89" i="2"/>
  <c r="JU111" i="2"/>
  <c r="JU118" i="2"/>
  <c r="JU119" i="2"/>
  <c r="JU141" i="2"/>
  <c r="JU245" i="2"/>
  <c r="JU107" i="2"/>
  <c r="JU108" i="2"/>
  <c r="JU114" i="2"/>
  <c r="JU115" i="2"/>
  <c r="JU139" i="2"/>
  <c r="JU244" i="2"/>
  <c r="JU246" i="2"/>
  <c r="JV83" i="2"/>
  <c r="JV86" i="2"/>
  <c r="JV110" i="2"/>
  <c r="JV84" i="2"/>
  <c r="JV88" i="2"/>
  <c r="JV89" i="2"/>
  <c r="JV111" i="2"/>
  <c r="JV118" i="2"/>
  <c r="JV119" i="2"/>
  <c r="JV141" i="2"/>
  <c r="JV245" i="2"/>
  <c r="JV107" i="2"/>
  <c r="JV108" i="2"/>
  <c r="JV114" i="2"/>
  <c r="JV115" i="2"/>
  <c r="JV139" i="2"/>
  <c r="JV244" i="2"/>
  <c r="JV246" i="2"/>
  <c r="JW83" i="2"/>
  <c r="JW86" i="2"/>
  <c r="JW110" i="2"/>
  <c r="JW84" i="2"/>
  <c r="JW88" i="2"/>
  <c r="JW89" i="2"/>
  <c r="JW111" i="2"/>
  <c r="JW118" i="2"/>
  <c r="JW119" i="2"/>
  <c r="JW141" i="2"/>
  <c r="JW245" i="2"/>
  <c r="JW107" i="2"/>
  <c r="JW108" i="2"/>
  <c r="JW114" i="2"/>
  <c r="JW115" i="2"/>
  <c r="JW139" i="2"/>
  <c r="JW244" i="2"/>
  <c r="JW246" i="2"/>
  <c r="JX83" i="2"/>
  <c r="JX86" i="2"/>
  <c r="JX110" i="2"/>
  <c r="JX84" i="2"/>
  <c r="JX88" i="2"/>
  <c r="JX89" i="2"/>
  <c r="JX111" i="2"/>
  <c r="JX118" i="2"/>
  <c r="JX119" i="2"/>
  <c r="JX141" i="2"/>
  <c r="JX245" i="2"/>
  <c r="JX107" i="2"/>
  <c r="JX108" i="2"/>
  <c r="JX114" i="2"/>
  <c r="JX115" i="2"/>
  <c r="JX139" i="2"/>
  <c r="JX244" i="2"/>
  <c r="JX246" i="2"/>
  <c r="JY83" i="2"/>
  <c r="JY86" i="2"/>
  <c r="JY110" i="2"/>
  <c r="JY84" i="2"/>
  <c r="JY88" i="2"/>
  <c r="JY89" i="2"/>
  <c r="JY111" i="2"/>
  <c r="JY118" i="2"/>
  <c r="JY119" i="2"/>
  <c r="JY141" i="2"/>
  <c r="JY245" i="2"/>
  <c r="JY107" i="2"/>
  <c r="JY108" i="2"/>
  <c r="JY114" i="2"/>
  <c r="JY115" i="2"/>
  <c r="JY139" i="2"/>
  <c r="JY244" i="2"/>
  <c r="JY246" i="2"/>
  <c r="JZ83" i="2"/>
  <c r="JZ86" i="2"/>
  <c r="JZ110" i="2"/>
  <c r="JZ84" i="2"/>
  <c r="JZ88" i="2"/>
  <c r="JZ89" i="2"/>
  <c r="JZ111" i="2"/>
  <c r="JZ118" i="2"/>
  <c r="JZ119" i="2"/>
  <c r="JZ141" i="2"/>
  <c r="JZ245" i="2"/>
  <c r="JZ107" i="2"/>
  <c r="JZ108" i="2"/>
  <c r="JZ114" i="2"/>
  <c r="JZ115" i="2"/>
  <c r="JZ139" i="2"/>
  <c r="JZ244" i="2"/>
  <c r="JZ246" i="2"/>
  <c r="KA83" i="2"/>
  <c r="KA86" i="2"/>
  <c r="KA110" i="2"/>
  <c r="KA84" i="2"/>
  <c r="KA88" i="2"/>
  <c r="KA89" i="2"/>
  <c r="KA111" i="2"/>
  <c r="KA118" i="2"/>
  <c r="KA119" i="2"/>
  <c r="KA141" i="2"/>
  <c r="KA245" i="2"/>
  <c r="KA107" i="2"/>
  <c r="KA108" i="2"/>
  <c r="KA114" i="2"/>
  <c r="KA115" i="2"/>
  <c r="KA139" i="2"/>
  <c r="KA244" i="2"/>
  <c r="KA246" i="2"/>
  <c r="KB83" i="2"/>
  <c r="KB86" i="2"/>
  <c r="KB110" i="2"/>
  <c r="KB84" i="2"/>
  <c r="KB88" i="2"/>
  <c r="KB89" i="2"/>
  <c r="KB111" i="2"/>
  <c r="KB118" i="2"/>
  <c r="KB119" i="2"/>
  <c r="KB141" i="2"/>
  <c r="KB245" i="2"/>
  <c r="KB107" i="2"/>
  <c r="KB108" i="2"/>
  <c r="KB114" i="2"/>
  <c r="KB115" i="2"/>
  <c r="KB139" i="2"/>
  <c r="KB244" i="2"/>
  <c r="KB246" i="2"/>
  <c r="KC83" i="2"/>
  <c r="KC86" i="2"/>
  <c r="KC110" i="2"/>
  <c r="KC84" i="2"/>
  <c r="KC88" i="2"/>
  <c r="KC89" i="2"/>
  <c r="KC111" i="2"/>
  <c r="KC118" i="2"/>
  <c r="KC119" i="2"/>
  <c r="KC141" i="2"/>
  <c r="KC245" i="2"/>
  <c r="KC107" i="2"/>
  <c r="KC108" i="2"/>
  <c r="KC114" i="2"/>
  <c r="KC115" i="2"/>
  <c r="KC139" i="2"/>
  <c r="KC244" i="2"/>
  <c r="KC246" i="2"/>
  <c r="KD83" i="2"/>
  <c r="KD86" i="2"/>
  <c r="KD110" i="2"/>
  <c r="KD84" i="2"/>
  <c r="KD88" i="2"/>
  <c r="KD89" i="2"/>
  <c r="KD111" i="2"/>
  <c r="KD118" i="2"/>
  <c r="KD119" i="2"/>
  <c r="KD141" i="2"/>
  <c r="KD245" i="2"/>
  <c r="KD107" i="2"/>
  <c r="KD108" i="2"/>
  <c r="KD114" i="2"/>
  <c r="KD115" i="2"/>
  <c r="KD139" i="2"/>
  <c r="KD244" i="2"/>
  <c r="KD246" i="2"/>
  <c r="KE83" i="2"/>
  <c r="KE86" i="2"/>
  <c r="KE110" i="2"/>
  <c r="KE84" i="2"/>
  <c r="KE88" i="2"/>
  <c r="KE89" i="2"/>
  <c r="KE111" i="2"/>
  <c r="KE118" i="2"/>
  <c r="KE119" i="2"/>
  <c r="KE141" i="2"/>
  <c r="KE245" i="2"/>
  <c r="KE107" i="2"/>
  <c r="KE108" i="2"/>
  <c r="KE114" i="2"/>
  <c r="KE115" i="2"/>
  <c r="KE139" i="2"/>
  <c r="KE244" i="2"/>
  <c r="KE246" i="2"/>
  <c r="KF83" i="2"/>
  <c r="KF86" i="2"/>
  <c r="KF110" i="2"/>
  <c r="KF84" i="2"/>
  <c r="KF88" i="2"/>
  <c r="KF89" i="2"/>
  <c r="KF111" i="2"/>
  <c r="KF118" i="2"/>
  <c r="KF119" i="2"/>
  <c r="KF141" i="2"/>
  <c r="KF245" i="2"/>
  <c r="KF107" i="2"/>
  <c r="KF108" i="2"/>
  <c r="KF114" i="2"/>
  <c r="KF115" i="2"/>
  <c r="KF139" i="2"/>
  <c r="KF244" i="2"/>
  <c r="KF246" i="2"/>
  <c r="KG83" i="2"/>
  <c r="KG86" i="2"/>
  <c r="KG110" i="2"/>
  <c r="KG84" i="2"/>
  <c r="KG88" i="2"/>
  <c r="KG89" i="2"/>
  <c r="KG111" i="2"/>
  <c r="KG118" i="2"/>
  <c r="KG119" i="2"/>
  <c r="KG141" i="2"/>
  <c r="KG245" i="2"/>
  <c r="KG107" i="2"/>
  <c r="KG108" i="2"/>
  <c r="KG114" i="2"/>
  <c r="KG115" i="2"/>
  <c r="KG139" i="2"/>
  <c r="KG244" i="2"/>
  <c r="KG246" i="2"/>
  <c r="KH83" i="2"/>
  <c r="KH86" i="2"/>
  <c r="KH110" i="2"/>
  <c r="KH84" i="2"/>
  <c r="KH88" i="2"/>
  <c r="KH89" i="2"/>
  <c r="KH111" i="2"/>
  <c r="KH118" i="2"/>
  <c r="KH119" i="2"/>
  <c r="KH141" i="2"/>
  <c r="KH245" i="2"/>
  <c r="KH107" i="2"/>
  <c r="KH108" i="2"/>
  <c r="KH114" i="2"/>
  <c r="KH115" i="2"/>
  <c r="KH139" i="2"/>
  <c r="KH244" i="2"/>
  <c r="KH246" i="2"/>
  <c r="KI83" i="2"/>
  <c r="KI86" i="2"/>
  <c r="KI110" i="2"/>
  <c r="KI84" i="2"/>
  <c r="KI88" i="2"/>
  <c r="KI89" i="2"/>
  <c r="KI111" i="2"/>
  <c r="KI118" i="2"/>
  <c r="KI119" i="2"/>
  <c r="KI141" i="2"/>
  <c r="KI245" i="2"/>
  <c r="KI107" i="2"/>
  <c r="KI108" i="2"/>
  <c r="KI114" i="2"/>
  <c r="KI115" i="2"/>
  <c r="KI139" i="2"/>
  <c r="KI244" i="2"/>
  <c r="KI246" i="2"/>
  <c r="KJ83" i="2"/>
  <c r="KJ86" i="2"/>
  <c r="KJ110" i="2"/>
  <c r="KJ84" i="2"/>
  <c r="KJ88" i="2"/>
  <c r="KJ89" i="2"/>
  <c r="KJ111" i="2"/>
  <c r="KJ118" i="2"/>
  <c r="KJ119" i="2"/>
  <c r="KJ141" i="2"/>
  <c r="KJ245" i="2"/>
  <c r="KJ107" i="2"/>
  <c r="KJ108" i="2"/>
  <c r="KJ114" i="2"/>
  <c r="KJ115" i="2"/>
  <c r="KJ139" i="2"/>
  <c r="KJ244" i="2"/>
  <c r="KJ246" i="2"/>
  <c r="KK83" i="2"/>
  <c r="KK86" i="2"/>
  <c r="KK110" i="2"/>
  <c r="KK84" i="2"/>
  <c r="KK88" i="2"/>
  <c r="KK89" i="2"/>
  <c r="KK111" i="2"/>
  <c r="KK118" i="2"/>
  <c r="KK119" i="2"/>
  <c r="KK141" i="2"/>
  <c r="KK245" i="2"/>
  <c r="KK107" i="2"/>
  <c r="KK108" i="2"/>
  <c r="KK114" i="2"/>
  <c r="KK115" i="2"/>
  <c r="KK139" i="2"/>
  <c r="KK244" i="2"/>
  <c r="KK246" i="2"/>
  <c r="KL83" i="2"/>
  <c r="KL86" i="2"/>
  <c r="KL110" i="2"/>
  <c r="KL84" i="2"/>
  <c r="KL88" i="2"/>
  <c r="KL89" i="2"/>
  <c r="KL111" i="2"/>
  <c r="KL118" i="2"/>
  <c r="KL119" i="2"/>
  <c r="KL141" i="2"/>
  <c r="KL245" i="2"/>
  <c r="KL107" i="2"/>
  <c r="KL108" i="2"/>
  <c r="KL114" i="2"/>
  <c r="KL115" i="2"/>
  <c r="KL139" i="2"/>
  <c r="KL244" i="2"/>
  <c r="KL246" i="2"/>
  <c r="KM83" i="2"/>
  <c r="KM86" i="2"/>
  <c r="KM110" i="2"/>
  <c r="KM84" i="2"/>
  <c r="KM88" i="2"/>
  <c r="KM89" i="2"/>
  <c r="KM111" i="2"/>
  <c r="KM118" i="2"/>
  <c r="KM119" i="2"/>
  <c r="KM141" i="2"/>
  <c r="KM245" i="2"/>
  <c r="KM107" i="2"/>
  <c r="KM108" i="2"/>
  <c r="KM114" i="2"/>
  <c r="KM115" i="2"/>
  <c r="KM139" i="2"/>
  <c r="KM244" i="2"/>
  <c r="KM246" i="2"/>
  <c r="KN83" i="2"/>
  <c r="KN86" i="2"/>
  <c r="KN110" i="2"/>
  <c r="KN84" i="2"/>
  <c r="KN88" i="2"/>
  <c r="KN89" i="2"/>
  <c r="KN111" i="2"/>
  <c r="KN118" i="2"/>
  <c r="KN119" i="2"/>
  <c r="KN141" i="2"/>
  <c r="KN245" i="2"/>
  <c r="KN107" i="2"/>
  <c r="KN108" i="2"/>
  <c r="KN114" i="2"/>
  <c r="KN115" i="2"/>
  <c r="KN139" i="2"/>
  <c r="KN244" i="2"/>
  <c r="KN246" i="2"/>
  <c r="KO83" i="2"/>
  <c r="KO86" i="2"/>
  <c r="KO110" i="2"/>
  <c r="KO84" i="2"/>
  <c r="KO88" i="2"/>
  <c r="KO89" i="2"/>
  <c r="KO111" i="2"/>
  <c r="KO118" i="2"/>
  <c r="KO119" i="2"/>
  <c r="KO141" i="2"/>
  <c r="KO245" i="2"/>
  <c r="KO107" i="2"/>
  <c r="KO108" i="2"/>
  <c r="KO114" i="2"/>
  <c r="KO115" i="2"/>
  <c r="KO139" i="2"/>
  <c r="KO244" i="2"/>
  <c r="KO246" i="2"/>
  <c r="KP83" i="2"/>
  <c r="KP86" i="2"/>
  <c r="KP110" i="2"/>
  <c r="KP84" i="2"/>
  <c r="KP88" i="2"/>
  <c r="KP89" i="2"/>
  <c r="KP111" i="2"/>
  <c r="KP118" i="2"/>
  <c r="KP119" i="2"/>
  <c r="KP141" i="2"/>
  <c r="KP245" i="2"/>
  <c r="KP107" i="2"/>
  <c r="KP108" i="2"/>
  <c r="KP114" i="2"/>
  <c r="KP115" i="2"/>
  <c r="KP139" i="2"/>
  <c r="KP244" i="2"/>
  <c r="KP246" i="2"/>
  <c r="KQ83" i="2"/>
  <c r="KQ86" i="2"/>
  <c r="KQ110" i="2"/>
  <c r="KQ84" i="2"/>
  <c r="KQ88" i="2"/>
  <c r="KQ89" i="2"/>
  <c r="KQ111" i="2"/>
  <c r="KQ118" i="2"/>
  <c r="KQ119" i="2"/>
  <c r="KQ141" i="2"/>
  <c r="KQ245" i="2"/>
  <c r="KQ107" i="2"/>
  <c r="KQ108" i="2"/>
  <c r="KQ114" i="2"/>
  <c r="KQ115" i="2"/>
  <c r="KQ139" i="2"/>
  <c r="KQ244" i="2"/>
  <c r="KQ246" i="2"/>
  <c r="KR83" i="2"/>
  <c r="KR86" i="2"/>
  <c r="KR110" i="2"/>
  <c r="KR84" i="2"/>
  <c r="KR88" i="2"/>
  <c r="KR89" i="2"/>
  <c r="KR111" i="2"/>
  <c r="KR118" i="2"/>
  <c r="KR119" i="2"/>
  <c r="KR141" i="2"/>
  <c r="KR245" i="2"/>
  <c r="KR107" i="2"/>
  <c r="KR108" i="2"/>
  <c r="KR114" i="2"/>
  <c r="KR115" i="2"/>
  <c r="KR139" i="2"/>
  <c r="KR244" i="2"/>
  <c r="KR246" i="2"/>
  <c r="KS83" i="2"/>
  <c r="KS86" i="2"/>
  <c r="KS110" i="2"/>
  <c r="KS84" i="2"/>
  <c r="KS88" i="2"/>
  <c r="KS89" i="2"/>
  <c r="KS111" i="2"/>
  <c r="KS118" i="2"/>
  <c r="KS119" i="2"/>
  <c r="KS141" i="2"/>
  <c r="KS245" i="2"/>
  <c r="KS107" i="2"/>
  <c r="KS108" i="2"/>
  <c r="KS114" i="2"/>
  <c r="KS115" i="2"/>
  <c r="KS139" i="2"/>
  <c r="KS244" i="2"/>
  <c r="KS246" i="2"/>
  <c r="KT83" i="2"/>
  <c r="KT86" i="2"/>
  <c r="KT110" i="2"/>
  <c r="KT84" i="2"/>
  <c r="KT88" i="2"/>
  <c r="KT89" i="2"/>
  <c r="KT111" i="2"/>
  <c r="KT118" i="2"/>
  <c r="KT119" i="2"/>
  <c r="KT141" i="2"/>
  <c r="KT245" i="2"/>
  <c r="KT107" i="2"/>
  <c r="KT108" i="2"/>
  <c r="KT114" i="2"/>
  <c r="KT115" i="2"/>
  <c r="KT139" i="2"/>
  <c r="KT244" i="2"/>
  <c r="KT246" i="2"/>
  <c r="KU83" i="2"/>
  <c r="KU86" i="2"/>
  <c r="KU110" i="2"/>
  <c r="KU84" i="2"/>
  <c r="KU88" i="2"/>
  <c r="KU89" i="2"/>
  <c r="KU111" i="2"/>
  <c r="KU118" i="2"/>
  <c r="KU119" i="2"/>
  <c r="KU141" i="2"/>
  <c r="KU245" i="2"/>
  <c r="KU107" i="2"/>
  <c r="KU108" i="2"/>
  <c r="KU114" i="2"/>
  <c r="KU115" i="2"/>
  <c r="KU139" i="2"/>
  <c r="KU244" i="2"/>
  <c r="KU246" i="2"/>
  <c r="KV83" i="2"/>
  <c r="KV86" i="2"/>
  <c r="KV110" i="2"/>
  <c r="KV84" i="2"/>
  <c r="KV88" i="2"/>
  <c r="KV89" i="2"/>
  <c r="KV111" i="2"/>
  <c r="KV118" i="2"/>
  <c r="KV119" i="2"/>
  <c r="KV141" i="2"/>
  <c r="KV245" i="2"/>
  <c r="KV107" i="2"/>
  <c r="KV108" i="2"/>
  <c r="KV114" i="2"/>
  <c r="KV115" i="2"/>
  <c r="KV139" i="2"/>
  <c r="KV244" i="2"/>
  <c r="KV246" i="2"/>
  <c r="KW83" i="2"/>
  <c r="KW86" i="2"/>
  <c r="KW110" i="2"/>
  <c r="KW84" i="2"/>
  <c r="KW88" i="2"/>
  <c r="KW89" i="2"/>
  <c r="KW111" i="2"/>
  <c r="KW118" i="2"/>
  <c r="KW119" i="2"/>
  <c r="KW141" i="2"/>
  <c r="KW245" i="2"/>
  <c r="KW107" i="2"/>
  <c r="KW108" i="2"/>
  <c r="KW114" i="2"/>
  <c r="KW115" i="2"/>
  <c r="KW139" i="2"/>
  <c r="KW244" i="2"/>
  <c r="KW246" i="2"/>
  <c r="KX83" i="2"/>
  <c r="KX86" i="2"/>
  <c r="KX110" i="2"/>
  <c r="KX84" i="2"/>
  <c r="KX88" i="2"/>
  <c r="KX89" i="2"/>
  <c r="KX111" i="2"/>
  <c r="KX118" i="2"/>
  <c r="KX119" i="2"/>
  <c r="KX141" i="2"/>
  <c r="KX245" i="2"/>
  <c r="KX107" i="2"/>
  <c r="KX108" i="2"/>
  <c r="KX114" i="2"/>
  <c r="KX115" i="2"/>
  <c r="KX139" i="2"/>
  <c r="KX244" i="2"/>
  <c r="KX246" i="2"/>
  <c r="KY83" i="2"/>
  <c r="KY86" i="2"/>
  <c r="KY110" i="2"/>
  <c r="KY84" i="2"/>
  <c r="KY88" i="2"/>
  <c r="KY89" i="2"/>
  <c r="KY111" i="2"/>
  <c r="KY118" i="2"/>
  <c r="KY119" i="2"/>
  <c r="KY141" i="2"/>
  <c r="KY245" i="2"/>
  <c r="KY107" i="2"/>
  <c r="KY108" i="2"/>
  <c r="KY114" i="2"/>
  <c r="KY115" i="2"/>
  <c r="KY139" i="2"/>
  <c r="KY244" i="2"/>
  <c r="KY246" i="2"/>
  <c r="KZ83" i="2"/>
  <c r="KZ86" i="2"/>
  <c r="KZ110" i="2"/>
  <c r="KZ84" i="2"/>
  <c r="KZ88" i="2"/>
  <c r="KZ89" i="2"/>
  <c r="KZ111" i="2"/>
  <c r="KZ118" i="2"/>
  <c r="KZ119" i="2"/>
  <c r="KZ141" i="2"/>
  <c r="KZ245" i="2"/>
  <c r="KZ107" i="2"/>
  <c r="KZ108" i="2"/>
  <c r="KZ114" i="2"/>
  <c r="KZ115" i="2"/>
  <c r="KZ139" i="2"/>
  <c r="KZ244" i="2"/>
  <c r="KZ246" i="2"/>
  <c r="LA83" i="2"/>
  <c r="LA86" i="2"/>
  <c r="LA110" i="2"/>
  <c r="LA84" i="2"/>
  <c r="LA88" i="2"/>
  <c r="LA89" i="2"/>
  <c r="LA111" i="2"/>
  <c r="LA118" i="2"/>
  <c r="LA119" i="2"/>
  <c r="LA141" i="2"/>
  <c r="LA245" i="2"/>
  <c r="LA107" i="2"/>
  <c r="LA108" i="2"/>
  <c r="LA114" i="2"/>
  <c r="LA115" i="2"/>
  <c r="LA139" i="2"/>
  <c r="LA244" i="2"/>
  <c r="LA246" i="2"/>
  <c r="LB83" i="2"/>
  <c r="LB86" i="2"/>
  <c r="LB110" i="2"/>
  <c r="LB84" i="2"/>
  <c r="LB88" i="2"/>
  <c r="LB89" i="2"/>
  <c r="LB111" i="2"/>
  <c r="LB118" i="2"/>
  <c r="LB119" i="2"/>
  <c r="LB141" i="2"/>
  <c r="LB245" i="2"/>
  <c r="LB107" i="2"/>
  <c r="LB108" i="2"/>
  <c r="LB114" i="2"/>
  <c r="LB115" i="2"/>
  <c r="LB139" i="2"/>
  <c r="LB244" i="2"/>
  <c r="LB246" i="2"/>
  <c r="LC83" i="2"/>
  <c r="LC86" i="2"/>
  <c r="LC110" i="2"/>
  <c r="LC84" i="2"/>
  <c r="LC88" i="2"/>
  <c r="LC89" i="2"/>
  <c r="LC111" i="2"/>
  <c r="LC118" i="2"/>
  <c r="LC119" i="2"/>
  <c r="LC141" i="2"/>
  <c r="LC245" i="2"/>
  <c r="LC107" i="2"/>
  <c r="LC108" i="2"/>
  <c r="LC114" i="2"/>
  <c r="LC115" i="2"/>
  <c r="LC139" i="2"/>
  <c r="LC244" i="2"/>
  <c r="LC246" i="2"/>
  <c r="LD83" i="2"/>
  <c r="LD86" i="2"/>
  <c r="LD110" i="2"/>
  <c r="LD84" i="2"/>
  <c r="LD88" i="2"/>
  <c r="LD89" i="2"/>
  <c r="LD111" i="2"/>
  <c r="LD118" i="2"/>
  <c r="LD119" i="2"/>
  <c r="LD141" i="2"/>
  <c r="LD245" i="2"/>
  <c r="LD107" i="2"/>
  <c r="LD108" i="2"/>
  <c r="LD114" i="2"/>
  <c r="LD115" i="2"/>
  <c r="LD139" i="2"/>
  <c r="LD244" i="2"/>
  <c r="LD246" i="2"/>
  <c r="LE83" i="2"/>
  <c r="LE86" i="2"/>
  <c r="LE110" i="2"/>
  <c r="LE84" i="2"/>
  <c r="LE88" i="2"/>
  <c r="LE89" i="2"/>
  <c r="LE111" i="2"/>
  <c r="LE118" i="2"/>
  <c r="LE119" i="2"/>
  <c r="LE141" i="2"/>
  <c r="LE245" i="2"/>
  <c r="LE107" i="2"/>
  <c r="LE108" i="2"/>
  <c r="LE114" i="2"/>
  <c r="LE115" i="2"/>
  <c r="LE139" i="2"/>
  <c r="LE244" i="2"/>
  <c r="LE246" i="2"/>
  <c r="LF83" i="2"/>
  <c r="LF86" i="2"/>
  <c r="LF110" i="2"/>
  <c r="LF84" i="2"/>
  <c r="LF88" i="2"/>
  <c r="LF89" i="2"/>
  <c r="LF111" i="2"/>
  <c r="LF118" i="2"/>
  <c r="LF119" i="2"/>
  <c r="LF141" i="2"/>
  <c r="LF245" i="2"/>
  <c r="LF107" i="2"/>
  <c r="LF108" i="2"/>
  <c r="LF114" i="2"/>
  <c r="LF115" i="2"/>
  <c r="LF139" i="2"/>
  <c r="LF244" i="2"/>
  <c r="LF246" i="2"/>
  <c r="LG83" i="2"/>
  <c r="LG86" i="2"/>
  <c r="LG110" i="2"/>
  <c r="LG84" i="2"/>
  <c r="LG88" i="2"/>
  <c r="LG89" i="2"/>
  <c r="LG111" i="2"/>
  <c r="LG118" i="2"/>
  <c r="LG119" i="2"/>
  <c r="LG141" i="2"/>
  <c r="LG245" i="2"/>
  <c r="LG107" i="2"/>
  <c r="LG108" i="2"/>
  <c r="LG114" i="2"/>
  <c r="LG115" i="2"/>
  <c r="LG139" i="2"/>
  <c r="LG244" i="2"/>
  <c r="LG246" i="2"/>
  <c r="LH83" i="2"/>
  <c r="LH86" i="2"/>
  <c r="LH110" i="2"/>
  <c r="LH84" i="2"/>
  <c r="LH88" i="2"/>
  <c r="LH89" i="2"/>
  <c r="LH111" i="2"/>
  <c r="LH118" i="2"/>
  <c r="LH119" i="2"/>
  <c r="LH141" i="2"/>
  <c r="LH245" i="2"/>
  <c r="LH107" i="2"/>
  <c r="LH108" i="2"/>
  <c r="LH114" i="2"/>
  <c r="LH115" i="2"/>
  <c r="LH139" i="2"/>
  <c r="LH244" i="2"/>
  <c r="LH246" i="2"/>
  <c r="LI83" i="2"/>
  <c r="LI86" i="2"/>
  <c r="LI110" i="2"/>
  <c r="LI84" i="2"/>
  <c r="LI88" i="2"/>
  <c r="LI89" i="2"/>
  <c r="LI111" i="2"/>
  <c r="LI118" i="2"/>
  <c r="LI119" i="2"/>
  <c r="LI141" i="2"/>
  <c r="LI245" i="2"/>
  <c r="LI107" i="2"/>
  <c r="LI108" i="2"/>
  <c r="LI114" i="2"/>
  <c r="LI115" i="2"/>
  <c r="LI139" i="2"/>
  <c r="LI244" i="2"/>
  <c r="LI246" i="2"/>
  <c r="LJ83" i="2"/>
  <c r="LJ86" i="2"/>
  <c r="LJ110" i="2"/>
  <c r="LJ84" i="2"/>
  <c r="LJ88" i="2"/>
  <c r="LJ89" i="2"/>
  <c r="LJ111" i="2"/>
  <c r="LJ118" i="2"/>
  <c r="LJ119" i="2"/>
  <c r="LJ141" i="2"/>
  <c r="LJ245" i="2"/>
  <c r="LJ107" i="2"/>
  <c r="LJ108" i="2"/>
  <c r="LJ114" i="2"/>
  <c r="LJ115" i="2"/>
  <c r="LJ139" i="2"/>
  <c r="LJ244" i="2"/>
  <c r="LJ246" i="2"/>
  <c r="LK83" i="2"/>
  <c r="LK86" i="2"/>
  <c r="LK110" i="2"/>
  <c r="LK84" i="2"/>
  <c r="LK88" i="2"/>
  <c r="LK89" i="2"/>
  <c r="LK111" i="2"/>
  <c r="LK118" i="2"/>
  <c r="LK119" i="2"/>
  <c r="LK141" i="2"/>
  <c r="LK245" i="2"/>
  <c r="LK107" i="2"/>
  <c r="LK108" i="2"/>
  <c r="LK114" i="2"/>
  <c r="LK115" i="2"/>
  <c r="LK139" i="2"/>
  <c r="LK244" i="2"/>
  <c r="LK246" i="2"/>
  <c r="LL83" i="2"/>
  <c r="LL86" i="2"/>
  <c r="LL110" i="2"/>
  <c r="LL84" i="2"/>
  <c r="LL88" i="2"/>
  <c r="LL89" i="2"/>
  <c r="LL111" i="2"/>
  <c r="LL118" i="2"/>
  <c r="LL119" i="2"/>
  <c r="LL141" i="2"/>
  <c r="LL245" i="2"/>
  <c r="LL107" i="2"/>
  <c r="LL108" i="2"/>
  <c r="LL114" i="2"/>
  <c r="LL115" i="2"/>
  <c r="LL139" i="2"/>
  <c r="LL244" i="2"/>
  <c r="LL246" i="2"/>
  <c r="LM83" i="2"/>
  <c r="LM86" i="2"/>
  <c r="LM110" i="2"/>
  <c r="LM84" i="2"/>
  <c r="LM88" i="2"/>
  <c r="LM89" i="2"/>
  <c r="LM111" i="2"/>
  <c r="LM118" i="2"/>
  <c r="LM119" i="2"/>
  <c r="LM141" i="2"/>
  <c r="LM245" i="2"/>
  <c r="LM107" i="2"/>
  <c r="LM108" i="2"/>
  <c r="LM114" i="2"/>
  <c r="LM115" i="2"/>
  <c r="LM139" i="2"/>
  <c r="LM244" i="2"/>
  <c r="LM246" i="2"/>
  <c r="LN83" i="2"/>
  <c r="LN86" i="2"/>
  <c r="LN110" i="2"/>
  <c r="LN84" i="2"/>
  <c r="LN88" i="2"/>
  <c r="LN89" i="2"/>
  <c r="LN111" i="2"/>
  <c r="LN118" i="2"/>
  <c r="LN119" i="2"/>
  <c r="LN141" i="2"/>
  <c r="LN245" i="2"/>
  <c r="LN107" i="2"/>
  <c r="LN108" i="2"/>
  <c r="LN114" i="2"/>
  <c r="LN115" i="2"/>
  <c r="LN139" i="2"/>
  <c r="LN244" i="2"/>
  <c r="LN246" i="2"/>
  <c r="LO83" i="2"/>
  <c r="LO86" i="2"/>
  <c r="LO110" i="2"/>
  <c r="LO84" i="2"/>
  <c r="LO88" i="2"/>
  <c r="LO89" i="2"/>
  <c r="LO111" i="2"/>
  <c r="LO118" i="2"/>
  <c r="LO119" i="2"/>
  <c r="LO141" i="2"/>
  <c r="LO245" i="2"/>
  <c r="LO107" i="2"/>
  <c r="LO108" i="2"/>
  <c r="LO114" i="2"/>
  <c r="LO115" i="2"/>
  <c r="LO139" i="2"/>
  <c r="LO244" i="2"/>
  <c r="LO246" i="2"/>
  <c r="LP83" i="2"/>
  <c r="LP86" i="2"/>
  <c r="LP110" i="2"/>
  <c r="LP84" i="2"/>
  <c r="LP88" i="2"/>
  <c r="LP89" i="2"/>
  <c r="LP111" i="2"/>
  <c r="LP118" i="2"/>
  <c r="LP119" i="2"/>
  <c r="LP141" i="2"/>
  <c r="LP245" i="2"/>
  <c r="LP107" i="2"/>
  <c r="LP108" i="2"/>
  <c r="LP114" i="2"/>
  <c r="LP115" i="2"/>
  <c r="LP139" i="2"/>
  <c r="LP244" i="2"/>
  <c r="LP246" i="2"/>
  <c r="LQ83" i="2"/>
  <c r="LQ86" i="2"/>
  <c r="LQ110" i="2"/>
  <c r="LQ84" i="2"/>
  <c r="LQ88" i="2"/>
  <c r="LQ89" i="2"/>
  <c r="LQ111" i="2"/>
  <c r="LQ118" i="2"/>
  <c r="LQ119" i="2"/>
  <c r="LQ141" i="2"/>
  <c r="LQ245" i="2"/>
  <c r="LQ107" i="2"/>
  <c r="LQ108" i="2"/>
  <c r="LQ114" i="2"/>
  <c r="LQ115" i="2"/>
  <c r="LQ139" i="2"/>
  <c r="LQ244" i="2"/>
  <c r="LQ246" i="2"/>
  <c r="LR83" i="2"/>
  <c r="LR86" i="2"/>
  <c r="LR110" i="2"/>
  <c r="LR84" i="2"/>
  <c r="LR88" i="2"/>
  <c r="LR89" i="2"/>
  <c r="LR111" i="2"/>
  <c r="LR118" i="2"/>
  <c r="LR119" i="2"/>
  <c r="LR141" i="2"/>
  <c r="LR245" i="2"/>
  <c r="LR107" i="2"/>
  <c r="LR108" i="2"/>
  <c r="LR114" i="2"/>
  <c r="LR115" i="2"/>
  <c r="LR139" i="2"/>
  <c r="LR244" i="2"/>
  <c r="LR246" i="2"/>
  <c r="LS83" i="2"/>
  <c r="LS86" i="2"/>
  <c r="LS110" i="2"/>
  <c r="LS84" i="2"/>
  <c r="LS88" i="2"/>
  <c r="LS89" i="2"/>
  <c r="LS111" i="2"/>
  <c r="LS118" i="2"/>
  <c r="LS119" i="2"/>
  <c r="LS141" i="2"/>
  <c r="LS245" i="2"/>
  <c r="LS107" i="2"/>
  <c r="LS108" i="2"/>
  <c r="LS114" i="2"/>
  <c r="LS115" i="2"/>
  <c r="LS139" i="2"/>
  <c r="LS244" i="2"/>
  <c r="LS246" i="2"/>
  <c r="LT83" i="2"/>
  <c r="LT86" i="2"/>
  <c r="LT110" i="2"/>
  <c r="LT84" i="2"/>
  <c r="LT88" i="2"/>
  <c r="LT89" i="2"/>
  <c r="LT111" i="2"/>
  <c r="LT118" i="2"/>
  <c r="LT119" i="2"/>
  <c r="LT141" i="2"/>
  <c r="LT245" i="2"/>
  <c r="LT107" i="2"/>
  <c r="LT108" i="2"/>
  <c r="LT114" i="2"/>
  <c r="LT115" i="2"/>
  <c r="LT139" i="2"/>
  <c r="LT244" i="2"/>
  <c r="LT246" i="2"/>
  <c r="LU83" i="2"/>
  <c r="LU86" i="2"/>
  <c r="LU110" i="2"/>
  <c r="LU84" i="2"/>
  <c r="LU88" i="2"/>
  <c r="LU89" i="2"/>
  <c r="LU111" i="2"/>
  <c r="LU118" i="2"/>
  <c r="LU119" i="2"/>
  <c r="LU141" i="2"/>
  <c r="LU245" i="2"/>
  <c r="LU107" i="2"/>
  <c r="LU108" i="2"/>
  <c r="LU114" i="2"/>
  <c r="LU115" i="2"/>
  <c r="LU139" i="2"/>
  <c r="LU244" i="2"/>
  <c r="LU246" i="2"/>
  <c r="LV83" i="2"/>
  <c r="LV86" i="2"/>
  <c r="LV110" i="2"/>
  <c r="LV84" i="2"/>
  <c r="LV88" i="2"/>
  <c r="LV89" i="2"/>
  <c r="LV111" i="2"/>
  <c r="LV118" i="2"/>
  <c r="LV119" i="2"/>
  <c r="LV141" i="2"/>
  <c r="LV245" i="2"/>
  <c r="LV107" i="2"/>
  <c r="LV108" i="2"/>
  <c r="LV114" i="2"/>
  <c r="LV115" i="2"/>
  <c r="LV139" i="2"/>
  <c r="LV244" i="2"/>
  <c r="LV246" i="2"/>
  <c r="LW83" i="2"/>
  <c r="LW86" i="2"/>
  <c r="LW110" i="2"/>
  <c r="LW84" i="2"/>
  <c r="LW88" i="2"/>
  <c r="LW89" i="2"/>
  <c r="LW111" i="2"/>
  <c r="LW118" i="2"/>
  <c r="LW119" i="2"/>
  <c r="LW141" i="2"/>
  <c r="LW245" i="2"/>
  <c r="LW107" i="2"/>
  <c r="LW108" i="2"/>
  <c r="LW114" i="2"/>
  <c r="LW115" i="2"/>
  <c r="LW139" i="2"/>
  <c r="LW244" i="2"/>
  <c r="LW246" i="2"/>
  <c r="LX83" i="2"/>
  <c r="LX86" i="2"/>
  <c r="LX110" i="2"/>
  <c r="LX84" i="2"/>
  <c r="LX88" i="2"/>
  <c r="LX89" i="2"/>
  <c r="LX111" i="2"/>
  <c r="LX118" i="2"/>
  <c r="LX119" i="2"/>
  <c r="LX141" i="2"/>
  <c r="LX245" i="2"/>
  <c r="LX107" i="2"/>
  <c r="LX108" i="2"/>
  <c r="LX114" i="2"/>
  <c r="LX115" i="2"/>
  <c r="LX139" i="2"/>
  <c r="LX244" i="2"/>
  <c r="LX246" i="2"/>
  <c r="LY83" i="2"/>
  <c r="LY86" i="2"/>
  <c r="LY110" i="2"/>
  <c r="LY84" i="2"/>
  <c r="LY88" i="2"/>
  <c r="LY89" i="2"/>
  <c r="LY111" i="2"/>
  <c r="LY118" i="2"/>
  <c r="LY119" i="2"/>
  <c r="LY141" i="2"/>
  <c r="LY245" i="2"/>
  <c r="LY107" i="2"/>
  <c r="LY108" i="2"/>
  <c r="LY114" i="2"/>
  <c r="LY115" i="2"/>
  <c r="LY139" i="2"/>
  <c r="LY244" i="2"/>
  <c r="LY246" i="2"/>
  <c r="LZ83" i="2"/>
  <c r="LZ86" i="2"/>
  <c r="LZ110" i="2"/>
  <c r="LZ84" i="2"/>
  <c r="LZ88" i="2"/>
  <c r="LZ89" i="2"/>
  <c r="LZ111" i="2"/>
  <c r="LZ118" i="2"/>
  <c r="LZ119" i="2"/>
  <c r="LZ141" i="2"/>
  <c r="LZ245" i="2"/>
  <c r="LZ107" i="2"/>
  <c r="LZ108" i="2"/>
  <c r="LZ114" i="2"/>
  <c r="LZ115" i="2"/>
  <c r="LZ139" i="2"/>
  <c r="LZ244" i="2"/>
  <c r="LZ246" i="2"/>
  <c r="MA83" i="2"/>
  <c r="MA86" i="2"/>
  <c r="MA110" i="2"/>
  <c r="MA84" i="2"/>
  <c r="MA88" i="2"/>
  <c r="MA89" i="2"/>
  <c r="MA111" i="2"/>
  <c r="MA118" i="2"/>
  <c r="MA119" i="2"/>
  <c r="MA141" i="2"/>
  <c r="MA245" i="2"/>
  <c r="MA107" i="2"/>
  <c r="MA108" i="2"/>
  <c r="MA114" i="2"/>
  <c r="MA115" i="2"/>
  <c r="MA139" i="2"/>
  <c r="MA244" i="2"/>
  <c r="MA246" i="2"/>
  <c r="MB83" i="2"/>
  <c r="MB86" i="2"/>
  <c r="MB110" i="2"/>
  <c r="MB84" i="2"/>
  <c r="MB88" i="2"/>
  <c r="MB89" i="2"/>
  <c r="MB111" i="2"/>
  <c r="MB118" i="2"/>
  <c r="MB119" i="2"/>
  <c r="MB141" i="2"/>
  <c r="MB245" i="2"/>
  <c r="MB107" i="2"/>
  <c r="MB108" i="2"/>
  <c r="MB114" i="2"/>
  <c r="MB115" i="2"/>
  <c r="MB139" i="2"/>
  <c r="MB244" i="2"/>
  <c r="MB246" i="2"/>
  <c r="MC83" i="2"/>
  <c r="MC86" i="2"/>
  <c r="MC110" i="2"/>
  <c r="MC84" i="2"/>
  <c r="MC88" i="2"/>
  <c r="MC89" i="2"/>
  <c r="MC111" i="2"/>
  <c r="MC118" i="2"/>
  <c r="MC119" i="2"/>
  <c r="MC141" i="2"/>
  <c r="MC245" i="2"/>
  <c r="MC107" i="2"/>
  <c r="MC108" i="2"/>
  <c r="MC114" i="2"/>
  <c r="MC115" i="2"/>
  <c r="MC139" i="2"/>
  <c r="MC244" i="2"/>
  <c r="MC246" i="2"/>
  <c r="MD83" i="2"/>
  <c r="MD86" i="2"/>
  <c r="MD110" i="2"/>
  <c r="MD84" i="2"/>
  <c r="MD88" i="2"/>
  <c r="MD89" i="2"/>
  <c r="MD111" i="2"/>
  <c r="MD118" i="2"/>
  <c r="MD119" i="2"/>
  <c r="MD141" i="2"/>
  <c r="MD245" i="2"/>
  <c r="MD107" i="2"/>
  <c r="MD108" i="2"/>
  <c r="MD114" i="2"/>
  <c r="MD115" i="2"/>
  <c r="MD139" i="2"/>
  <c r="MD244" i="2"/>
  <c r="MD246" i="2"/>
  <c r="ME83" i="2"/>
  <c r="ME86" i="2"/>
  <c r="ME110" i="2"/>
  <c r="ME84" i="2"/>
  <c r="ME88" i="2"/>
  <c r="ME89" i="2"/>
  <c r="ME111" i="2"/>
  <c r="ME118" i="2"/>
  <c r="ME119" i="2"/>
  <c r="ME141" i="2"/>
  <c r="ME245" i="2"/>
  <c r="ME107" i="2"/>
  <c r="ME108" i="2"/>
  <c r="ME114" i="2"/>
  <c r="ME115" i="2"/>
  <c r="ME139" i="2"/>
  <c r="ME244" i="2"/>
  <c r="ME246" i="2"/>
  <c r="MF83" i="2"/>
  <c r="MF86" i="2"/>
  <c r="MF110" i="2"/>
  <c r="MF84" i="2"/>
  <c r="MF88" i="2"/>
  <c r="MF89" i="2"/>
  <c r="MF111" i="2"/>
  <c r="MF118" i="2"/>
  <c r="MF119" i="2"/>
  <c r="MF141" i="2"/>
  <c r="MF245" i="2"/>
  <c r="MF107" i="2"/>
  <c r="MF108" i="2"/>
  <c r="MF114" i="2"/>
  <c r="MF115" i="2"/>
  <c r="MF139" i="2"/>
  <c r="MF244" i="2"/>
  <c r="MF246" i="2"/>
  <c r="MG83" i="2"/>
  <c r="MG86" i="2"/>
  <c r="MG110" i="2"/>
  <c r="MG84" i="2"/>
  <c r="MG88" i="2"/>
  <c r="MG89" i="2"/>
  <c r="MG111" i="2"/>
  <c r="MG118" i="2"/>
  <c r="MG119" i="2"/>
  <c r="MG141" i="2"/>
  <c r="MG245" i="2"/>
  <c r="MG107" i="2"/>
  <c r="MG108" i="2"/>
  <c r="MG114" i="2"/>
  <c r="MG115" i="2"/>
  <c r="MG139" i="2"/>
  <c r="MG244" i="2"/>
  <c r="MG246" i="2"/>
  <c r="MH83" i="2"/>
  <c r="MH86" i="2"/>
  <c r="MH110" i="2"/>
  <c r="MH84" i="2"/>
  <c r="MH88" i="2"/>
  <c r="MH89" i="2"/>
  <c r="MH111" i="2"/>
  <c r="MH118" i="2"/>
  <c r="MH119" i="2"/>
  <c r="MH141" i="2"/>
  <c r="MH245" i="2"/>
  <c r="MH107" i="2"/>
  <c r="MH108" i="2"/>
  <c r="MH114" i="2"/>
  <c r="MH115" i="2"/>
  <c r="MH139" i="2"/>
  <c r="MH244" i="2"/>
  <c r="MH246" i="2"/>
  <c r="MI83" i="2"/>
  <c r="MI86" i="2"/>
  <c r="MI110" i="2"/>
  <c r="MI84" i="2"/>
  <c r="MI88" i="2"/>
  <c r="MI89" i="2"/>
  <c r="MI111" i="2"/>
  <c r="MI118" i="2"/>
  <c r="MI119" i="2"/>
  <c r="MI141" i="2"/>
  <c r="MI245" i="2"/>
  <c r="MI107" i="2"/>
  <c r="MI108" i="2"/>
  <c r="MI114" i="2"/>
  <c r="MI115" i="2"/>
  <c r="MI139" i="2"/>
  <c r="MI244" i="2"/>
  <c r="MI246" i="2"/>
  <c r="MJ83" i="2"/>
  <c r="MJ86" i="2"/>
  <c r="MJ110" i="2"/>
  <c r="MJ84" i="2"/>
  <c r="MJ88" i="2"/>
  <c r="MJ89" i="2"/>
  <c r="MJ111" i="2"/>
  <c r="MJ118" i="2"/>
  <c r="MJ119" i="2"/>
  <c r="MJ141" i="2"/>
  <c r="MJ245" i="2"/>
  <c r="MJ107" i="2"/>
  <c r="MJ108" i="2"/>
  <c r="MJ114" i="2"/>
  <c r="MJ115" i="2"/>
  <c r="MJ139" i="2"/>
  <c r="MJ244" i="2"/>
  <c r="MJ246" i="2"/>
  <c r="MK83" i="2"/>
  <c r="MK86" i="2"/>
  <c r="MK110" i="2"/>
  <c r="MK84" i="2"/>
  <c r="MK88" i="2"/>
  <c r="MK89" i="2"/>
  <c r="MK111" i="2"/>
  <c r="MK118" i="2"/>
  <c r="MK119" i="2"/>
  <c r="MK141" i="2"/>
  <c r="MK245" i="2"/>
  <c r="MK107" i="2"/>
  <c r="MK108" i="2"/>
  <c r="MK114" i="2"/>
  <c r="MK115" i="2"/>
  <c r="MK139" i="2"/>
  <c r="MK244" i="2"/>
  <c r="MK246" i="2"/>
  <c r="ML83" i="2"/>
  <c r="ML86" i="2"/>
  <c r="ML110" i="2"/>
  <c r="ML84" i="2"/>
  <c r="ML88" i="2"/>
  <c r="ML89" i="2"/>
  <c r="ML111" i="2"/>
  <c r="ML118" i="2"/>
  <c r="ML119" i="2"/>
  <c r="ML141" i="2"/>
  <c r="ML245" i="2"/>
  <c r="ML107" i="2"/>
  <c r="ML108" i="2"/>
  <c r="ML114" i="2"/>
  <c r="ML115" i="2"/>
  <c r="ML139" i="2"/>
  <c r="ML244" i="2"/>
  <c r="ML246" i="2"/>
  <c r="MM83" i="2"/>
  <c r="MM86" i="2"/>
  <c r="MM110" i="2"/>
  <c r="MM84" i="2"/>
  <c r="MM88" i="2"/>
  <c r="MM89" i="2"/>
  <c r="MM111" i="2"/>
  <c r="MM118" i="2"/>
  <c r="MM119" i="2"/>
  <c r="MM141" i="2"/>
  <c r="MM245" i="2"/>
  <c r="MM107" i="2"/>
  <c r="MM108" i="2"/>
  <c r="MM114" i="2"/>
  <c r="MM115" i="2"/>
  <c r="MM139" i="2"/>
  <c r="MM244" i="2"/>
  <c r="MM246" i="2"/>
  <c r="MN83" i="2"/>
  <c r="MN86" i="2"/>
  <c r="MN110" i="2"/>
  <c r="MN84" i="2"/>
  <c r="MN88" i="2"/>
  <c r="MN89" i="2"/>
  <c r="MN111" i="2"/>
  <c r="MN118" i="2"/>
  <c r="MN119" i="2"/>
  <c r="MN141" i="2"/>
  <c r="MN245" i="2"/>
  <c r="MN107" i="2"/>
  <c r="MN108" i="2"/>
  <c r="MN114" i="2"/>
  <c r="MN115" i="2"/>
  <c r="MN139" i="2"/>
  <c r="MN244" i="2"/>
  <c r="MN246" i="2"/>
  <c r="MO83" i="2"/>
  <c r="MO86" i="2"/>
  <c r="MO110" i="2"/>
  <c r="MO84" i="2"/>
  <c r="MO88" i="2"/>
  <c r="MO89" i="2"/>
  <c r="MO111" i="2"/>
  <c r="MO118" i="2"/>
  <c r="MO119" i="2"/>
  <c r="MO141" i="2"/>
  <c r="MO245" i="2"/>
  <c r="MO107" i="2"/>
  <c r="MO108" i="2"/>
  <c r="MO114" i="2"/>
  <c r="MO115" i="2"/>
  <c r="MO139" i="2"/>
  <c r="MO244" i="2"/>
  <c r="MO246" i="2"/>
  <c r="MP83" i="2"/>
  <c r="MP86" i="2"/>
  <c r="MP110" i="2"/>
  <c r="MP84" i="2"/>
  <c r="MP88" i="2"/>
  <c r="MP89" i="2"/>
  <c r="MP111" i="2"/>
  <c r="MP118" i="2"/>
  <c r="MP119" i="2"/>
  <c r="MP141" i="2"/>
  <c r="MP245" i="2"/>
  <c r="MP107" i="2"/>
  <c r="MP108" i="2"/>
  <c r="MP114" i="2"/>
  <c r="MP115" i="2"/>
  <c r="MP139" i="2"/>
  <c r="MP244" i="2"/>
  <c r="MP246" i="2"/>
  <c r="MQ83" i="2"/>
  <c r="MQ86" i="2"/>
  <c r="MQ110" i="2"/>
  <c r="MQ84" i="2"/>
  <c r="MQ88" i="2"/>
  <c r="MQ89" i="2"/>
  <c r="MQ111" i="2"/>
  <c r="MQ118" i="2"/>
  <c r="MQ119" i="2"/>
  <c r="MQ141" i="2"/>
  <c r="MQ245" i="2"/>
  <c r="MQ107" i="2"/>
  <c r="MQ108" i="2"/>
  <c r="MQ114" i="2"/>
  <c r="MQ115" i="2"/>
  <c r="MQ139" i="2"/>
  <c r="MQ244" i="2"/>
  <c r="MQ246" i="2"/>
  <c r="MR83" i="2"/>
  <c r="MR86" i="2"/>
  <c r="MR110" i="2"/>
  <c r="MR84" i="2"/>
  <c r="MR88" i="2"/>
  <c r="MR89" i="2"/>
  <c r="MR111" i="2"/>
  <c r="MR118" i="2"/>
  <c r="MR119" i="2"/>
  <c r="MR141" i="2"/>
  <c r="MR245" i="2"/>
  <c r="MR107" i="2"/>
  <c r="MR108" i="2"/>
  <c r="MR114" i="2"/>
  <c r="MR115" i="2"/>
  <c r="MR139" i="2"/>
  <c r="MR244" i="2"/>
  <c r="MR246" i="2"/>
  <c r="MS83" i="2"/>
  <c r="MS86" i="2"/>
  <c r="MS110" i="2"/>
  <c r="MS84" i="2"/>
  <c r="MS88" i="2"/>
  <c r="MS89" i="2"/>
  <c r="MS111" i="2"/>
  <c r="MS118" i="2"/>
  <c r="MS119" i="2"/>
  <c r="MS141" i="2"/>
  <c r="MS245" i="2"/>
  <c r="MS107" i="2"/>
  <c r="MS108" i="2"/>
  <c r="MS114" i="2"/>
  <c r="MS115" i="2"/>
  <c r="MS139" i="2"/>
  <c r="MS244" i="2"/>
  <c r="MS246" i="2"/>
  <c r="MT83" i="2"/>
  <c r="MT86" i="2"/>
  <c r="MT110" i="2"/>
  <c r="MT84" i="2"/>
  <c r="MT88" i="2"/>
  <c r="MT89" i="2"/>
  <c r="MT111" i="2"/>
  <c r="MT118" i="2"/>
  <c r="MT119" i="2"/>
  <c r="MT141" i="2"/>
  <c r="MT245" i="2"/>
  <c r="MT107" i="2"/>
  <c r="MT108" i="2"/>
  <c r="MT114" i="2"/>
  <c r="MT115" i="2"/>
  <c r="MT139" i="2"/>
  <c r="MT244" i="2"/>
  <c r="MT246" i="2"/>
  <c r="MU83" i="2"/>
  <c r="MU86" i="2"/>
  <c r="MU110" i="2"/>
  <c r="MU84" i="2"/>
  <c r="MU88" i="2"/>
  <c r="MU89" i="2"/>
  <c r="MU111" i="2"/>
  <c r="MU118" i="2"/>
  <c r="MU119" i="2"/>
  <c r="MU141" i="2"/>
  <c r="MU245" i="2"/>
  <c r="MU107" i="2"/>
  <c r="MU108" i="2"/>
  <c r="MU114" i="2"/>
  <c r="MU115" i="2"/>
  <c r="MU139" i="2"/>
  <c r="MU244" i="2"/>
  <c r="MU246" i="2"/>
  <c r="MV83" i="2"/>
  <c r="MV86" i="2"/>
  <c r="MV110" i="2"/>
  <c r="MV84" i="2"/>
  <c r="MV88" i="2"/>
  <c r="MV89" i="2"/>
  <c r="MV111" i="2"/>
  <c r="MV118" i="2"/>
  <c r="MV119" i="2"/>
  <c r="MV141" i="2"/>
  <c r="MV245" i="2"/>
  <c r="MV107" i="2"/>
  <c r="MV108" i="2"/>
  <c r="MV114" i="2"/>
  <c r="MV115" i="2"/>
  <c r="MV139" i="2"/>
  <c r="MV244" i="2"/>
  <c r="MV246" i="2"/>
  <c r="MW83" i="2"/>
  <c r="MW86" i="2"/>
  <c r="MW110" i="2"/>
  <c r="MW84" i="2"/>
  <c r="MW88" i="2"/>
  <c r="MW89" i="2"/>
  <c r="MW111" i="2"/>
  <c r="MW118" i="2"/>
  <c r="MW119" i="2"/>
  <c r="MW141" i="2"/>
  <c r="MW245" i="2"/>
  <c r="MW107" i="2"/>
  <c r="MW108" i="2"/>
  <c r="MW114" i="2"/>
  <c r="MW115" i="2"/>
  <c r="MW139" i="2"/>
  <c r="MW244" i="2"/>
  <c r="MW246" i="2"/>
  <c r="MX83" i="2"/>
  <c r="MX86" i="2"/>
  <c r="MX110" i="2"/>
  <c r="MX84" i="2"/>
  <c r="MX88" i="2"/>
  <c r="MX89" i="2"/>
  <c r="MX111" i="2"/>
  <c r="MX118" i="2"/>
  <c r="MX119" i="2"/>
  <c r="MX141" i="2"/>
  <c r="MX245" i="2"/>
  <c r="MX107" i="2"/>
  <c r="MX108" i="2"/>
  <c r="MX114" i="2"/>
  <c r="MX115" i="2"/>
  <c r="MX139" i="2"/>
  <c r="MX244" i="2"/>
  <c r="MX246" i="2"/>
  <c r="MY83" i="2"/>
  <c r="MY86" i="2"/>
  <c r="MY110" i="2"/>
  <c r="MY84" i="2"/>
  <c r="MY88" i="2"/>
  <c r="MY89" i="2"/>
  <c r="MY111" i="2"/>
  <c r="MY118" i="2"/>
  <c r="MY119" i="2"/>
  <c r="MY141" i="2"/>
  <c r="MY245" i="2"/>
  <c r="MY107" i="2"/>
  <c r="MY108" i="2"/>
  <c r="MY114" i="2"/>
  <c r="MY115" i="2"/>
  <c r="MY139" i="2"/>
  <c r="MY244" i="2"/>
  <c r="MY246" i="2"/>
  <c r="MZ83" i="2"/>
  <c r="MZ86" i="2"/>
  <c r="MZ110" i="2"/>
  <c r="MZ84" i="2"/>
  <c r="MZ88" i="2"/>
  <c r="MZ89" i="2"/>
  <c r="MZ111" i="2"/>
  <c r="MZ118" i="2"/>
  <c r="MZ119" i="2"/>
  <c r="MZ141" i="2"/>
  <c r="MZ245" i="2"/>
  <c r="MZ107" i="2"/>
  <c r="MZ108" i="2"/>
  <c r="MZ114" i="2"/>
  <c r="MZ115" i="2"/>
  <c r="MZ139" i="2"/>
  <c r="MZ244" i="2"/>
  <c r="MZ246" i="2"/>
  <c r="NA83" i="2"/>
  <c r="NA86" i="2"/>
  <c r="NA110" i="2"/>
  <c r="NA84" i="2"/>
  <c r="NA88" i="2"/>
  <c r="NA89" i="2"/>
  <c r="NA111" i="2"/>
  <c r="NA118" i="2"/>
  <c r="NA119" i="2"/>
  <c r="NA141" i="2"/>
  <c r="NA245" i="2"/>
  <c r="NA107" i="2"/>
  <c r="NA108" i="2"/>
  <c r="NA114" i="2"/>
  <c r="NA115" i="2"/>
  <c r="NA139" i="2"/>
  <c r="NA244" i="2"/>
  <c r="NA246" i="2"/>
  <c r="NB83" i="2"/>
  <c r="NB86" i="2"/>
  <c r="NB110" i="2"/>
  <c r="NB84" i="2"/>
  <c r="NB88" i="2"/>
  <c r="NB89" i="2"/>
  <c r="NB111" i="2"/>
  <c r="NB118" i="2"/>
  <c r="NB119" i="2"/>
  <c r="NB141" i="2"/>
  <c r="NB245" i="2"/>
  <c r="NB107" i="2"/>
  <c r="NB108" i="2"/>
  <c r="NB114" i="2"/>
  <c r="NB115" i="2"/>
  <c r="NB139" i="2"/>
  <c r="NB244" i="2"/>
  <c r="NB246" i="2"/>
  <c r="NC83" i="2"/>
  <c r="NC86" i="2"/>
  <c r="NC110" i="2"/>
  <c r="NC84" i="2"/>
  <c r="NC88" i="2"/>
  <c r="NC89" i="2"/>
  <c r="NC111" i="2"/>
  <c r="NC118" i="2"/>
  <c r="NC119" i="2"/>
  <c r="NC141" i="2"/>
  <c r="NC245" i="2"/>
  <c r="NC107" i="2"/>
  <c r="NC108" i="2"/>
  <c r="NC114" i="2"/>
  <c r="NC115" i="2"/>
  <c r="NC139" i="2"/>
  <c r="NC244" i="2"/>
  <c r="NC246" i="2"/>
  <c r="ND83" i="2"/>
  <c r="ND86" i="2"/>
  <c r="ND110" i="2"/>
  <c r="ND84" i="2"/>
  <c r="ND88" i="2"/>
  <c r="ND89" i="2"/>
  <c r="ND111" i="2"/>
  <c r="ND118" i="2"/>
  <c r="ND119" i="2"/>
  <c r="ND141" i="2"/>
  <c r="ND245" i="2"/>
  <c r="ND107" i="2"/>
  <c r="ND108" i="2"/>
  <c r="ND114" i="2"/>
  <c r="ND115" i="2"/>
  <c r="ND139" i="2"/>
  <c r="ND244" i="2"/>
  <c r="ND246" i="2"/>
  <c r="NE83" i="2"/>
  <c r="NE86" i="2"/>
  <c r="NE110" i="2"/>
  <c r="NE84" i="2"/>
  <c r="NE88" i="2"/>
  <c r="NE89" i="2"/>
  <c r="NE111" i="2"/>
  <c r="NE118" i="2"/>
  <c r="NE119" i="2"/>
  <c r="NE141" i="2"/>
  <c r="NE245" i="2"/>
  <c r="NE107" i="2"/>
  <c r="NE108" i="2"/>
  <c r="NE114" i="2"/>
  <c r="NE115" i="2"/>
  <c r="NE139" i="2"/>
  <c r="NE244" i="2"/>
  <c r="NE246" i="2"/>
  <c r="NF83" i="2"/>
  <c r="NF86" i="2"/>
  <c r="NF110" i="2"/>
  <c r="NF84" i="2"/>
  <c r="NF88" i="2"/>
  <c r="NF89" i="2"/>
  <c r="NF111" i="2"/>
  <c r="NF118" i="2"/>
  <c r="NF119" i="2"/>
  <c r="NF141" i="2"/>
  <c r="NF245" i="2"/>
  <c r="NF107" i="2"/>
  <c r="NF108" i="2"/>
  <c r="NF114" i="2"/>
  <c r="NF115" i="2"/>
  <c r="NF139" i="2"/>
  <c r="NF244" i="2"/>
  <c r="NF246" i="2"/>
  <c r="NG83" i="2"/>
  <c r="NG86" i="2"/>
  <c r="NG110" i="2"/>
  <c r="NG84" i="2"/>
  <c r="NG88" i="2"/>
  <c r="NG89" i="2"/>
  <c r="NG111" i="2"/>
  <c r="NG118" i="2"/>
  <c r="NG119" i="2"/>
  <c r="NG141" i="2"/>
  <c r="NG245" i="2"/>
  <c r="NG107" i="2"/>
  <c r="NG108" i="2"/>
  <c r="NG114" i="2"/>
  <c r="NG115" i="2"/>
  <c r="NG139" i="2"/>
  <c r="NG244" i="2"/>
  <c r="NG246" i="2"/>
  <c r="NH83" i="2"/>
  <c r="NH86" i="2"/>
  <c r="NH110" i="2"/>
  <c r="NH84" i="2"/>
  <c r="NH88" i="2"/>
  <c r="NH89" i="2"/>
  <c r="NH111" i="2"/>
  <c r="NH118" i="2"/>
  <c r="NH119" i="2"/>
  <c r="NH141" i="2"/>
  <c r="NH245" i="2"/>
  <c r="NH107" i="2"/>
  <c r="NH108" i="2"/>
  <c r="NH114" i="2"/>
  <c r="NH115" i="2"/>
  <c r="NH139" i="2"/>
  <c r="NH244" i="2"/>
  <c r="NH246" i="2"/>
  <c r="NI83" i="2"/>
  <c r="NI86" i="2"/>
  <c r="NI110" i="2"/>
  <c r="NI84" i="2"/>
  <c r="NI88" i="2"/>
  <c r="NI89" i="2"/>
  <c r="NI111" i="2"/>
  <c r="NI118" i="2"/>
  <c r="NI119" i="2"/>
  <c r="NI141" i="2"/>
  <c r="NI245" i="2"/>
  <c r="NI107" i="2"/>
  <c r="NI108" i="2"/>
  <c r="NI114" i="2"/>
  <c r="NI115" i="2"/>
  <c r="NI139" i="2"/>
  <c r="NI244" i="2"/>
  <c r="NI246" i="2"/>
  <c r="NJ83" i="2"/>
  <c r="NJ86" i="2"/>
  <c r="NJ110" i="2"/>
  <c r="NJ84" i="2"/>
  <c r="NJ88" i="2"/>
  <c r="NJ89" i="2"/>
  <c r="NJ111" i="2"/>
  <c r="NJ118" i="2"/>
  <c r="NJ119" i="2"/>
  <c r="NJ141" i="2"/>
  <c r="NJ245" i="2"/>
  <c r="NJ107" i="2"/>
  <c r="NJ108" i="2"/>
  <c r="NJ114" i="2"/>
  <c r="NJ115" i="2"/>
  <c r="NJ139" i="2"/>
  <c r="NJ244" i="2"/>
  <c r="NJ246" i="2"/>
  <c r="NK83" i="2"/>
  <c r="NK86" i="2"/>
  <c r="NK110" i="2"/>
  <c r="NK84" i="2"/>
  <c r="NK88" i="2"/>
  <c r="NK89" i="2"/>
  <c r="NK111" i="2"/>
  <c r="NK118" i="2"/>
  <c r="NK119" i="2"/>
  <c r="NK141" i="2"/>
  <c r="NK245" i="2"/>
  <c r="NK107" i="2"/>
  <c r="NK108" i="2"/>
  <c r="NK114" i="2"/>
  <c r="NK115" i="2"/>
  <c r="NK139" i="2"/>
  <c r="NK244" i="2"/>
  <c r="NK246" i="2"/>
  <c r="NL83" i="2"/>
  <c r="NL86" i="2"/>
  <c r="NL110" i="2"/>
  <c r="NL84" i="2"/>
  <c r="NL88" i="2"/>
  <c r="NL89" i="2"/>
  <c r="NL111" i="2"/>
  <c r="NL118" i="2"/>
  <c r="NL119" i="2"/>
  <c r="NL141" i="2"/>
  <c r="NL245" i="2"/>
  <c r="NL107" i="2"/>
  <c r="NL108" i="2"/>
  <c r="NL114" i="2"/>
  <c r="NL115" i="2"/>
  <c r="NL139" i="2"/>
  <c r="NL244" i="2"/>
  <c r="NL246" i="2"/>
  <c r="NM83" i="2"/>
  <c r="NM86" i="2"/>
  <c r="NM110" i="2"/>
  <c r="NM84" i="2"/>
  <c r="NM88" i="2"/>
  <c r="NM89" i="2"/>
  <c r="NM111" i="2"/>
  <c r="NM118" i="2"/>
  <c r="NM119" i="2"/>
  <c r="NM141" i="2"/>
  <c r="NM245" i="2"/>
  <c r="NM107" i="2"/>
  <c r="NM108" i="2"/>
  <c r="NM114" i="2"/>
  <c r="NM115" i="2"/>
  <c r="NM139" i="2"/>
  <c r="NM244" i="2"/>
  <c r="NM246" i="2"/>
  <c r="NN83" i="2"/>
  <c r="NN86" i="2"/>
  <c r="NN110" i="2"/>
  <c r="NN84" i="2"/>
  <c r="NN88" i="2"/>
  <c r="NN89" i="2"/>
  <c r="NN111" i="2"/>
  <c r="NN118" i="2"/>
  <c r="NN119" i="2"/>
  <c r="NN141" i="2"/>
  <c r="NN245" i="2"/>
  <c r="NN107" i="2"/>
  <c r="NN108" i="2"/>
  <c r="NN114" i="2"/>
  <c r="NN115" i="2"/>
  <c r="NN139" i="2"/>
  <c r="NN244" i="2"/>
  <c r="NN246" i="2"/>
  <c r="NO83" i="2"/>
  <c r="NO86" i="2"/>
  <c r="NO110" i="2"/>
  <c r="NO84" i="2"/>
  <c r="NO88" i="2"/>
  <c r="NO89" i="2"/>
  <c r="NO111" i="2"/>
  <c r="NO118" i="2"/>
  <c r="NO119" i="2"/>
  <c r="NO141" i="2"/>
  <c r="NO245" i="2"/>
  <c r="NO107" i="2"/>
  <c r="NO108" i="2"/>
  <c r="NO114" i="2"/>
  <c r="NO115" i="2"/>
  <c r="NO139" i="2"/>
  <c r="NO244" i="2"/>
  <c r="NO246" i="2"/>
  <c r="NP83" i="2"/>
  <c r="NP86" i="2"/>
  <c r="NP110" i="2"/>
  <c r="NP84" i="2"/>
  <c r="NP88" i="2"/>
  <c r="NP89" i="2"/>
  <c r="NP111" i="2"/>
  <c r="NP118" i="2"/>
  <c r="NP119" i="2"/>
  <c r="NP141" i="2"/>
  <c r="NP245" i="2"/>
  <c r="NP107" i="2"/>
  <c r="NP108" i="2"/>
  <c r="NP114" i="2"/>
  <c r="NP115" i="2"/>
  <c r="NP139" i="2"/>
  <c r="NP244" i="2"/>
  <c r="NP246" i="2"/>
  <c r="NQ83" i="2"/>
  <c r="NQ86" i="2"/>
  <c r="NQ110" i="2"/>
  <c r="NQ84" i="2"/>
  <c r="NQ88" i="2"/>
  <c r="NQ89" i="2"/>
  <c r="NQ111" i="2"/>
  <c r="NQ118" i="2"/>
  <c r="NQ119" i="2"/>
  <c r="NQ141" i="2"/>
  <c r="NQ245" i="2"/>
  <c r="NQ107" i="2"/>
  <c r="NQ108" i="2"/>
  <c r="NQ114" i="2"/>
  <c r="NQ115" i="2"/>
  <c r="NQ139" i="2"/>
  <c r="NQ244" i="2"/>
  <c r="NQ246" i="2"/>
  <c r="NR83" i="2"/>
  <c r="NR86" i="2"/>
  <c r="NR110" i="2"/>
  <c r="NR84" i="2"/>
  <c r="NR88" i="2"/>
  <c r="NR89" i="2"/>
  <c r="NR111" i="2"/>
  <c r="NR118" i="2"/>
  <c r="NR119" i="2"/>
  <c r="NR141" i="2"/>
  <c r="NR245" i="2"/>
  <c r="NR107" i="2"/>
  <c r="NR108" i="2"/>
  <c r="NR114" i="2"/>
  <c r="NR115" i="2"/>
  <c r="NR139" i="2"/>
  <c r="NR244" i="2"/>
  <c r="NR246" i="2"/>
  <c r="NS83" i="2"/>
  <c r="NS86" i="2"/>
  <c r="NS110" i="2"/>
  <c r="NS84" i="2"/>
  <c r="NS88" i="2"/>
  <c r="NS89" i="2"/>
  <c r="NS111" i="2"/>
  <c r="NS118" i="2"/>
  <c r="NS119" i="2"/>
  <c r="NS141" i="2"/>
  <c r="NS245" i="2"/>
  <c r="NS107" i="2"/>
  <c r="NS108" i="2"/>
  <c r="NS114" i="2"/>
  <c r="NS115" i="2"/>
  <c r="NS139" i="2"/>
  <c r="NS244" i="2"/>
  <c r="NS246" i="2"/>
  <c r="NT83" i="2"/>
  <c r="NT86" i="2"/>
  <c r="NT110" i="2"/>
  <c r="NT84" i="2"/>
  <c r="NT88" i="2"/>
  <c r="NT89" i="2"/>
  <c r="NT111" i="2"/>
  <c r="NT118" i="2"/>
  <c r="NT119" i="2"/>
  <c r="NT141" i="2"/>
  <c r="NT245" i="2"/>
  <c r="NT107" i="2"/>
  <c r="NT108" i="2"/>
  <c r="NT114" i="2"/>
  <c r="NT115" i="2"/>
  <c r="NT139" i="2"/>
  <c r="NT244" i="2"/>
  <c r="NT246" i="2"/>
  <c r="NU83" i="2"/>
  <c r="NU86" i="2"/>
  <c r="NU110" i="2"/>
  <c r="NU84" i="2"/>
  <c r="NU88" i="2"/>
  <c r="NU89" i="2"/>
  <c r="NU111" i="2"/>
  <c r="NU118" i="2"/>
  <c r="NU119" i="2"/>
  <c r="NU141" i="2"/>
  <c r="NU245" i="2"/>
  <c r="NU107" i="2"/>
  <c r="NU108" i="2"/>
  <c r="NU114" i="2"/>
  <c r="NU115" i="2"/>
  <c r="NU139" i="2"/>
  <c r="NU244" i="2"/>
  <c r="NU246" i="2"/>
  <c r="NV83" i="2"/>
  <c r="NV86" i="2"/>
  <c r="NV110" i="2"/>
  <c r="NV84" i="2"/>
  <c r="NV88" i="2"/>
  <c r="NV89" i="2"/>
  <c r="NV111" i="2"/>
  <c r="NV118" i="2"/>
  <c r="NV119" i="2"/>
  <c r="NV141" i="2"/>
  <c r="NV245" i="2"/>
  <c r="NV107" i="2"/>
  <c r="NV108" i="2"/>
  <c r="NV114" i="2"/>
  <c r="NV115" i="2"/>
  <c r="NV139" i="2"/>
  <c r="NV244" i="2"/>
  <c r="NV246" i="2"/>
  <c r="NW83" i="2"/>
  <c r="NW86" i="2"/>
  <c r="NW110" i="2"/>
  <c r="NW84" i="2"/>
  <c r="NW88" i="2"/>
  <c r="NW89" i="2"/>
  <c r="NW111" i="2"/>
  <c r="NW118" i="2"/>
  <c r="NW119" i="2"/>
  <c r="NW141" i="2"/>
  <c r="NW245" i="2"/>
  <c r="NW107" i="2"/>
  <c r="NW108" i="2"/>
  <c r="NW114" i="2"/>
  <c r="NW115" i="2"/>
  <c r="NW139" i="2"/>
  <c r="NW244" i="2"/>
  <c r="NW246" i="2"/>
  <c r="NX83" i="2"/>
  <c r="NX86" i="2"/>
  <c r="NX110" i="2"/>
  <c r="NX84" i="2"/>
  <c r="NX88" i="2"/>
  <c r="NX89" i="2"/>
  <c r="NX111" i="2"/>
  <c r="NX118" i="2"/>
  <c r="NX119" i="2"/>
  <c r="NX141" i="2"/>
  <c r="NX245" i="2"/>
  <c r="NX107" i="2"/>
  <c r="NX108" i="2"/>
  <c r="NX114" i="2"/>
  <c r="NX115" i="2"/>
  <c r="NX139" i="2"/>
  <c r="NX244" i="2"/>
  <c r="NX246" i="2"/>
  <c r="NY83" i="2"/>
  <c r="NY86" i="2"/>
  <c r="NY110" i="2"/>
  <c r="NY84" i="2"/>
  <c r="NY88" i="2"/>
  <c r="NY89" i="2"/>
  <c r="NY111" i="2"/>
  <c r="NY118" i="2"/>
  <c r="NY119" i="2"/>
  <c r="NY141" i="2"/>
  <c r="NY245" i="2"/>
  <c r="NY107" i="2"/>
  <c r="NY108" i="2"/>
  <c r="NY114" i="2"/>
  <c r="NY115" i="2"/>
  <c r="NY139" i="2"/>
  <c r="NY244" i="2"/>
  <c r="NY246" i="2"/>
  <c r="NZ83" i="2"/>
  <c r="NZ86" i="2"/>
  <c r="NZ110" i="2"/>
  <c r="NZ84" i="2"/>
  <c r="NZ88" i="2"/>
  <c r="NZ89" i="2"/>
  <c r="NZ111" i="2"/>
  <c r="NZ118" i="2"/>
  <c r="NZ119" i="2"/>
  <c r="NZ141" i="2"/>
  <c r="NZ245" i="2"/>
  <c r="NZ107" i="2"/>
  <c r="NZ108" i="2"/>
  <c r="NZ114" i="2"/>
  <c r="NZ115" i="2"/>
  <c r="NZ139" i="2"/>
  <c r="NZ244" i="2"/>
  <c r="NZ246" i="2"/>
  <c r="OA83" i="2"/>
  <c r="OA86" i="2"/>
  <c r="OA110" i="2"/>
  <c r="OA84" i="2"/>
  <c r="OA88" i="2"/>
  <c r="OA89" i="2"/>
  <c r="OA111" i="2"/>
  <c r="OA118" i="2"/>
  <c r="OA119" i="2"/>
  <c r="OA141" i="2"/>
  <c r="OA245" i="2"/>
  <c r="OA107" i="2"/>
  <c r="OA108" i="2"/>
  <c r="OA114" i="2"/>
  <c r="OA115" i="2"/>
  <c r="OA139" i="2"/>
  <c r="OA244" i="2"/>
  <c r="OA246" i="2"/>
  <c r="OB83" i="2"/>
  <c r="OB86" i="2"/>
  <c r="OB110" i="2"/>
  <c r="OB84" i="2"/>
  <c r="OB88" i="2"/>
  <c r="OB89" i="2"/>
  <c r="OB111" i="2"/>
  <c r="OB118" i="2"/>
  <c r="OB119" i="2"/>
  <c r="OB141" i="2"/>
  <c r="OB245" i="2"/>
  <c r="OB107" i="2"/>
  <c r="OB108" i="2"/>
  <c r="OB114" i="2"/>
  <c r="OB115" i="2"/>
  <c r="OB139" i="2"/>
  <c r="OB244" i="2"/>
  <c r="OB246" i="2"/>
  <c r="OC83" i="2"/>
  <c r="OC86" i="2"/>
  <c r="OC110" i="2"/>
  <c r="OC84" i="2"/>
  <c r="OC88" i="2"/>
  <c r="OC89" i="2"/>
  <c r="OC111" i="2"/>
  <c r="OC118" i="2"/>
  <c r="OC119" i="2"/>
  <c r="OC141" i="2"/>
  <c r="OC245" i="2"/>
  <c r="OC107" i="2"/>
  <c r="OC108" i="2"/>
  <c r="OC114" i="2"/>
  <c r="OC115" i="2"/>
  <c r="OC139" i="2"/>
  <c r="OC244" i="2"/>
  <c r="OC246" i="2"/>
  <c r="OD83" i="2"/>
  <c r="OD86" i="2"/>
  <c r="OD110" i="2"/>
  <c r="OD84" i="2"/>
  <c r="OD88" i="2"/>
  <c r="OD89" i="2"/>
  <c r="OD111" i="2"/>
  <c r="OD118" i="2"/>
  <c r="OD119" i="2"/>
  <c r="OD141" i="2"/>
  <c r="OD245" i="2"/>
  <c r="OD107" i="2"/>
  <c r="OD108" i="2"/>
  <c r="OD114" i="2"/>
  <c r="OD115" i="2"/>
  <c r="OD139" i="2"/>
  <c r="OD244" i="2"/>
  <c r="OD246" i="2"/>
  <c r="OE83" i="2"/>
  <c r="OE86" i="2"/>
  <c r="OE110" i="2"/>
  <c r="OE84" i="2"/>
  <c r="OE88" i="2"/>
  <c r="OE89" i="2"/>
  <c r="OE111" i="2"/>
  <c r="OE118" i="2"/>
  <c r="OE119" i="2"/>
  <c r="OE141" i="2"/>
  <c r="OE245" i="2"/>
  <c r="OE107" i="2"/>
  <c r="OE108" i="2"/>
  <c r="OE114" i="2"/>
  <c r="OE115" i="2"/>
  <c r="OE139" i="2"/>
  <c r="OE244" i="2"/>
  <c r="OE246" i="2"/>
  <c r="OF83" i="2"/>
  <c r="OF86" i="2"/>
  <c r="OF110" i="2"/>
  <c r="OF84" i="2"/>
  <c r="OF88" i="2"/>
  <c r="OF89" i="2"/>
  <c r="OF111" i="2"/>
  <c r="OF118" i="2"/>
  <c r="OF119" i="2"/>
  <c r="OF141" i="2"/>
  <c r="OF245" i="2"/>
  <c r="OF107" i="2"/>
  <c r="OF108" i="2"/>
  <c r="OF114" i="2"/>
  <c r="OF115" i="2"/>
  <c r="OF139" i="2"/>
  <c r="OF244" i="2"/>
  <c r="OF246" i="2"/>
  <c r="OG83" i="2"/>
  <c r="OG86" i="2"/>
  <c r="OG110" i="2"/>
  <c r="OG84" i="2"/>
  <c r="OG88" i="2"/>
  <c r="OG89" i="2"/>
  <c r="OG111" i="2"/>
  <c r="OG118" i="2"/>
  <c r="OG119" i="2"/>
  <c r="OG141" i="2"/>
  <c r="OG245" i="2"/>
  <c r="OG107" i="2"/>
  <c r="OG108" i="2"/>
  <c r="OG114" i="2"/>
  <c r="OG115" i="2"/>
  <c r="OG139" i="2"/>
  <c r="OG244" i="2"/>
  <c r="OG246" i="2"/>
  <c r="OH83" i="2"/>
  <c r="OH86" i="2"/>
  <c r="OH110" i="2"/>
  <c r="OH84" i="2"/>
  <c r="OH88" i="2"/>
  <c r="OH89" i="2"/>
  <c r="OH111" i="2"/>
  <c r="OH118" i="2"/>
  <c r="OH119" i="2"/>
  <c r="OH141" i="2"/>
  <c r="OH245" i="2"/>
  <c r="OH107" i="2"/>
  <c r="OH108" i="2"/>
  <c r="OH114" i="2"/>
  <c r="OH115" i="2"/>
  <c r="OH139" i="2"/>
  <c r="OH244" i="2"/>
  <c r="OH246" i="2"/>
  <c r="OI83" i="2"/>
  <c r="OI86" i="2"/>
  <c r="OI110" i="2"/>
  <c r="OI84" i="2"/>
  <c r="OI88" i="2"/>
  <c r="OI89" i="2"/>
  <c r="OI111" i="2"/>
  <c r="OI118" i="2"/>
  <c r="OI119" i="2"/>
  <c r="OI141" i="2"/>
  <c r="OI245" i="2"/>
  <c r="OI107" i="2"/>
  <c r="OI108" i="2"/>
  <c r="OI114" i="2"/>
  <c r="OI115" i="2"/>
  <c r="OI139" i="2"/>
  <c r="OI244" i="2"/>
  <c r="OI246" i="2"/>
  <c r="OJ83" i="2"/>
  <c r="OJ86" i="2"/>
  <c r="OJ110" i="2"/>
  <c r="OJ84" i="2"/>
  <c r="OJ88" i="2"/>
  <c r="OJ89" i="2"/>
  <c r="OJ111" i="2"/>
  <c r="OJ118" i="2"/>
  <c r="OJ119" i="2"/>
  <c r="OJ141" i="2"/>
  <c r="OJ245" i="2"/>
  <c r="OJ107" i="2"/>
  <c r="OJ108" i="2"/>
  <c r="OJ114" i="2"/>
  <c r="OJ115" i="2"/>
  <c r="OJ139" i="2"/>
  <c r="OJ244" i="2"/>
  <c r="OJ246" i="2"/>
  <c r="OK83" i="2"/>
  <c r="OK86" i="2"/>
  <c r="OK110" i="2"/>
  <c r="OK84" i="2"/>
  <c r="OK88" i="2"/>
  <c r="OK89" i="2"/>
  <c r="OK111" i="2"/>
  <c r="OK118" i="2"/>
  <c r="OK119" i="2"/>
  <c r="OK141" i="2"/>
  <c r="OK245" i="2"/>
  <c r="OK107" i="2"/>
  <c r="OK108" i="2"/>
  <c r="OK114" i="2"/>
  <c r="OK115" i="2"/>
  <c r="OK139" i="2"/>
  <c r="OK244" i="2"/>
  <c r="OK246" i="2"/>
  <c r="OL83" i="2"/>
  <c r="OL86" i="2"/>
  <c r="OL110" i="2"/>
  <c r="OL84" i="2"/>
  <c r="OL88" i="2"/>
  <c r="OL89" i="2"/>
  <c r="OL111" i="2"/>
  <c r="OL118" i="2"/>
  <c r="OL119" i="2"/>
  <c r="OL141" i="2"/>
  <c r="OL245" i="2"/>
  <c r="OL107" i="2"/>
  <c r="OL108" i="2"/>
  <c r="OL114" i="2"/>
  <c r="OL115" i="2"/>
  <c r="OL139" i="2"/>
  <c r="OL244" i="2"/>
  <c r="OL246" i="2"/>
  <c r="OM83" i="2"/>
  <c r="OM86" i="2"/>
  <c r="OM110" i="2"/>
  <c r="OM84" i="2"/>
  <c r="OM88" i="2"/>
  <c r="OM89" i="2"/>
  <c r="OM111" i="2"/>
  <c r="OM118" i="2"/>
  <c r="OM119" i="2"/>
  <c r="OM141" i="2"/>
  <c r="OM245" i="2"/>
  <c r="OM107" i="2"/>
  <c r="OM108" i="2"/>
  <c r="OM114" i="2"/>
  <c r="OM115" i="2"/>
  <c r="OM139" i="2"/>
  <c r="OM244" i="2"/>
  <c r="OM246" i="2"/>
  <c r="ON83" i="2"/>
  <c r="ON86" i="2"/>
  <c r="ON110" i="2"/>
  <c r="ON84" i="2"/>
  <c r="ON88" i="2"/>
  <c r="ON89" i="2"/>
  <c r="ON111" i="2"/>
  <c r="ON118" i="2"/>
  <c r="ON119" i="2"/>
  <c r="ON141" i="2"/>
  <c r="ON245" i="2"/>
  <c r="ON107" i="2"/>
  <c r="ON108" i="2"/>
  <c r="ON114" i="2"/>
  <c r="ON115" i="2"/>
  <c r="ON139" i="2"/>
  <c r="ON244" i="2"/>
  <c r="ON246" i="2"/>
  <c r="OO83" i="2"/>
  <c r="OO86" i="2"/>
  <c r="OO110" i="2"/>
  <c r="OO84" i="2"/>
  <c r="OO88" i="2"/>
  <c r="OO89" i="2"/>
  <c r="OO111" i="2"/>
  <c r="OO118" i="2"/>
  <c r="OO119" i="2"/>
  <c r="OO141" i="2"/>
  <c r="OO245" i="2"/>
  <c r="OO107" i="2"/>
  <c r="OO108" i="2"/>
  <c r="OO114" i="2"/>
  <c r="OO115" i="2"/>
  <c r="OO139" i="2"/>
  <c r="OO244" i="2"/>
  <c r="OO246" i="2"/>
  <c r="OP83" i="2"/>
  <c r="OP86" i="2"/>
  <c r="OP110" i="2"/>
  <c r="OP84" i="2"/>
  <c r="OP88" i="2"/>
  <c r="OP89" i="2"/>
  <c r="OP111" i="2"/>
  <c r="OP118" i="2"/>
  <c r="OP119" i="2"/>
  <c r="OP141" i="2"/>
  <c r="OP245" i="2"/>
  <c r="OP107" i="2"/>
  <c r="OP108" i="2"/>
  <c r="OP114" i="2"/>
  <c r="OP115" i="2"/>
  <c r="OP139" i="2"/>
  <c r="OP244" i="2"/>
  <c r="OP246" i="2"/>
  <c r="OQ83" i="2"/>
  <c r="OQ86" i="2"/>
  <c r="OQ110" i="2"/>
  <c r="OQ84" i="2"/>
  <c r="OQ88" i="2"/>
  <c r="OQ89" i="2"/>
  <c r="OQ111" i="2"/>
  <c r="OQ118" i="2"/>
  <c r="OQ119" i="2"/>
  <c r="OQ141" i="2"/>
  <c r="OQ245" i="2"/>
  <c r="OQ107" i="2"/>
  <c r="OQ108" i="2"/>
  <c r="OQ114" i="2"/>
  <c r="OQ115" i="2"/>
  <c r="OQ139" i="2"/>
  <c r="OQ244" i="2"/>
  <c r="OQ246" i="2"/>
  <c r="OR83" i="2"/>
  <c r="OR86" i="2"/>
  <c r="OR110" i="2"/>
  <c r="OR84" i="2"/>
  <c r="OR88" i="2"/>
  <c r="OR89" i="2"/>
  <c r="OR111" i="2"/>
  <c r="OR118" i="2"/>
  <c r="OR119" i="2"/>
  <c r="OR141" i="2"/>
  <c r="OR245" i="2"/>
  <c r="OR107" i="2"/>
  <c r="OR108" i="2"/>
  <c r="OR114" i="2"/>
  <c r="OR115" i="2"/>
  <c r="OR139" i="2"/>
  <c r="OR244" i="2"/>
  <c r="OR246" i="2"/>
  <c r="OS83" i="2"/>
  <c r="OS86" i="2"/>
  <c r="OS110" i="2"/>
  <c r="OS84" i="2"/>
  <c r="OS88" i="2"/>
  <c r="OS89" i="2"/>
  <c r="OS111" i="2"/>
  <c r="OS118" i="2"/>
  <c r="OS119" i="2"/>
  <c r="OS141" i="2"/>
  <c r="OS245" i="2"/>
  <c r="OS107" i="2"/>
  <c r="OS108" i="2"/>
  <c r="OS114" i="2"/>
  <c r="OS115" i="2"/>
  <c r="OS139" i="2"/>
  <c r="OS244" i="2"/>
  <c r="OS246" i="2"/>
  <c r="OT83" i="2"/>
  <c r="OT86" i="2"/>
  <c r="OT110" i="2"/>
  <c r="OT84" i="2"/>
  <c r="OT88" i="2"/>
  <c r="OT89" i="2"/>
  <c r="OT111" i="2"/>
  <c r="OT118" i="2"/>
  <c r="OT119" i="2"/>
  <c r="OT141" i="2"/>
  <c r="OT245" i="2"/>
  <c r="OT107" i="2"/>
  <c r="OT108" i="2"/>
  <c r="OT114" i="2"/>
  <c r="OT115" i="2"/>
  <c r="OT139" i="2"/>
  <c r="OT244" i="2"/>
  <c r="OT246" i="2"/>
  <c r="OU83" i="2"/>
  <c r="OU86" i="2"/>
  <c r="OU110" i="2"/>
  <c r="OU84" i="2"/>
  <c r="OU88" i="2"/>
  <c r="OU89" i="2"/>
  <c r="OU111" i="2"/>
  <c r="OU118" i="2"/>
  <c r="OU119" i="2"/>
  <c r="OU141" i="2"/>
  <c r="OU245" i="2"/>
  <c r="OU107" i="2"/>
  <c r="OU108" i="2"/>
  <c r="OU114" i="2"/>
  <c r="OU115" i="2"/>
  <c r="OU139" i="2"/>
  <c r="OU244" i="2"/>
  <c r="OU246" i="2"/>
  <c r="OV83" i="2"/>
  <c r="OV86" i="2"/>
  <c r="OV110" i="2"/>
  <c r="OV84" i="2"/>
  <c r="OV88" i="2"/>
  <c r="OV89" i="2"/>
  <c r="OV111" i="2"/>
  <c r="OV118" i="2"/>
  <c r="OV119" i="2"/>
  <c r="OV141" i="2"/>
  <c r="OV245" i="2"/>
  <c r="OV107" i="2"/>
  <c r="OV108" i="2"/>
  <c r="OV114" i="2"/>
  <c r="OV115" i="2"/>
  <c r="OV139" i="2"/>
  <c r="OV244" i="2"/>
  <c r="OV246" i="2"/>
  <c r="OW83" i="2"/>
  <c r="OW86" i="2"/>
  <c r="OW110" i="2"/>
  <c r="OW84" i="2"/>
  <c r="OW88" i="2"/>
  <c r="OW89" i="2"/>
  <c r="OW111" i="2"/>
  <c r="OW118" i="2"/>
  <c r="OW119" i="2"/>
  <c r="OW141" i="2"/>
  <c r="OW245" i="2"/>
  <c r="OW107" i="2"/>
  <c r="OW108" i="2"/>
  <c r="OW114" i="2"/>
  <c r="OW115" i="2"/>
  <c r="OW139" i="2"/>
  <c r="OW244" i="2"/>
  <c r="OW246" i="2"/>
  <c r="OX83" i="2"/>
  <c r="OX86" i="2"/>
  <c r="OX110" i="2"/>
  <c r="OX84" i="2"/>
  <c r="OX88" i="2"/>
  <c r="OX89" i="2"/>
  <c r="OX111" i="2"/>
  <c r="OX118" i="2"/>
  <c r="OX119" i="2"/>
  <c r="OX141" i="2"/>
  <c r="OX245" i="2"/>
  <c r="OX107" i="2"/>
  <c r="OX108" i="2"/>
  <c r="OX114" i="2"/>
  <c r="OX115" i="2"/>
  <c r="OX139" i="2"/>
  <c r="OX244" i="2"/>
  <c r="OX246" i="2"/>
  <c r="OY83" i="2"/>
  <c r="OY86" i="2"/>
  <c r="OY110" i="2"/>
  <c r="OY84" i="2"/>
  <c r="OY88" i="2"/>
  <c r="OY89" i="2"/>
  <c r="OY111" i="2"/>
  <c r="OY118" i="2"/>
  <c r="OY119" i="2"/>
  <c r="OY141" i="2"/>
  <c r="OY245" i="2"/>
  <c r="OY107" i="2"/>
  <c r="OY108" i="2"/>
  <c r="OY114" i="2"/>
  <c r="OY115" i="2"/>
  <c r="OY139" i="2"/>
  <c r="OY244" i="2"/>
  <c r="OY246" i="2"/>
  <c r="OZ83" i="2"/>
  <c r="OZ86" i="2"/>
  <c r="OZ110" i="2"/>
  <c r="OZ84" i="2"/>
  <c r="OZ88" i="2"/>
  <c r="OZ89" i="2"/>
  <c r="OZ111" i="2"/>
  <c r="OZ118" i="2"/>
  <c r="OZ119" i="2"/>
  <c r="OZ141" i="2"/>
  <c r="OZ245" i="2"/>
  <c r="OZ107" i="2"/>
  <c r="OZ108" i="2"/>
  <c r="OZ114" i="2"/>
  <c r="OZ115" i="2"/>
  <c r="OZ139" i="2"/>
  <c r="OZ244" i="2"/>
  <c r="OZ246" i="2"/>
  <c r="PA83" i="2"/>
  <c r="PA86" i="2"/>
  <c r="PA110" i="2"/>
  <c r="PA84" i="2"/>
  <c r="PA88" i="2"/>
  <c r="PA89" i="2"/>
  <c r="PA111" i="2"/>
  <c r="PA118" i="2"/>
  <c r="PA119" i="2"/>
  <c r="PA141" i="2"/>
  <c r="PA245" i="2"/>
  <c r="PA107" i="2"/>
  <c r="PA108" i="2"/>
  <c r="PA114" i="2"/>
  <c r="PA115" i="2"/>
  <c r="PA139" i="2"/>
  <c r="PA244" i="2"/>
  <c r="PA246" i="2"/>
  <c r="PB83" i="2"/>
  <c r="PB86" i="2"/>
  <c r="PB110" i="2"/>
  <c r="PB84" i="2"/>
  <c r="PB88" i="2"/>
  <c r="PB89" i="2"/>
  <c r="PB111" i="2"/>
  <c r="PB118" i="2"/>
  <c r="PB119" i="2"/>
  <c r="PB141" i="2"/>
  <c r="PB245" i="2"/>
  <c r="PB107" i="2"/>
  <c r="PB108" i="2"/>
  <c r="PB114" i="2"/>
  <c r="PB115" i="2"/>
  <c r="PB139" i="2"/>
  <c r="PB244" i="2"/>
  <c r="PB246" i="2"/>
  <c r="PC83" i="2"/>
  <c r="PC86" i="2"/>
  <c r="PC110" i="2"/>
  <c r="PC84" i="2"/>
  <c r="PC88" i="2"/>
  <c r="PC89" i="2"/>
  <c r="PC111" i="2"/>
  <c r="PC118" i="2"/>
  <c r="PC119" i="2"/>
  <c r="PC141" i="2"/>
  <c r="PC245" i="2"/>
  <c r="PC107" i="2"/>
  <c r="PC108" i="2"/>
  <c r="PC114" i="2"/>
  <c r="PC115" i="2"/>
  <c r="PC139" i="2"/>
  <c r="PC244" i="2"/>
  <c r="PC246" i="2"/>
  <c r="PD83" i="2"/>
  <c r="PD86" i="2"/>
  <c r="PD110" i="2"/>
  <c r="PD84" i="2"/>
  <c r="PD88" i="2"/>
  <c r="PD89" i="2"/>
  <c r="PD111" i="2"/>
  <c r="PD118" i="2"/>
  <c r="PD119" i="2"/>
  <c r="PD141" i="2"/>
  <c r="PD245" i="2"/>
  <c r="PD107" i="2"/>
  <c r="PD108" i="2"/>
  <c r="PD114" i="2"/>
  <c r="PD115" i="2"/>
  <c r="PD139" i="2"/>
  <c r="PD244" i="2"/>
  <c r="PD246" i="2"/>
  <c r="PE83" i="2"/>
  <c r="PE86" i="2"/>
  <c r="PE110" i="2"/>
  <c r="PE84" i="2"/>
  <c r="PE88" i="2"/>
  <c r="PE89" i="2"/>
  <c r="PE111" i="2"/>
  <c r="PE118" i="2"/>
  <c r="PE119" i="2"/>
  <c r="PE141" i="2"/>
  <c r="PE245" i="2"/>
  <c r="PE107" i="2"/>
  <c r="PE108" i="2"/>
  <c r="PE114" i="2"/>
  <c r="PE115" i="2"/>
  <c r="PE139" i="2"/>
  <c r="PE244" i="2"/>
  <c r="PE246" i="2"/>
  <c r="PF83" i="2"/>
  <c r="PF86" i="2"/>
  <c r="PF110" i="2"/>
  <c r="PF84" i="2"/>
  <c r="PF88" i="2"/>
  <c r="PF89" i="2"/>
  <c r="PF111" i="2"/>
  <c r="PF118" i="2"/>
  <c r="PF119" i="2"/>
  <c r="PF141" i="2"/>
  <c r="PF245" i="2"/>
  <c r="PF107" i="2"/>
  <c r="PF108" i="2"/>
  <c r="PF114" i="2"/>
  <c r="PF115" i="2"/>
  <c r="PF139" i="2"/>
  <c r="PF244" i="2"/>
  <c r="PF246" i="2"/>
  <c r="PG83" i="2"/>
  <c r="PG86" i="2"/>
  <c r="PG110" i="2"/>
  <c r="PG84" i="2"/>
  <c r="PG88" i="2"/>
  <c r="PG89" i="2"/>
  <c r="PG111" i="2"/>
  <c r="PG118" i="2"/>
  <c r="PG119" i="2"/>
  <c r="PG141" i="2"/>
  <c r="PG245" i="2"/>
  <c r="PG107" i="2"/>
  <c r="PG108" i="2"/>
  <c r="PG114" i="2"/>
  <c r="PG115" i="2"/>
  <c r="PG139" i="2"/>
  <c r="PG244" i="2"/>
  <c r="PG246" i="2"/>
  <c r="PH83" i="2"/>
  <c r="PH86" i="2"/>
  <c r="PH110" i="2"/>
  <c r="PH84" i="2"/>
  <c r="PH88" i="2"/>
  <c r="PH89" i="2"/>
  <c r="PH111" i="2"/>
  <c r="PH118" i="2"/>
  <c r="PH119" i="2"/>
  <c r="PH141" i="2"/>
  <c r="PH245" i="2"/>
  <c r="PH107" i="2"/>
  <c r="PH108" i="2"/>
  <c r="PH114" i="2"/>
  <c r="PH115" i="2"/>
  <c r="PH139" i="2"/>
  <c r="PH244" i="2"/>
  <c r="PH246" i="2"/>
  <c r="PI83" i="2"/>
  <c r="PI86" i="2"/>
  <c r="PI110" i="2"/>
  <c r="PI84" i="2"/>
  <c r="PI88" i="2"/>
  <c r="PI89" i="2"/>
  <c r="PI111" i="2"/>
  <c r="PI118" i="2"/>
  <c r="PI119" i="2"/>
  <c r="PI141" i="2"/>
  <c r="PI245" i="2"/>
  <c r="PI107" i="2"/>
  <c r="PI108" i="2"/>
  <c r="PI114" i="2"/>
  <c r="PI115" i="2"/>
  <c r="PI139" i="2"/>
  <c r="PI244" i="2"/>
  <c r="PI246" i="2"/>
  <c r="PJ83" i="2"/>
  <c r="PJ86" i="2"/>
  <c r="PJ110" i="2"/>
  <c r="PJ84" i="2"/>
  <c r="PJ88" i="2"/>
  <c r="PJ89" i="2"/>
  <c r="PJ111" i="2"/>
  <c r="PJ118" i="2"/>
  <c r="PJ119" i="2"/>
  <c r="PJ141" i="2"/>
  <c r="PJ245" i="2"/>
  <c r="PJ107" i="2"/>
  <c r="PJ108" i="2"/>
  <c r="PJ114" i="2"/>
  <c r="PJ115" i="2"/>
  <c r="PJ139" i="2"/>
  <c r="PJ244" i="2"/>
  <c r="PJ246" i="2"/>
  <c r="PK83" i="2"/>
  <c r="PK86" i="2"/>
  <c r="PK110" i="2"/>
  <c r="PK84" i="2"/>
  <c r="PK88" i="2"/>
  <c r="PK89" i="2"/>
  <c r="PK111" i="2"/>
  <c r="PK118" i="2"/>
  <c r="PK119" i="2"/>
  <c r="PK141" i="2"/>
  <c r="PK245" i="2"/>
  <c r="PK107" i="2"/>
  <c r="PK108" i="2"/>
  <c r="PK114" i="2"/>
  <c r="PK115" i="2"/>
  <c r="PK139" i="2"/>
  <c r="PK244" i="2"/>
  <c r="PK246" i="2"/>
  <c r="PL83" i="2"/>
  <c r="PL86" i="2"/>
  <c r="PL110" i="2"/>
  <c r="PL84" i="2"/>
  <c r="PL88" i="2"/>
  <c r="PL89" i="2"/>
  <c r="PL111" i="2"/>
  <c r="PL118" i="2"/>
  <c r="PL119" i="2"/>
  <c r="PL141" i="2"/>
  <c r="PL245" i="2"/>
  <c r="PL107" i="2"/>
  <c r="PL108" i="2"/>
  <c r="PL114" i="2"/>
  <c r="PL115" i="2"/>
  <c r="PL139" i="2"/>
  <c r="PL244" i="2"/>
  <c r="PL246" i="2"/>
  <c r="PM83" i="2"/>
  <c r="PM86" i="2"/>
  <c r="PM110" i="2"/>
  <c r="PM84" i="2"/>
  <c r="PM88" i="2"/>
  <c r="PM89" i="2"/>
  <c r="PM111" i="2"/>
  <c r="PM118" i="2"/>
  <c r="PM119" i="2"/>
  <c r="PM141" i="2"/>
  <c r="PM245" i="2"/>
  <c r="PM107" i="2"/>
  <c r="PM108" i="2"/>
  <c r="PM114" i="2"/>
  <c r="PM115" i="2"/>
  <c r="PM139" i="2"/>
  <c r="PM244" i="2"/>
  <c r="PM246" i="2"/>
  <c r="PN83" i="2"/>
  <c r="PN86" i="2"/>
  <c r="PN110" i="2"/>
  <c r="PN84" i="2"/>
  <c r="PN88" i="2"/>
  <c r="PN89" i="2"/>
  <c r="PN111" i="2"/>
  <c r="PN118" i="2"/>
  <c r="PN119" i="2"/>
  <c r="PN141" i="2"/>
  <c r="PN245" i="2"/>
  <c r="PN107" i="2"/>
  <c r="PN108" i="2"/>
  <c r="PN114" i="2"/>
  <c r="PN115" i="2"/>
  <c r="PN139" i="2"/>
  <c r="PN244" i="2"/>
  <c r="PN246" i="2"/>
  <c r="PO83" i="2"/>
  <c r="PO86" i="2"/>
  <c r="PO110" i="2"/>
  <c r="PO84" i="2"/>
  <c r="PO88" i="2"/>
  <c r="PO89" i="2"/>
  <c r="PO111" i="2"/>
  <c r="PO118" i="2"/>
  <c r="PO119" i="2"/>
  <c r="PO141" i="2"/>
  <c r="PO245" i="2"/>
  <c r="PO107" i="2"/>
  <c r="PO108" i="2"/>
  <c r="PO114" i="2"/>
  <c r="PO115" i="2"/>
  <c r="PO139" i="2"/>
  <c r="PO244" i="2"/>
  <c r="PO246" i="2"/>
  <c r="PP83" i="2"/>
  <c r="PP86" i="2"/>
  <c r="PP110" i="2"/>
  <c r="PP84" i="2"/>
  <c r="PP88" i="2"/>
  <c r="PP89" i="2"/>
  <c r="PP111" i="2"/>
  <c r="PP118" i="2"/>
  <c r="PP119" i="2"/>
  <c r="PP141" i="2"/>
  <c r="PP245" i="2"/>
  <c r="PP107" i="2"/>
  <c r="PP108" i="2"/>
  <c r="PP114" i="2"/>
  <c r="PP115" i="2"/>
  <c r="PP139" i="2"/>
  <c r="PP244" i="2"/>
  <c r="PP246" i="2"/>
  <c r="PQ83" i="2"/>
  <c r="PQ86" i="2"/>
  <c r="PQ110" i="2"/>
  <c r="PQ84" i="2"/>
  <c r="PQ88" i="2"/>
  <c r="PQ89" i="2"/>
  <c r="PQ111" i="2"/>
  <c r="PQ118" i="2"/>
  <c r="PQ119" i="2"/>
  <c r="PQ141" i="2"/>
  <c r="PQ245" i="2"/>
  <c r="PQ107" i="2"/>
  <c r="PQ108" i="2"/>
  <c r="PQ114" i="2"/>
  <c r="PQ115" i="2"/>
  <c r="PQ139" i="2"/>
  <c r="PQ244" i="2"/>
  <c r="PQ246" i="2"/>
  <c r="PR83" i="2"/>
  <c r="PR86" i="2"/>
  <c r="PR110" i="2"/>
  <c r="PR84" i="2"/>
  <c r="PR88" i="2"/>
  <c r="PR89" i="2"/>
  <c r="PR111" i="2"/>
  <c r="PR118" i="2"/>
  <c r="PR119" i="2"/>
  <c r="PR141" i="2"/>
  <c r="PR245" i="2"/>
  <c r="PR107" i="2"/>
  <c r="PR108" i="2"/>
  <c r="PR114" i="2"/>
  <c r="PR115" i="2"/>
  <c r="PR139" i="2"/>
  <c r="PR244" i="2"/>
  <c r="PR246" i="2"/>
  <c r="PS83" i="2"/>
  <c r="PS86" i="2"/>
  <c r="PS110" i="2"/>
  <c r="PS84" i="2"/>
  <c r="PS88" i="2"/>
  <c r="PS89" i="2"/>
  <c r="PS111" i="2"/>
  <c r="PS118" i="2"/>
  <c r="PS119" i="2"/>
  <c r="PS141" i="2"/>
  <c r="PS245" i="2"/>
  <c r="PS107" i="2"/>
  <c r="PS108" i="2"/>
  <c r="PS114" i="2"/>
  <c r="PS115" i="2"/>
  <c r="PS139" i="2"/>
  <c r="PS244" i="2"/>
  <c r="PS246" i="2"/>
  <c r="PT83" i="2"/>
  <c r="PT86" i="2"/>
  <c r="PT110" i="2"/>
  <c r="PT84" i="2"/>
  <c r="PT88" i="2"/>
  <c r="PT89" i="2"/>
  <c r="PT111" i="2"/>
  <c r="PT118" i="2"/>
  <c r="PT119" i="2"/>
  <c r="PT141" i="2"/>
  <c r="PT245" i="2"/>
  <c r="PT107" i="2"/>
  <c r="PT108" i="2"/>
  <c r="PT114" i="2"/>
  <c r="PT115" i="2"/>
  <c r="PT139" i="2"/>
  <c r="PT244" i="2"/>
  <c r="PT246" i="2"/>
  <c r="PU83" i="2"/>
  <c r="PU86" i="2"/>
  <c r="PU110" i="2"/>
  <c r="PU84" i="2"/>
  <c r="PU88" i="2"/>
  <c r="PU89" i="2"/>
  <c r="PU111" i="2"/>
  <c r="PU118" i="2"/>
  <c r="PU119" i="2"/>
  <c r="PU141" i="2"/>
  <c r="PU245" i="2"/>
  <c r="PU107" i="2"/>
  <c r="PU108" i="2"/>
  <c r="PU114" i="2"/>
  <c r="PU115" i="2"/>
  <c r="PU139" i="2"/>
  <c r="PU244" i="2"/>
  <c r="PU246" i="2"/>
  <c r="PV83" i="2"/>
  <c r="PV86" i="2"/>
  <c r="PV110" i="2"/>
  <c r="PV84" i="2"/>
  <c r="PV88" i="2"/>
  <c r="PV89" i="2"/>
  <c r="PV111" i="2"/>
  <c r="PV118" i="2"/>
  <c r="PV119" i="2"/>
  <c r="PV141" i="2"/>
  <c r="PV245" i="2"/>
  <c r="PV107" i="2"/>
  <c r="PV108" i="2"/>
  <c r="PV114" i="2"/>
  <c r="PV115" i="2"/>
  <c r="PV139" i="2"/>
  <c r="PV244" i="2"/>
  <c r="PV246" i="2"/>
  <c r="PW83" i="2"/>
  <c r="PW86" i="2"/>
  <c r="PW110" i="2"/>
  <c r="PW84" i="2"/>
  <c r="PW88" i="2"/>
  <c r="PW89" i="2"/>
  <c r="PW111" i="2"/>
  <c r="PW118" i="2"/>
  <c r="PW119" i="2"/>
  <c r="PW141" i="2"/>
  <c r="PW245" i="2"/>
  <c r="PW107" i="2"/>
  <c r="PW108" i="2"/>
  <c r="PW114" i="2"/>
  <c r="PW115" i="2"/>
  <c r="PW139" i="2"/>
  <c r="PW244" i="2"/>
  <c r="PW246" i="2"/>
  <c r="PX83" i="2"/>
  <c r="PX86" i="2"/>
  <c r="PX110" i="2"/>
  <c r="PX84" i="2"/>
  <c r="PX88" i="2"/>
  <c r="PX89" i="2"/>
  <c r="PX111" i="2"/>
  <c r="PX118" i="2"/>
  <c r="PX119" i="2"/>
  <c r="PX141" i="2"/>
  <c r="PX245" i="2"/>
  <c r="PX107" i="2"/>
  <c r="PX108" i="2"/>
  <c r="PX114" i="2"/>
  <c r="PX115" i="2"/>
  <c r="PX139" i="2"/>
  <c r="PX244" i="2"/>
  <c r="PX246" i="2"/>
  <c r="PY83" i="2"/>
  <c r="PY86" i="2"/>
  <c r="PY110" i="2"/>
  <c r="PY84" i="2"/>
  <c r="PY88" i="2"/>
  <c r="PY89" i="2"/>
  <c r="PY111" i="2"/>
  <c r="PY118" i="2"/>
  <c r="PY119" i="2"/>
  <c r="PY141" i="2"/>
  <c r="PY245" i="2"/>
  <c r="PY107" i="2"/>
  <c r="PY108" i="2"/>
  <c r="PY114" i="2"/>
  <c r="PY115" i="2"/>
  <c r="PY139" i="2"/>
  <c r="PY244" i="2"/>
  <c r="PY246" i="2"/>
  <c r="PZ83" i="2"/>
  <c r="PZ86" i="2"/>
  <c r="PZ110" i="2"/>
  <c r="PZ84" i="2"/>
  <c r="PZ88" i="2"/>
  <c r="PZ89" i="2"/>
  <c r="PZ111" i="2"/>
  <c r="PZ118" i="2"/>
  <c r="PZ119" i="2"/>
  <c r="PZ141" i="2"/>
  <c r="PZ245" i="2"/>
  <c r="PZ107" i="2"/>
  <c r="PZ108" i="2"/>
  <c r="PZ114" i="2"/>
  <c r="PZ115" i="2"/>
  <c r="PZ139" i="2"/>
  <c r="PZ244" i="2"/>
  <c r="PZ246" i="2"/>
  <c r="QA83" i="2"/>
  <c r="QA86" i="2"/>
  <c r="QA110" i="2"/>
  <c r="QA84" i="2"/>
  <c r="QA88" i="2"/>
  <c r="QA89" i="2"/>
  <c r="QA111" i="2"/>
  <c r="QA118" i="2"/>
  <c r="QA119" i="2"/>
  <c r="QA141" i="2"/>
  <c r="QA245" i="2"/>
  <c r="QA107" i="2"/>
  <c r="QA108" i="2"/>
  <c r="QA114" i="2"/>
  <c r="QA115" i="2"/>
  <c r="QA139" i="2"/>
  <c r="QA244" i="2"/>
  <c r="QA246" i="2"/>
  <c r="QB83" i="2"/>
  <c r="QB86" i="2"/>
  <c r="QB110" i="2"/>
  <c r="QB84" i="2"/>
  <c r="QB88" i="2"/>
  <c r="QB89" i="2"/>
  <c r="QB111" i="2"/>
  <c r="QB118" i="2"/>
  <c r="QB119" i="2"/>
  <c r="QB141" i="2"/>
  <c r="QB245" i="2"/>
  <c r="QB107" i="2"/>
  <c r="QB108" i="2"/>
  <c r="QB114" i="2"/>
  <c r="QB115" i="2"/>
  <c r="QB139" i="2"/>
  <c r="QB244" i="2"/>
  <c r="QB246" i="2"/>
  <c r="QC83" i="2"/>
  <c r="QC86" i="2"/>
  <c r="QC110" i="2"/>
  <c r="QC84" i="2"/>
  <c r="QC88" i="2"/>
  <c r="QC89" i="2"/>
  <c r="QC111" i="2"/>
  <c r="QC118" i="2"/>
  <c r="QC119" i="2"/>
  <c r="QC141" i="2"/>
  <c r="QC245" i="2"/>
  <c r="QC107" i="2"/>
  <c r="QC108" i="2"/>
  <c r="QC114" i="2"/>
  <c r="QC115" i="2"/>
  <c r="QC139" i="2"/>
  <c r="QC244" i="2"/>
  <c r="QC246" i="2"/>
  <c r="QD83" i="2"/>
  <c r="QD86" i="2"/>
  <c r="QD110" i="2"/>
  <c r="QD84" i="2"/>
  <c r="QD88" i="2"/>
  <c r="QD89" i="2"/>
  <c r="QD111" i="2"/>
  <c r="QD118" i="2"/>
  <c r="QD119" i="2"/>
  <c r="QD141" i="2"/>
  <c r="QD245" i="2"/>
  <c r="QD107" i="2"/>
  <c r="QD108" i="2"/>
  <c r="QD114" i="2"/>
  <c r="QD115" i="2"/>
  <c r="QD139" i="2"/>
  <c r="QD244" i="2"/>
  <c r="QD246" i="2"/>
  <c r="QE83" i="2"/>
  <c r="QE86" i="2"/>
  <c r="QE110" i="2"/>
  <c r="QE84" i="2"/>
  <c r="QE88" i="2"/>
  <c r="QE89" i="2"/>
  <c r="QE111" i="2"/>
  <c r="QE118" i="2"/>
  <c r="QE119" i="2"/>
  <c r="QE141" i="2"/>
  <c r="QE245" i="2"/>
  <c r="QE107" i="2"/>
  <c r="QE108" i="2"/>
  <c r="QE114" i="2"/>
  <c r="QE115" i="2"/>
  <c r="QE139" i="2"/>
  <c r="QE244" i="2"/>
  <c r="QE246" i="2"/>
  <c r="QF83" i="2"/>
  <c r="QF86" i="2"/>
  <c r="QF110" i="2"/>
  <c r="QF84" i="2"/>
  <c r="QF88" i="2"/>
  <c r="QF89" i="2"/>
  <c r="QF111" i="2"/>
  <c r="QF118" i="2"/>
  <c r="QF119" i="2"/>
  <c r="QF141" i="2"/>
  <c r="QF245" i="2"/>
  <c r="QF107" i="2"/>
  <c r="QF108" i="2"/>
  <c r="QF114" i="2"/>
  <c r="QF115" i="2"/>
  <c r="QF139" i="2"/>
  <c r="QF244" i="2"/>
  <c r="QF246" i="2"/>
  <c r="QG83" i="2"/>
  <c r="QG86" i="2"/>
  <c r="QG110" i="2"/>
  <c r="QG84" i="2"/>
  <c r="QG88" i="2"/>
  <c r="QG89" i="2"/>
  <c r="QG111" i="2"/>
  <c r="QG118" i="2"/>
  <c r="QG119" i="2"/>
  <c r="QG141" i="2"/>
  <c r="QG245" i="2"/>
  <c r="QG107" i="2"/>
  <c r="QG108" i="2"/>
  <c r="QG114" i="2"/>
  <c r="QG115" i="2"/>
  <c r="QG139" i="2"/>
  <c r="QG244" i="2"/>
  <c r="QG246" i="2"/>
  <c r="QH83" i="2"/>
  <c r="QH86" i="2"/>
  <c r="QH110" i="2"/>
  <c r="QH84" i="2"/>
  <c r="QH88" i="2"/>
  <c r="QH89" i="2"/>
  <c r="QH111" i="2"/>
  <c r="QH118" i="2"/>
  <c r="QH119" i="2"/>
  <c r="QH141" i="2"/>
  <c r="QH245" i="2"/>
  <c r="QH107" i="2"/>
  <c r="QH108" i="2"/>
  <c r="QH114" i="2"/>
  <c r="QH115" i="2"/>
  <c r="QH139" i="2"/>
  <c r="QH244" i="2"/>
  <c r="QH246" i="2"/>
  <c r="QI83" i="2"/>
  <c r="QI86" i="2"/>
  <c r="QI110" i="2"/>
  <c r="QI84" i="2"/>
  <c r="QI88" i="2"/>
  <c r="QI89" i="2"/>
  <c r="QI111" i="2"/>
  <c r="QI118" i="2"/>
  <c r="QI119" i="2"/>
  <c r="QI141" i="2"/>
  <c r="QI245" i="2"/>
  <c r="QI107" i="2"/>
  <c r="QI108" i="2"/>
  <c r="QI114" i="2"/>
  <c r="QI115" i="2"/>
  <c r="QI139" i="2"/>
  <c r="QI244" i="2"/>
  <c r="QI246" i="2"/>
  <c r="QJ83" i="2"/>
  <c r="QJ86" i="2"/>
  <c r="QJ110" i="2"/>
  <c r="QJ84" i="2"/>
  <c r="QJ88" i="2"/>
  <c r="QJ89" i="2"/>
  <c r="QJ111" i="2"/>
  <c r="QJ118" i="2"/>
  <c r="QJ119" i="2"/>
  <c r="QJ141" i="2"/>
  <c r="QJ245" i="2"/>
  <c r="QJ107" i="2"/>
  <c r="QJ108" i="2"/>
  <c r="QJ114" i="2"/>
  <c r="QJ115" i="2"/>
  <c r="QJ139" i="2"/>
  <c r="QJ244" i="2"/>
  <c r="QJ246" i="2"/>
  <c r="QK83" i="2"/>
  <c r="QK86" i="2"/>
  <c r="QK110" i="2"/>
  <c r="QK84" i="2"/>
  <c r="QK88" i="2"/>
  <c r="QK89" i="2"/>
  <c r="QK111" i="2"/>
  <c r="QK118" i="2"/>
  <c r="QK119" i="2"/>
  <c r="QK141" i="2"/>
  <c r="QK245" i="2"/>
  <c r="QK107" i="2"/>
  <c r="QK108" i="2"/>
  <c r="QK114" i="2"/>
  <c r="QK115" i="2"/>
  <c r="QK139" i="2"/>
  <c r="QK244" i="2"/>
  <c r="QK246" i="2"/>
  <c r="QL83" i="2"/>
  <c r="QL86" i="2"/>
  <c r="QL110" i="2"/>
  <c r="QL84" i="2"/>
  <c r="QL88" i="2"/>
  <c r="QL89" i="2"/>
  <c r="QL111" i="2"/>
  <c r="QL118" i="2"/>
  <c r="QL119" i="2"/>
  <c r="QL141" i="2"/>
  <c r="QL245" i="2"/>
  <c r="QL107" i="2"/>
  <c r="QL108" i="2"/>
  <c r="QL114" i="2"/>
  <c r="QL115" i="2"/>
  <c r="QL139" i="2"/>
  <c r="QL244" i="2"/>
  <c r="QL246" i="2"/>
  <c r="QM83" i="2"/>
  <c r="QM86" i="2"/>
  <c r="QM110" i="2"/>
  <c r="QM84" i="2"/>
  <c r="QM88" i="2"/>
  <c r="QM89" i="2"/>
  <c r="QM111" i="2"/>
  <c r="QM118" i="2"/>
  <c r="QM119" i="2"/>
  <c r="QM141" i="2"/>
  <c r="QM245" i="2"/>
  <c r="QM107" i="2"/>
  <c r="QM108" i="2"/>
  <c r="QM114" i="2"/>
  <c r="QM115" i="2"/>
  <c r="QM139" i="2"/>
  <c r="QM244" i="2"/>
  <c r="QM246" i="2"/>
  <c r="QN83" i="2"/>
  <c r="QN86" i="2"/>
  <c r="QN110" i="2"/>
  <c r="QN84" i="2"/>
  <c r="QN88" i="2"/>
  <c r="QN89" i="2"/>
  <c r="QN111" i="2"/>
  <c r="QN118" i="2"/>
  <c r="QN119" i="2"/>
  <c r="QN141" i="2"/>
  <c r="QN245" i="2"/>
  <c r="QN107" i="2"/>
  <c r="QN108" i="2"/>
  <c r="QN114" i="2"/>
  <c r="QN115" i="2"/>
  <c r="QN139" i="2"/>
  <c r="QN244" i="2"/>
  <c r="QN246" i="2"/>
  <c r="QO83" i="2"/>
  <c r="QO86" i="2"/>
  <c r="QO110" i="2"/>
  <c r="QO84" i="2"/>
  <c r="QO88" i="2"/>
  <c r="QO89" i="2"/>
  <c r="QO111" i="2"/>
  <c r="QO118" i="2"/>
  <c r="QO119" i="2"/>
  <c r="QO141" i="2"/>
  <c r="QO245" i="2"/>
  <c r="QO107" i="2"/>
  <c r="QO108" i="2"/>
  <c r="QO114" i="2"/>
  <c r="QO115" i="2"/>
  <c r="QO139" i="2"/>
  <c r="QO244" i="2"/>
  <c r="QO246" i="2"/>
  <c r="QP83" i="2"/>
  <c r="QP86" i="2"/>
  <c r="QP110" i="2"/>
  <c r="QP84" i="2"/>
  <c r="QP88" i="2"/>
  <c r="QP89" i="2"/>
  <c r="QP111" i="2"/>
  <c r="QP118" i="2"/>
  <c r="QP119" i="2"/>
  <c r="QP141" i="2"/>
  <c r="QP245" i="2"/>
  <c r="QP107" i="2"/>
  <c r="QP108" i="2"/>
  <c r="QP114" i="2"/>
  <c r="QP115" i="2"/>
  <c r="QP139" i="2"/>
  <c r="QP244" i="2"/>
  <c r="QP246" i="2"/>
  <c r="QQ83" i="2"/>
  <c r="QQ86" i="2"/>
  <c r="QQ110" i="2"/>
  <c r="QQ84" i="2"/>
  <c r="QQ88" i="2"/>
  <c r="QQ89" i="2"/>
  <c r="QQ111" i="2"/>
  <c r="QQ118" i="2"/>
  <c r="QQ119" i="2"/>
  <c r="QQ141" i="2"/>
  <c r="QQ245" i="2"/>
  <c r="QQ107" i="2"/>
  <c r="QQ108" i="2"/>
  <c r="QQ114" i="2"/>
  <c r="QQ115" i="2"/>
  <c r="QQ139" i="2"/>
  <c r="QQ244" i="2"/>
  <c r="QQ246" i="2"/>
  <c r="QR83" i="2"/>
  <c r="QR86" i="2"/>
  <c r="QR110" i="2"/>
  <c r="QR84" i="2"/>
  <c r="QR88" i="2"/>
  <c r="QR89" i="2"/>
  <c r="QR111" i="2"/>
  <c r="QR118" i="2"/>
  <c r="QR119" i="2"/>
  <c r="QR141" i="2"/>
  <c r="QR245" i="2"/>
  <c r="QR107" i="2"/>
  <c r="QR108" i="2"/>
  <c r="QR114" i="2"/>
  <c r="QR115" i="2"/>
  <c r="QR139" i="2"/>
  <c r="QR244" i="2"/>
  <c r="QR246" i="2"/>
  <c r="QS83" i="2"/>
  <c r="QS86" i="2"/>
  <c r="QS110" i="2"/>
  <c r="QS84" i="2"/>
  <c r="QS88" i="2"/>
  <c r="QS89" i="2"/>
  <c r="QS111" i="2"/>
  <c r="QS118" i="2"/>
  <c r="QS119" i="2"/>
  <c r="QS141" i="2"/>
  <c r="QS245" i="2"/>
  <c r="QS107" i="2"/>
  <c r="QS108" i="2"/>
  <c r="QS114" i="2"/>
  <c r="QS115" i="2"/>
  <c r="QS139" i="2"/>
  <c r="QS244" i="2"/>
  <c r="QS246" i="2"/>
  <c r="QT83" i="2"/>
  <c r="QT86" i="2"/>
  <c r="QT110" i="2"/>
  <c r="QT84" i="2"/>
  <c r="QT88" i="2"/>
  <c r="QT89" i="2"/>
  <c r="QT111" i="2"/>
  <c r="QT118" i="2"/>
  <c r="QT119" i="2"/>
  <c r="QT141" i="2"/>
  <c r="QT245" i="2"/>
  <c r="QT107" i="2"/>
  <c r="QT108" i="2"/>
  <c r="QT114" i="2"/>
  <c r="QT115" i="2"/>
  <c r="QT139" i="2"/>
  <c r="QT244" i="2"/>
  <c r="QT246" i="2"/>
  <c r="QU83" i="2"/>
  <c r="QU86" i="2"/>
  <c r="QU110" i="2"/>
  <c r="QU84" i="2"/>
  <c r="QU88" i="2"/>
  <c r="QU89" i="2"/>
  <c r="QU111" i="2"/>
  <c r="QU118" i="2"/>
  <c r="QU119" i="2"/>
  <c r="QU141" i="2"/>
  <c r="QU245" i="2"/>
  <c r="QU107" i="2"/>
  <c r="QU108" i="2"/>
  <c r="QU114" i="2"/>
  <c r="QU115" i="2"/>
  <c r="QU139" i="2"/>
  <c r="QU244" i="2"/>
  <c r="QU246" i="2"/>
  <c r="QV83" i="2"/>
  <c r="QV86" i="2"/>
  <c r="QV110" i="2"/>
  <c r="QV84" i="2"/>
  <c r="QV88" i="2"/>
  <c r="QV89" i="2"/>
  <c r="QV111" i="2"/>
  <c r="QV118" i="2"/>
  <c r="QV119" i="2"/>
  <c r="QV141" i="2"/>
  <c r="QV245" i="2"/>
  <c r="QV107" i="2"/>
  <c r="QV108" i="2"/>
  <c r="QV114" i="2"/>
  <c r="QV115" i="2"/>
  <c r="QV139" i="2"/>
  <c r="QV244" i="2"/>
  <c r="QV246" i="2"/>
  <c r="QW83" i="2"/>
  <c r="QW86" i="2"/>
  <c r="QW110" i="2"/>
  <c r="QW84" i="2"/>
  <c r="QW88" i="2"/>
  <c r="QW89" i="2"/>
  <c r="QW111" i="2"/>
  <c r="QW118" i="2"/>
  <c r="QW119" i="2"/>
  <c r="QW141" i="2"/>
  <c r="QW245" i="2"/>
  <c r="QW107" i="2"/>
  <c r="QW108" i="2"/>
  <c r="QW114" i="2"/>
  <c r="QW115" i="2"/>
  <c r="QW139" i="2"/>
  <c r="QW244" i="2"/>
  <c r="QW246" i="2"/>
  <c r="QX83" i="2"/>
  <c r="QX86" i="2"/>
  <c r="QX110" i="2"/>
  <c r="QX84" i="2"/>
  <c r="QX88" i="2"/>
  <c r="QX89" i="2"/>
  <c r="QX111" i="2"/>
  <c r="QX118" i="2"/>
  <c r="QX119" i="2"/>
  <c r="QX141" i="2"/>
  <c r="QX245" i="2"/>
  <c r="QX107" i="2"/>
  <c r="QX108" i="2"/>
  <c r="QX114" i="2"/>
  <c r="QX115" i="2"/>
  <c r="QX139" i="2"/>
  <c r="QX244" i="2"/>
  <c r="QX246" i="2"/>
  <c r="QY83" i="2"/>
  <c r="QY86" i="2"/>
  <c r="QY110" i="2"/>
  <c r="QY84" i="2"/>
  <c r="QY88" i="2"/>
  <c r="QY89" i="2"/>
  <c r="QY111" i="2"/>
  <c r="QY118" i="2"/>
  <c r="QY119" i="2"/>
  <c r="QY141" i="2"/>
  <c r="QY245" i="2"/>
  <c r="QY107" i="2"/>
  <c r="QY108" i="2"/>
  <c r="QY114" i="2"/>
  <c r="QY115" i="2"/>
  <c r="QY139" i="2"/>
  <c r="QY244" i="2"/>
  <c r="QY246" i="2"/>
  <c r="QZ83" i="2"/>
  <c r="QZ86" i="2"/>
  <c r="QZ110" i="2"/>
  <c r="QZ84" i="2"/>
  <c r="QZ88" i="2"/>
  <c r="QZ89" i="2"/>
  <c r="QZ111" i="2"/>
  <c r="QZ118" i="2"/>
  <c r="QZ119" i="2"/>
  <c r="QZ141" i="2"/>
  <c r="QZ245" i="2"/>
  <c r="QZ107" i="2"/>
  <c r="QZ108" i="2"/>
  <c r="QZ114" i="2"/>
  <c r="QZ115" i="2"/>
  <c r="QZ139" i="2"/>
  <c r="QZ244" i="2"/>
  <c r="QZ246" i="2"/>
  <c r="RA83" i="2"/>
  <c r="RA86" i="2"/>
  <c r="RA110" i="2"/>
  <c r="RA84" i="2"/>
  <c r="RA88" i="2"/>
  <c r="RA89" i="2"/>
  <c r="RA111" i="2"/>
  <c r="RA118" i="2"/>
  <c r="RA119" i="2"/>
  <c r="RA141" i="2"/>
  <c r="RA245" i="2"/>
  <c r="RA107" i="2"/>
  <c r="RA108" i="2"/>
  <c r="RA114" i="2"/>
  <c r="RA115" i="2"/>
  <c r="RA139" i="2"/>
  <c r="RA244" i="2"/>
  <c r="RA246" i="2"/>
  <c r="RB83" i="2"/>
  <c r="RB86" i="2"/>
  <c r="RB110" i="2"/>
  <c r="RB84" i="2"/>
  <c r="RB88" i="2"/>
  <c r="RB89" i="2"/>
  <c r="RB111" i="2"/>
  <c r="RB118" i="2"/>
  <c r="RB119" i="2"/>
  <c r="RB141" i="2"/>
  <c r="RB245" i="2"/>
  <c r="RB107" i="2"/>
  <c r="RB108" i="2"/>
  <c r="RB114" i="2"/>
  <c r="RB115" i="2"/>
  <c r="RB139" i="2"/>
  <c r="RB244" i="2"/>
  <c r="RB246" i="2"/>
  <c r="RC83" i="2"/>
  <c r="RC86" i="2"/>
  <c r="RC110" i="2"/>
  <c r="RC84" i="2"/>
  <c r="RC88" i="2"/>
  <c r="RC89" i="2"/>
  <c r="RC111" i="2"/>
  <c r="RC118" i="2"/>
  <c r="RC119" i="2"/>
  <c r="RC141" i="2"/>
  <c r="RC245" i="2"/>
  <c r="RC107" i="2"/>
  <c r="RC108" i="2"/>
  <c r="RC114" i="2"/>
  <c r="RC115" i="2"/>
  <c r="RC139" i="2"/>
  <c r="RC244" i="2"/>
  <c r="RC246" i="2"/>
  <c r="RD83" i="2"/>
  <c r="RD86" i="2"/>
  <c r="RD110" i="2"/>
  <c r="RD84" i="2"/>
  <c r="RD88" i="2"/>
  <c r="RD89" i="2"/>
  <c r="RD111" i="2"/>
  <c r="RD118" i="2"/>
  <c r="RD119" i="2"/>
  <c r="RD141" i="2"/>
  <c r="RD245" i="2"/>
  <c r="RD107" i="2"/>
  <c r="RD108" i="2"/>
  <c r="RD114" i="2"/>
  <c r="RD115" i="2"/>
  <c r="RD139" i="2"/>
  <c r="RD244" i="2"/>
  <c r="RD246" i="2"/>
  <c r="RE83" i="2"/>
  <c r="RE86" i="2"/>
  <c r="RE110" i="2"/>
  <c r="RE84" i="2"/>
  <c r="RE88" i="2"/>
  <c r="RE89" i="2"/>
  <c r="RE111" i="2"/>
  <c r="RE118" i="2"/>
  <c r="RE119" i="2"/>
  <c r="RE141" i="2"/>
  <c r="RE245" i="2"/>
  <c r="RE107" i="2"/>
  <c r="RE108" i="2"/>
  <c r="RE114" i="2"/>
  <c r="RE115" i="2"/>
  <c r="RE139" i="2"/>
  <c r="RE244" i="2"/>
  <c r="RE246" i="2"/>
  <c r="RF83" i="2"/>
  <c r="RF86" i="2"/>
  <c r="RF110" i="2"/>
  <c r="RF84" i="2"/>
  <c r="RF88" i="2"/>
  <c r="RF89" i="2"/>
  <c r="RF111" i="2"/>
  <c r="RF118" i="2"/>
  <c r="RF119" i="2"/>
  <c r="RF141" i="2"/>
  <c r="RF245" i="2"/>
  <c r="RF107" i="2"/>
  <c r="RF108" i="2"/>
  <c r="RF114" i="2"/>
  <c r="RF115" i="2"/>
  <c r="RF139" i="2"/>
  <c r="RF244" i="2"/>
  <c r="RF246" i="2"/>
  <c r="RG83" i="2"/>
  <c r="RG86" i="2"/>
  <c r="RG110" i="2"/>
  <c r="RG84" i="2"/>
  <c r="RG88" i="2"/>
  <c r="RG89" i="2"/>
  <c r="RG111" i="2"/>
  <c r="RG118" i="2"/>
  <c r="RG119" i="2"/>
  <c r="RG141" i="2"/>
  <c r="RG245" i="2"/>
  <c r="RG107" i="2"/>
  <c r="RG108" i="2"/>
  <c r="RG114" i="2"/>
  <c r="RG115" i="2"/>
  <c r="RG139" i="2"/>
  <c r="RG244" i="2"/>
  <c r="RG246" i="2"/>
  <c r="RH83" i="2"/>
  <c r="RH86" i="2"/>
  <c r="RH110" i="2"/>
  <c r="RH84" i="2"/>
  <c r="RH88" i="2"/>
  <c r="RH89" i="2"/>
  <c r="RH111" i="2"/>
  <c r="RH118" i="2"/>
  <c r="RH119" i="2"/>
  <c r="RH141" i="2"/>
  <c r="RH245" i="2"/>
  <c r="RH107" i="2"/>
  <c r="RH108" i="2"/>
  <c r="RH114" i="2"/>
  <c r="RH115" i="2"/>
  <c r="RH139" i="2"/>
  <c r="RH244" i="2"/>
  <c r="RH246" i="2"/>
  <c r="RI83" i="2"/>
  <c r="RI86" i="2"/>
  <c r="RI110" i="2"/>
  <c r="RI84" i="2"/>
  <c r="RI88" i="2"/>
  <c r="RI89" i="2"/>
  <c r="RI111" i="2"/>
  <c r="RI118" i="2"/>
  <c r="RI119" i="2"/>
  <c r="RI141" i="2"/>
  <c r="RI245" i="2"/>
  <c r="RI107" i="2"/>
  <c r="RI108" i="2"/>
  <c r="RI114" i="2"/>
  <c r="RI115" i="2"/>
  <c r="RI139" i="2"/>
  <c r="RI244" i="2"/>
  <c r="RI246" i="2"/>
  <c r="RJ83" i="2"/>
  <c r="RJ86" i="2"/>
  <c r="RJ110" i="2"/>
  <c r="RJ84" i="2"/>
  <c r="RJ88" i="2"/>
  <c r="RJ89" i="2"/>
  <c r="RJ111" i="2"/>
  <c r="RJ118" i="2"/>
  <c r="RJ119" i="2"/>
  <c r="RJ141" i="2"/>
  <c r="RJ245" i="2"/>
  <c r="RJ107" i="2"/>
  <c r="RJ108" i="2"/>
  <c r="RJ114" i="2"/>
  <c r="RJ115" i="2"/>
  <c r="RJ139" i="2"/>
  <c r="RJ244" i="2"/>
  <c r="RJ246" i="2"/>
  <c r="RK83" i="2"/>
  <c r="RK86" i="2"/>
  <c r="RK110" i="2"/>
  <c r="RK84" i="2"/>
  <c r="RK88" i="2"/>
  <c r="RK89" i="2"/>
  <c r="RK111" i="2"/>
  <c r="RK118" i="2"/>
  <c r="RK119" i="2"/>
  <c r="RK141" i="2"/>
  <c r="RK245" i="2"/>
  <c r="RK107" i="2"/>
  <c r="RK108" i="2"/>
  <c r="RK114" i="2"/>
  <c r="RK115" i="2"/>
  <c r="RK139" i="2"/>
  <c r="RK244" i="2"/>
  <c r="RK246" i="2"/>
  <c r="RL83" i="2"/>
  <c r="RL86" i="2"/>
  <c r="RL110" i="2"/>
  <c r="RL84" i="2"/>
  <c r="RL88" i="2"/>
  <c r="RL89" i="2"/>
  <c r="RL111" i="2"/>
  <c r="RL118" i="2"/>
  <c r="RL119" i="2"/>
  <c r="RL141" i="2"/>
  <c r="RL245" i="2"/>
  <c r="RL107" i="2"/>
  <c r="RL108" i="2"/>
  <c r="RL114" i="2"/>
  <c r="RL115" i="2"/>
  <c r="RL139" i="2"/>
  <c r="RL244" i="2"/>
  <c r="RL246" i="2"/>
  <c r="RM83" i="2"/>
  <c r="RM86" i="2"/>
  <c r="RM110" i="2"/>
  <c r="RM84" i="2"/>
  <c r="RM88" i="2"/>
  <c r="RM89" i="2"/>
  <c r="RM111" i="2"/>
  <c r="RM118" i="2"/>
  <c r="RM119" i="2"/>
  <c r="RM141" i="2"/>
  <c r="RM245" i="2"/>
  <c r="RM107" i="2"/>
  <c r="RM108" i="2"/>
  <c r="RM114" i="2"/>
  <c r="RM115" i="2"/>
  <c r="RM139" i="2"/>
  <c r="RM244" i="2"/>
  <c r="RM246" i="2"/>
  <c r="RN83" i="2"/>
  <c r="RN86" i="2"/>
  <c r="RN110" i="2"/>
  <c r="RN84" i="2"/>
  <c r="RN88" i="2"/>
  <c r="RN89" i="2"/>
  <c r="RN111" i="2"/>
  <c r="RN118" i="2"/>
  <c r="RN119" i="2"/>
  <c r="RN141" i="2"/>
  <c r="RN245" i="2"/>
  <c r="RN107" i="2"/>
  <c r="RN108" i="2"/>
  <c r="RN114" i="2"/>
  <c r="RN115" i="2"/>
  <c r="RN139" i="2"/>
  <c r="RN244" i="2"/>
  <c r="RN246" i="2"/>
  <c r="RO83" i="2"/>
  <c r="RO86" i="2"/>
  <c r="RO110" i="2"/>
  <c r="RO84" i="2"/>
  <c r="RO88" i="2"/>
  <c r="RO89" i="2"/>
  <c r="RO111" i="2"/>
  <c r="RO118" i="2"/>
  <c r="RO119" i="2"/>
  <c r="RO141" i="2"/>
  <c r="RO245" i="2"/>
  <c r="RO107" i="2"/>
  <c r="RO108" i="2"/>
  <c r="RO114" i="2"/>
  <c r="RO115" i="2"/>
  <c r="RO139" i="2"/>
  <c r="RO244" i="2"/>
  <c r="RO246" i="2"/>
  <c r="RP83" i="2"/>
  <c r="RP86" i="2"/>
  <c r="RP110" i="2"/>
  <c r="RP84" i="2"/>
  <c r="RP88" i="2"/>
  <c r="RP89" i="2"/>
  <c r="RP111" i="2"/>
  <c r="RP118" i="2"/>
  <c r="RP119" i="2"/>
  <c r="RP141" i="2"/>
  <c r="RP245" i="2"/>
  <c r="RP107" i="2"/>
  <c r="RP108" i="2"/>
  <c r="RP114" i="2"/>
  <c r="RP115" i="2"/>
  <c r="RP139" i="2"/>
  <c r="RP244" i="2"/>
  <c r="RP246" i="2"/>
  <c r="RQ83" i="2"/>
  <c r="RQ86" i="2"/>
  <c r="RQ110" i="2"/>
  <c r="RQ84" i="2"/>
  <c r="RQ88" i="2"/>
  <c r="RQ89" i="2"/>
  <c r="RQ111" i="2"/>
  <c r="RQ118" i="2"/>
  <c r="RQ119" i="2"/>
  <c r="RQ141" i="2"/>
  <c r="RQ245" i="2"/>
  <c r="RQ107" i="2"/>
  <c r="RQ108" i="2"/>
  <c r="RQ114" i="2"/>
  <c r="RQ115" i="2"/>
  <c r="RQ139" i="2"/>
  <c r="RQ244" i="2"/>
  <c r="RQ246" i="2"/>
  <c r="RR83" i="2"/>
  <c r="RR86" i="2"/>
  <c r="RR110" i="2"/>
  <c r="RR84" i="2"/>
  <c r="RR88" i="2"/>
  <c r="RR89" i="2"/>
  <c r="RR111" i="2"/>
  <c r="RR118" i="2"/>
  <c r="RR119" i="2"/>
  <c r="RR141" i="2"/>
  <c r="RR245" i="2"/>
  <c r="RR107" i="2"/>
  <c r="RR108" i="2"/>
  <c r="RR114" i="2"/>
  <c r="RR115" i="2"/>
  <c r="RR139" i="2"/>
  <c r="RR244" i="2"/>
  <c r="RR246" i="2"/>
  <c r="E247" i="2"/>
  <c r="B136" i="2"/>
  <c r="C136" i="2"/>
  <c r="B129" i="2"/>
  <c r="B125" i="2"/>
  <c r="B132" i="2"/>
  <c r="C129" i="2"/>
  <c r="C125" i="2"/>
  <c r="C132" i="2"/>
  <c r="B130" i="2"/>
  <c r="B126" i="2"/>
  <c r="B133" i="2"/>
  <c r="C130" i="2"/>
  <c r="C126" i="2"/>
  <c r="C133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ND85" i="2"/>
  <c r="NE85" i="2"/>
  <c r="NF85" i="2"/>
  <c r="NG85" i="2"/>
  <c r="NH85" i="2"/>
  <c r="NI85" i="2"/>
  <c r="NJ85" i="2"/>
  <c r="NK85" i="2"/>
  <c r="NL85" i="2"/>
  <c r="NM85" i="2"/>
  <c r="NN85" i="2"/>
  <c r="NO85" i="2"/>
  <c r="NP85" i="2"/>
  <c r="NQ85" i="2"/>
  <c r="NR85" i="2"/>
  <c r="NS85" i="2"/>
  <c r="NT85" i="2"/>
  <c r="NU85" i="2"/>
  <c r="NV85" i="2"/>
  <c r="NW85" i="2"/>
  <c r="NX85" i="2"/>
  <c r="NY85" i="2"/>
  <c r="NZ85" i="2"/>
  <c r="OA85" i="2"/>
  <c r="OB85" i="2"/>
  <c r="OC85" i="2"/>
  <c r="OD85" i="2"/>
  <c r="OE85" i="2"/>
  <c r="OF85" i="2"/>
  <c r="OG85" i="2"/>
  <c r="OH85" i="2"/>
  <c r="OI85" i="2"/>
  <c r="OJ85" i="2"/>
  <c r="OK85" i="2"/>
  <c r="OL85" i="2"/>
  <c r="OM85" i="2"/>
  <c r="ON85" i="2"/>
  <c r="OO85" i="2"/>
  <c r="OP85" i="2"/>
  <c r="OQ85" i="2"/>
  <c r="OR85" i="2"/>
  <c r="OS85" i="2"/>
  <c r="OT85" i="2"/>
  <c r="OU85" i="2"/>
  <c r="OV85" i="2"/>
  <c r="OW85" i="2"/>
  <c r="OX85" i="2"/>
  <c r="OY85" i="2"/>
  <c r="OZ85" i="2"/>
  <c r="PA85" i="2"/>
  <c r="PB85" i="2"/>
  <c r="PC85" i="2"/>
  <c r="PD85" i="2"/>
  <c r="PE85" i="2"/>
  <c r="PF85" i="2"/>
  <c r="PG85" i="2"/>
  <c r="PH85" i="2"/>
  <c r="PI85" i="2"/>
  <c r="PJ85" i="2"/>
  <c r="PK85" i="2"/>
  <c r="PL85" i="2"/>
  <c r="PM85" i="2"/>
  <c r="PN85" i="2"/>
  <c r="PO85" i="2"/>
  <c r="PP85" i="2"/>
  <c r="PQ85" i="2"/>
  <c r="PR85" i="2"/>
  <c r="PS85" i="2"/>
  <c r="PT85" i="2"/>
  <c r="PU85" i="2"/>
  <c r="PV85" i="2"/>
  <c r="PW85" i="2"/>
  <c r="PX85" i="2"/>
  <c r="PY85" i="2"/>
  <c r="PZ85" i="2"/>
  <c r="QA85" i="2"/>
  <c r="QB85" i="2"/>
  <c r="QC85" i="2"/>
  <c r="QD85" i="2"/>
  <c r="QE85" i="2"/>
  <c r="QF85" i="2"/>
  <c r="QG85" i="2"/>
  <c r="QH85" i="2"/>
  <c r="QI85" i="2"/>
  <c r="QJ85" i="2"/>
  <c r="QK85" i="2"/>
  <c r="QL85" i="2"/>
  <c r="QM85" i="2"/>
  <c r="QN85" i="2"/>
  <c r="QO85" i="2"/>
  <c r="QP85" i="2"/>
  <c r="QQ85" i="2"/>
  <c r="QR85" i="2"/>
  <c r="QS85" i="2"/>
  <c r="QT85" i="2"/>
  <c r="QU85" i="2"/>
  <c r="QV85" i="2"/>
  <c r="QW85" i="2"/>
  <c r="QX85" i="2"/>
  <c r="QY85" i="2"/>
  <c r="QZ85" i="2"/>
  <c r="RA85" i="2"/>
  <c r="RB85" i="2"/>
  <c r="RC85" i="2"/>
  <c r="RD85" i="2"/>
  <c r="RE85" i="2"/>
  <c r="RF85" i="2"/>
  <c r="RG85" i="2"/>
  <c r="RH85" i="2"/>
  <c r="RI85" i="2"/>
  <c r="RJ85" i="2"/>
  <c r="RK85" i="2"/>
  <c r="RL85" i="2"/>
  <c r="RM85" i="2"/>
  <c r="RN85" i="2"/>
  <c r="RO85" i="2"/>
  <c r="RP85" i="2"/>
  <c r="RQ85" i="2"/>
  <c r="RR85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ND82" i="2"/>
  <c r="NE82" i="2"/>
  <c r="NF82" i="2"/>
  <c r="NG82" i="2"/>
  <c r="NH82" i="2"/>
  <c r="NI82" i="2"/>
  <c r="NJ82" i="2"/>
  <c r="NK82" i="2"/>
  <c r="NL82" i="2"/>
  <c r="NM82" i="2"/>
  <c r="NN82" i="2"/>
  <c r="NO82" i="2"/>
  <c r="NP82" i="2"/>
  <c r="NQ82" i="2"/>
  <c r="NR82" i="2"/>
  <c r="NS82" i="2"/>
  <c r="NT82" i="2"/>
  <c r="NU82" i="2"/>
  <c r="NV82" i="2"/>
  <c r="NW82" i="2"/>
  <c r="NX82" i="2"/>
  <c r="NY82" i="2"/>
  <c r="NZ82" i="2"/>
  <c r="OA82" i="2"/>
  <c r="OB82" i="2"/>
  <c r="OC82" i="2"/>
  <c r="OD82" i="2"/>
  <c r="OE82" i="2"/>
  <c r="OF82" i="2"/>
  <c r="OG82" i="2"/>
  <c r="OH82" i="2"/>
  <c r="OI82" i="2"/>
  <c r="OJ82" i="2"/>
  <c r="OK82" i="2"/>
  <c r="OL82" i="2"/>
  <c r="OM82" i="2"/>
  <c r="ON82" i="2"/>
  <c r="OO82" i="2"/>
  <c r="OP82" i="2"/>
  <c r="OQ82" i="2"/>
  <c r="OR82" i="2"/>
  <c r="OS82" i="2"/>
  <c r="OT82" i="2"/>
  <c r="OU82" i="2"/>
  <c r="OV82" i="2"/>
  <c r="OW82" i="2"/>
  <c r="OX82" i="2"/>
  <c r="OY82" i="2"/>
  <c r="OZ82" i="2"/>
  <c r="PA82" i="2"/>
  <c r="PB82" i="2"/>
  <c r="PC82" i="2"/>
  <c r="PD82" i="2"/>
  <c r="PE82" i="2"/>
  <c r="PF82" i="2"/>
  <c r="PG82" i="2"/>
  <c r="PH82" i="2"/>
  <c r="PI82" i="2"/>
  <c r="PJ82" i="2"/>
  <c r="PK82" i="2"/>
  <c r="PL82" i="2"/>
  <c r="PM82" i="2"/>
  <c r="PN82" i="2"/>
  <c r="PO82" i="2"/>
  <c r="PP82" i="2"/>
  <c r="PQ82" i="2"/>
  <c r="PR82" i="2"/>
  <c r="PS82" i="2"/>
  <c r="PT82" i="2"/>
  <c r="PU82" i="2"/>
  <c r="PV82" i="2"/>
  <c r="PW82" i="2"/>
  <c r="PX82" i="2"/>
  <c r="PY82" i="2"/>
  <c r="PZ82" i="2"/>
  <c r="QA82" i="2"/>
  <c r="QB82" i="2"/>
  <c r="QC82" i="2"/>
  <c r="QD82" i="2"/>
  <c r="QE82" i="2"/>
  <c r="QF82" i="2"/>
  <c r="QG82" i="2"/>
  <c r="QH82" i="2"/>
  <c r="QI82" i="2"/>
  <c r="QJ82" i="2"/>
  <c r="QK82" i="2"/>
  <c r="QL82" i="2"/>
  <c r="QM82" i="2"/>
  <c r="QN82" i="2"/>
  <c r="QO82" i="2"/>
  <c r="QP82" i="2"/>
  <c r="QQ82" i="2"/>
  <c r="QR82" i="2"/>
  <c r="QS82" i="2"/>
  <c r="QT82" i="2"/>
  <c r="QU82" i="2"/>
  <c r="QV82" i="2"/>
  <c r="QW82" i="2"/>
  <c r="QX82" i="2"/>
  <c r="QY82" i="2"/>
  <c r="QZ82" i="2"/>
  <c r="RA82" i="2"/>
  <c r="RB82" i="2"/>
  <c r="RC82" i="2"/>
  <c r="RD82" i="2"/>
  <c r="RE82" i="2"/>
  <c r="RF82" i="2"/>
  <c r="RG82" i="2"/>
  <c r="RH82" i="2"/>
  <c r="RI82" i="2"/>
  <c r="RJ82" i="2"/>
  <c r="RK82" i="2"/>
  <c r="RL82" i="2"/>
  <c r="RM82" i="2"/>
  <c r="RN82" i="2"/>
  <c r="RO82" i="2"/>
  <c r="RP82" i="2"/>
  <c r="RQ82" i="2"/>
  <c r="RR82" i="2"/>
  <c r="BK119" i="13"/>
  <c r="BL119" i="13"/>
  <c r="BM119" i="13"/>
  <c r="BN119" i="13"/>
  <c r="BO119" i="13"/>
  <c r="BP119" i="13"/>
  <c r="BQ119" i="13"/>
  <c r="BR119" i="13"/>
  <c r="BS119" i="13"/>
  <c r="BT119" i="13"/>
  <c r="BU119" i="13"/>
  <c r="BV119" i="13"/>
  <c r="BW119" i="13"/>
  <c r="BX119" i="13"/>
  <c r="BY119" i="13"/>
  <c r="BZ119" i="13"/>
  <c r="CA119" i="13"/>
  <c r="CB119" i="13"/>
  <c r="CC119" i="13"/>
  <c r="CD119" i="13"/>
  <c r="CE119" i="13"/>
  <c r="CF119" i="13"/>
  <c r="CG119" i="13"/>
  <c r="CH119" i="13"/>
  <c r="CI119" i="13"/>
  <c r="CJ119" i="13"/>
  <c r="CK119" i="13"/>
  <c r="CL119" i="13"/>
  <c r="CM119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DA119" i="13"/>
  <c r="DB119" i="13"/>
  <c r="DC119" i="13"/>
  <c r="DD119" i="13"/>
  <c r="DE119" i="13"/>
  <c r="DF119" i="13"/>
  <c r="DG119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T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C119" i="13"/>
  <c r="BK117" i="13"/>
  <c r="BL117" i="13"/>
  <c r="BM117" i="13"/>
  <c r="BN117" i="13"/>
  <c r="BO117" i="13"/>
  <c r="BP117" i="13"/>
  <c r="BQ117" i="13"/>
  <c r="BR117" i="13"/>
  <c r="BS117" i="13"/>
  <c r="BT117" i="13"/>
  <c r="BU117" i="13"/>
  <c r="BV117" i="13"/>
  <c r="BW117" i="13"/>
  <c r="BX117" i="13"/>
  <c r="BY117" i="13"/>
  <c r="BZ117" i="13"/>
  <c r="CA117" i="13"/>
  <c r="CB117" i="13"/>
  <c r="CC117" i="13"/>
  <c r="CD117" i="13"/>
  <c r="CE117" i="13"/>
  <c r="CF117" i="13"/>
  <c r="CG117" i="13"/>
  <c r="CH117" i="13"/>
  <c r="CI117" i="13"/>
  <c r="CJ117" i="13"/>
  <c r="CK117" i="13"/>
  <c r="CL117" i="13"/>
  <c r="CM117" i="13"/>
  <c r="CN117" i="13"/>
  <c r="CO117" i="13"/>
  <c r="CP117" i="13"/>
  <c r="CQ117" i="13"/>
  <c r="CR117" i="13"/>
  <c r="CS117" i="13"/>
  <c r="CT117" i="13"/>
  <c r="CU117" i="13"/>
  <c r="CV117" i="13"/>
  <c r="CW117" i="13"/>
  <c r="CX117" i="13"/>
  <c r="CY117" i="13"/>
  <c r="CZ117" i="13"/>
  <c r="DA117" i="13"/>
  <c r="DB117" i="13"/>
  <c r="DC117" i="13"/>
  <c r="DD117" i="13"/>
  <c r="DE117" i="13"/>
  <c r="DF117" i="13"/>
  <c r="DG117" i="13"/>
  <c r="DH117" i="13"/>
  <c r="DI117" i="13"/>
  <c r="DJ117" i="13"/>
  <c r="DK117" i="13"/>
  <c r="DL117" i="13"/>
  <c r="DM117" i="13"/>
  <c r="DN117" i="13"/>
  <c r="DO117" i="13"/>
  <c r="DP117" i="13"/>
  <c r="DQ117" i="13"/>
  <c r="DR117" i="13"/>
  <c r="DT117" i="13"/>
  <c r="BK118" i="13"/>
  <c r="BL118" i="13"/>
  <c r="BM118" i="13"/>
  <c r="BN118" i="13"/>
  <c r="BO118" i="13"/>
  <c r="BP118" i="13"/>
  <c r="BQ118" i="13"/>
  <c r="BR118" i="13"/>
  <c r="BS118" i="13"/>
  <c r="BT118" i="13"/>
  <c r="BU118" i="13"/>
  <c r="BV118" i="13"/>
  <c r="BW118" i="13"/>
  <c r="BX118" i="13"/>
  <c r="BY118" i="13"/>
  <c r="BZ118" i="13"/>
  <c r="CA118" i="13"/>
  <c r="CB118" i="13"/>
  <c r="CC118" i="13"/>
  <c r="CD118" i="13"/>
  <c r="CE118" i="13"/>
  <c r="CF118" i="13"/>
  <c r="CG118" i="13"/>
  <c r="CH118" i="13"/>
  <c r="CI118" i="13"/>
  <c r="CJ118" i="13"/>
  <c r="CK118" i="13"/>
  <c r="CL118" i="13"/>
  <c r="CM118" i="13"/>
  <c r="CN118" i="13"/>
  <c r="CO118" i="13"/>
  <c r="CP118" i="13"/>
  <c r="CQ118" i="13"/>
  <c r="CR118" i="13"/>
  <c r="CS118" i="13"/>
  <c r="CT118" i="13"/>
  <c r="CU118" i="13"/>
  <c r="CV118" i="13"/>
  <c r="CW118" i="13"/>
  <c r="CX118" i="13"/>
  <c r="CY118" i="13"/>
  <c r="CZ118" i="13"/>
  <c r="DA118" i="13"/>
  <c r="DB118" i="13"/>
  <c r="DC118" i="13"/>
  <c r="DD118" i="13"/>
  <c r="DE118" i="13"/>
  <c r="DF118" i="13"/>
  <c r="DG118" i="13"/>
  <c r="DH118" i="13"/>
  <c r="DI118" i="13"/>
  <c r="DJ118" i="13"/>
  <c r="DK118" i="13"/>
  <c r="DL118" i="13"/>
  <c r="DM118" i="13"/>
  <c r="DN118" i="13"/>
  <c r="DO118" i="13"/>
  <c r="DP118" i="13"/>
  <c r="DQ118" i="13"/>
  <c r="DR118" i="13"/>
  <c r="DT118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C118" i="13"/>
  <c r="C117" i="13"/>
  <c r="BK116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BX116" i="13"/>
  <c r="BY116" i="13"/>
  <c r="BZ116" i="13"/>
  <c r="CA116" i="13"/>
  <c r="CB116" i="13"/>
  <c r="CC116" i="13"/>
  <c r="CD116" i="13"/>
  <c r="CE116" i="13"/>
  <c r="CF116" i="13"/>
  <c r="CG116" i="13"/>
  <c r="CH116" i="13"/>
  <c r="CI116" i="13"/>
  <c r="CJ116" i="13"/>
  <c r="CK116" i="13"/>
  <c r="CL116" i="13"/>
  <c r="CM116" i="13"/>
  <c r="CN116" i="13"/>
  <c r="CO116" i="13"/>
  <c r="CP116" i="13"/>
  <c r="CQ116" i="13"/>
  <c r="CR116" i="13"/>
  <c r="CS116" i="13"/>
  <c r="CT116" i="13"/>
  <c r="CU116" i="13"/>
  <c r="CV116" i="13"/>
  <c r="CW116" i="13"/>
  <c r="CX116" i="13"/>
  <c r="CY116" i="13"/>
  <c r="CZ116" i="13"/>
  <c r="DA116" i="13"/>
  <c r="DB116" i="13"/>
  <c r="DC116" i="13"/>
  <c r="DD116" i="13"/>
  <c r="DE116" i="13"/>
  <c r="DF116" i="13"/>
  <c r="DG116" i="13"/>
  <c r="DH116" i="13"/>
  <c r="DI116" i="13"/>
  <c r="DJ116" i="13"/>
  <c r="DK116" i="13"/>
  <c r="DL116" i="13"/>
  <c r="DM116" i="13"/>
  <c r="DN116" i="13"/>
  <c r="DO116" i="13"/>
  <c r="DP116" i="13"/>
  <c r="DQ116" i="13"/>
  <c r="DR116" i="13"/>
  <c r="DT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C116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BX115" i="13"/>
  <c r="BY115" i="13"/>
  <c r="BZ115" i="13"/>
  <c r="CA115" i="13"/>
  <c r="CB115" i="13"/>
  <c r="CC115" i="13"/>
  <c r="CD115" i="13"/>
  <c r="CE115" i="13"/>
  <c r="CF115" i="13"/>
  <c r="CG115" i="13"/>
  <c r="CH115" i="13"/>
  <c r="CI115" i="13"/>
  <c r="CJ115" i="13"/>
  <c r="CK115" i="13"/>
  <c r="CL115" i="13"/>
  <c r="CM115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DA115" i="13"/>
  <c r="DB115" i="13"/>
  <c r="DC115" i="13"/>
  <c r="DD115" i="13"/>
  <c r="DE115" i="13"/>
  <c r="DF115" i="13"/>
  <c r="DG115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T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C115" i="13"/>
  <c r="K183" i="6"/>
  <c r="K184" i="6"/>
  <c r="K185" i="6"/>
  <c r="K186" i="6"/>
  <c r="K187" i="6"/>
  <c r="K188" i="6"/>
  <c r="K189" i="6"/>
  <c r="K190" i="6"/>
  <c r="K191" i="6"/>
  <c r="K192" i="6"/>
  <c r="K193" i="6"/>
  <c r="K194" i="6"/>
  <c r="I18" i="8"/>
  <c r="K171" i="6"/>
  <c r="K172" i="6"/>
  <c r="K173" i="6"/>
  <c r="K174" i="6"/>
  <c r="K175" i="6"/>
  <c r="K176" i="6"/>
  <c r="K177" i="6"/>
  <c r="K178" i="6"/>
  <c r="K179" i="6"/>
  <c r="K180" i="6"/>
  <c r="K181" i="6"/>
  <c r="K182" i="6"/>
  <c r="I17" i="8"/>
  <c r="K159" i="6"/>
  <c r="K160" i="6"/>
  <c r="K161" i="6"/>
  <c r="K162" i="6"/>
  <c r="K163" i="6"/>
  <c r="K164" i="6"/>
  <c r="K165" i="6"/>
  <c r="K166" i="6"/>
  <c r="K167" i="6"/>
  <c r="K168" i="6"/>
  <c r="K169" i="6"/>
  <c r="K170" i="6"/>
  <c r="I16" i="8"/>
  <c r="K147" i="6"/>
  <c r="K148" i="6"/>
  <c r="K149" i="6"/>
  <c r="K150" i="6"/>
  <c r="K151" i="6"/>
  <c r="K152" i="6"/>
  <c r="K153" i="6"/>
  <c r="K154" i="6"/>
  <c r="K155" i="6"/>
  <c r="K156" i="6"/>
  <c r="K157" i="6"/>
  <c r="K158" i="6"/>
  <c r="I15" i="8"/>
  <c r="K135" i="6"/>
  <c r="K136" i="6"/>
  <c r="K137" i="6"/>
  <c r="K138" i="6"/>
  <c r="K139" i="6"/>
  <c r="K140" i="6"/>
  <c r="K141" i="6"/>
  <c r="K142" i="6"/>
  <c r="K143" i="6"/>
  <c r="K144" i="6"/>
  <c r="K145" i="6"/>
  <c r="K146" i="6"/>
  <c r="I14" i="8"/>
  <c r="K123" i="6"/>
  <c r="K124" i="6"/>
  <c r="K125" i="6"/>
  <c r="K126" i="6"/>
  <c r="K127" i="6"/>
  <c r="K128" i="6"/>
  <c r="K129" i="6"/>
  <c r="K130" i="6"/>
  <c r="K131" i="6"/>
  <c r="K132" i="6"/>
  <c r="K133" i="6"/>
  <c r="K134" i="6"/>
  <c r="I13" i="8"/>
  <c r="K111" i="6"/>
  <c r="K112" i="6"/>
  <c r="K113" i="6"/>
  <c r="K114" i="6"/>
  <c r="K115" i="6"/>
  <c r="K116" i="6"/>
  <c r="K117" i="6"/>
  <c r="K118" i="6"/>
  <c r="K119" i="6"/>
  <c r="K120" i="6"/>
  <c r="K121" i="6"/>
  <c r="K122" i="6"/>
  <c r="I12" i="8"/>
  <c r="K99" i="6"/>
  <c r="K100" i="6"/>
  <c r="K101" i="6"/>
  <c r="K102" i="6"/>
  <c r="K103" i="6"/>
  <c r="K104" i="6"/>
  <c r="K105" i="6"/>
  <c r="K106" i="6"/>
  <c r="K107" i="6"/>
  <c r="K108" i="6"/>
  <c r="K109" i="6"/>
  <c r="K110" i="6"/>
  <c r="I11" i="8"/>
  <c r="K87" i="6"/>
  <c r="K88" i="6"/>
  <c r="K89" i="6"/>
  <c r="K90" i="6"/>
  <c r="K91" i="6"/>
  <c r="K92" i="6"/>
  <c r="K93" i="6"/>
  <c r="K94" i="6"/>
  <c r="K95" i="6"/>
  <c r="K96" i="6"/>
  <c r="K97" i="6"/>
  <c r="K98" i="6"/>
  <c r="I10" i="8"/>
  <c r="K75" i="6"/>
  <c r="K76" i="6"/>
  <c r="K77" i="6"/>
  <c r="K78" i="6"/>
  <c r="K79" i="6"/>
  <c r="K80" i="6"/>
  <c r="K81" i="6"/>
  <c r="K82" i="6"/>
  <c r="K83" i="6"/>
  <c r="K84" i="6"/>
  <c r="K85" i="6"/>
  <c r="K86" i="6"/>
  <c r="I9" i="8"/>
  <c r="K63" i="6"/>
  <c r="K64" i="6"/>
  <c r="K65" i="6"/>
  <c r="K66" i="6"/>
  <c r="K67" i="6"/>
  <c r="K68" i="6"/>
  <c r="K69" i="6"/>
  <c r="K70" i="6"/>
  <c r="K71" i="6"/>
  <c r="K72" i="6"/>
  <c r="K73" i="6"/>
  <c r="K74" i="6"/>
  <c r="I8" i="8"/>
  <c r="K51" i="6"/>
  <c r="K52" i="6"/>
  <c r="K53" i="6"/>
  <c r="K54" i="6"/>
  <c r="K55" i="6"/>
  <c r="K56" i="6"/>
  <c r="K57" i="6"/>
  <c r="K58" i="6"/>
  <c r="K59" i="6"/>
  <c r="K60" i="6"/>
  <c r="K61" i="6"/>
  <c r="K62" i="6"/>
  <c r="I7" i="8"/>
  <c r="K39" i="6"/>
  <c r="K40" i="6"/>
  <c r="K41" i="6"/>
  <c r="K42" i="6"/>
  <c r="K43" i="6"/>
  <c r="K44" i="6"/>
  <c r="K45" i="6"/>
  <c r="K46" i="6"/>
  <c r="K47" i="6"/>
  <c r="K48" i="6"/>
  <c r="K49" i="6"/>
  <c r="K50" i="6"/>
  <c r="I6" i="8"/>
  <c r="K27" i="6"/>
  <c r="K28" i="6"/>
  <c r="K29" i="6"/>
  <c r="K30" i="6"/>
  <c r="K31" i="6"/>
  <c r="K32" i="6"/>
  <c r="K33" i="6"/>
  <c r="K34" i="6"/>
  <c r="K35" i="6"/>
  <c r="K36" i="6"/>
  <c r="K37" i="6"/>
  <c r="K38" i="6"/>
  <c r="I5" i="8"/>
  <c r="K15" i="6"/>
  <c r="K16" i="6"/>
  <c r="K17" i="6"/>
  <c r="K18" i="6"/>
  <c r="K19" i="6"/>
  <c r="K20" i="6"/>
  <c r="K21" i="6"/>
  <c r="K22" i="6"/>
  <c r="K23" i="6"/>
  <c r="K24" i="6"/>
  <c r="K25" i="6"/>
  <c r="K26" i="6"/>
  <c r="I4" i="8"/>
  <c r="K3" i="6"/>
  <c r="K4" i="6"/>
  <c r="K5" i="6"/>
  <c r="K6" i="6"/>
  <c r="K7" i="6"/>
  <c r="K8" i="6"/>
  <c r="K9" i="6"/>
  <c r="K10" i="6"/>
  <c r="K11" i="6"/>
  <c r="K12" i="6"/>
  <c r="K13" i="6"/>
  <c r="K14" i="6"/>
  <c r="I3" i="8"/>
  <c r="H18" i="8"/>
  <c r="L192" i="6"/>
  <c r="L193" i="6"/>
  <c r="L194" i="6"/>
  <c r="I192" i="6"/>
  <c r="I193" i="6"/>
  <c r="I194" i="6"/>
  <c r="E192" i="6"/>
  <c r="E193" i="6"/>
  <c r="E194" i="6"/>
  <c r="C192" i="6"/>
  <c r="C193" i="6"/>
  <c r="C194" i="6"/>
  <c r="C11" i="3"/>
  <c r="C12" i="6"/>
  <c r="C13" i="6"/>
  <c r="C15" i="6"/>
  <c r="C16" i="6"/>
  <c r="L17" i="6"/>
  <c r="O18" i="6"/>
  <c r="R19" i="6"/>
  <c r="D316" i="11"/>
  <c r="D317" i="11"/>
  <c r="D318" i="11"/>
  <c r="D319" i="11"/>
  <c r="D320" i="11"/>
  <c r="D321" i="11"/>
  <c r="D322" i="11"/>
  <c r="D323" i="11"/>
  <c r="D307" i="11"/>
  <c r="D308" i="11"/>
  <c r="D309" i="11"/>
  <c r="D310" i="11"/>
  <c r="D311" i="11"/>
  <c r="D312" i="11"/>
  <c r="D313" i="11"/>
  <c r="D314" i="11"/>
  <c r="D315" i="11"/>
  <c r="E86" i="2"/>
  <c r="B26" i="2"/>
  <c r="E3" i="2"/>
  <c r="H4" i="9"/>
  <c r="B7" i="2"/>
  <c r="C26" i="2"/>
  <c r="F59" i="9"/>
  <c r="G59" i="9"/>
  <c r="B20" i="2"/>
  <c r="D26" i="2"/>
  <c r="B21" i="2"/>
  <c r="B23" i="2"/>
  <c r="E26" i="2"/>
  <c r="B27" i="2"/>
  <c r="H5" i="9"/>
  <c r="B8" i="2"/>
  <c r="C27" i="2"/>
  <c r="D27" i="2"/>
  <c r="E27" i="2"/>
  <c r="G6" i="9"/>
  <c r="B28" i="2"/>
  <c r="H6" i="9"/>
  <c r="B9" i="2"/>
  <c r="C28" i="2"/>
  <c r="D28" i="2"/>
  <c r="E28" i="2"/>
  <c r="B29" i="2"/>
  <c r="H7" i="9"/>
  <c r="B10" i="2"/>
  <c r="C29" i="2"/>
  <c r="D29" i="2"/>
  <c r="E29" i="2"/>
  <c r="B30" i="2"/>
  <c r="H8" i="9"/>
  <c r="B11" i="2"/>
  <c r="C30" i="2"/>
  <c r="D30" i="2"/>
  <c r="E30" i="2"/>
  <c r="B31" i="2"/>
  <c r="H10" i="9"/>
  <c r="B12" i="2"/>
  <c r="C31" i="2"/>
  <c r="D31" i="2"/>
  <c r="E31" i="2"/>
  <c r="E32" i="2"/>
  <c r="D32" i="2"/>
  <c r="C32" i="2"/>
  <c r="B15" i="2"/>
  <c r="B38" i="2"/>
  <c r="C38" i="2"/>
  <c r="C58" i="2"/>
  <c r="F66" i="2"/>
  <c r="J32" i="2"/>
  <c r="J26" i="2"/>
  <c r="K26" i="2"/>
  <c r="L26" i="2"/>
  <c r="M26" i="2"/>
  <c r="J27" i="2"/>
  <c r="K27" i="2"/>
  <c r="L27" i="2"/>
  <c r="M27" i="2"/>
  <c r="J28" i="2"/>
  <c r="K28" i="2"/>
  <c r="L28" i="2"/>
  <c r="M28" i="2"/>
  <c r="J29" i="2"/>
  <c r="K29" i="2"/>
  <c r="L29" i="2"/>
  <c r="M29" i="2"/>
  <c r="J30" i="2"/>
  <c r="K30" i="2"/>
  <c r="L30" i="2"/>
  <c r="M30" i="2"/>
  <c r="J31" i="2"/>
  <c r="K31" i="2"/>
  <c r="L31" i="2"/>
  <c r="M31" i="2"/>
  <c r="M32" i="2"/>
  <c r="L32" i="2"/>
  <c r="K32" i="2"/>
  <c r="F38" i="2"/>
  <c r="G38" i="2"/>
  <c r="F67" i="2"/>
  <c r="E88" i="2"/>
  <c r="E33" i="2"/>
  <c r="D33" i="2"/>
  <c r="C33" i="2"/>
  <c r="B17" i="2"/>
  <c r="B39" i="2"/>
  <c r="J33" i="2"/>
  <c r="M33" i="2"/>
  <c r="L33" i="2"/>
  <c r="K33" i="2"/>
  <c r="F39" i="2"/>
  <c r="B43" i="2"/>
  <c r="G47" i="2"/>
  <c r="B50" i="2"/>
  <c r="C4" i="2"/>
  <c r="F68" i="2"/>
  <c r="E50" i="2"/>
  <c r="D50" i="2"/>
  <c r="F75" i="2"/>
  <c r="F100" i="2"/>
  <c r="B51" i="2"/>
  <c r="F69" i="2"/>
  <c r="E51" i="2"/>
  <c r="D51" i="2"/>
  <c r="F76" i="2"/>
  <c r="F101" i="2"/>
  <c r="B52" i="2"/>
  <c r="F70" i="2"/>
  <c r="E52" i="2"/>
  <c r="D52" i="2"/>
  <c r="F77" i="2"/>
  <c r="F102" i="2"/>
  <c r="B53" i="2"/>
  <c r="F71" i="2"/>
  <c r="E53" i="2"/>
  <c r="D53" i="2"/>
  <c r="F78" i="2"/>
  <c r="F103" i="2"/>
  <c r="B54" i="2"/>
  <c r="F72" i="2"/>
  <c r="E54" i="2"/>
  <c r="D54" i="2"/>
  <c r="F79" i="2"/>
  <c r="F104" i="2"/>
  <c r="F117" i="2"/>
  <c r="C256" i="2"/>
  <c r="F32" i="2"/>
  <c r="F26" i="2"/>
  <c r="G26" i="2"/>
  <c r="H26" i="2"/>
  <c r="I26" i="2"/>
  <c r="F27" i="2"/>
  <c r="G27" i="2"/>
  <c r="H27" i="2"/>
  <c r="I27" i="2"/>
  <c r="F28" i="2"/>
  <c r="G28" i="2"/>
  <c r="H28" i="2"/>
  <c r="I28" i="2"/>
  <c r="F29" i="2"/>
  <c r="G29" i="2"/>
  <c r="H29" i="2"/>
  <c r="I29" i="2"/>
  <c r="F30" i="2"/>
  <c r="G30" i="2"/>
  <c r="H30" i="2"/>
  <c r="I30" i="2"/>
  <c r="F31" i="2"/>
  <c r="G31" i="2"/>
  <c r="H31" i="2"/>
  <c r="I31" i="2"/>
  <c r="I32" i="2"/>
  <c r="H32" i="2"/>
  <c r="G32" i="2"/>
  <c r="D38" i="2"/>
  <c r="E38" i="2"/>
  <c r="F33" i="2"/>
  <c r="I33" i="2"/>
  <c r="H33" i="2"/>
  <c r="G33" i="2"/>
  <c r="D39" i="2"/>
  <c r="B42" i="2"/>
  <c r="F93" i="2"/>
  <c r="F94" i="2"/>
  <c r="F95" i="2"/>
  <c r="F96" i="2"/>
  <c r="F97" i="2"/>
  <c r="F113" i="2"/>
  <c r="G66" i="2"/>
  <c r="G67" i="2"/>
  <c r="G68" i="2"/>
  <c r="G75" i="2"/>
  <c r="G100" i="2"/>
  <c r="G69" i="2"/>
  <c r="G76" i="2"/>
  <c r="G101" i="2"/>
  <c r="G70" i="2"/>
  <c r="G77" i="2"/>
  <c r="G102" i="2"/>
  <c r="G71" i="2"/>
  <c r="G78" i="2"/>
  <c r="G103" i="2"/>
  <c r="G72" i="2"/>
  <c r="G79" i="2"/>
  <c r="G104" i="2"/>
  <c r="G117" i="2"/>
  <c r="G93" i="2"/>
  <c r="G94" i="2"/>
  <c r="G95" i="2"/>
  <c r="G96" i="2"/>
  <c r="G97" i="2"/>
  <c r="G113" i="2"/>
  <c r="H66" i="2"/>
  <c r="H67" i="2"/>
  <c r="H68" i="2"/>
  <c r="H75" i="2"/>
  <c r="H100" i="2"/>
  <c r="H69" i="2"/>
  <c r="H76" i="2"/>
  <c r="H101" i="2"/>
  <c r="H70" i="2"/>
  <c r="H77" i="2"/>
  <c r="H102" i="2"/>
  <c r="H71" i="2"/>
  <c r="H78" i="2"/>
  <c r="H103" i="2"/>
  <c r="H72" i="2"/>
  <c r="H79" i="2"/>
  <c r="H104" i="2"/>
  <c r="H117" i="2"/>
  <c r="H93" i="2"/>
  <c r="H94" i="2"/>
  <c r="H95" i="2"/>
  <c r="H96" i="2"/>
  <c r="H97" i="2"/>
  <c r="H113" i="2"/>
  <c r="I66" i="2"/>
  <c r="I67" i="2"/>
  <c r="I68" i="2"/>
  <c r="I75" i="2"/>
  <c r="I100" i="2"/>
  <c r="I69" i="2"/>
  <c r="I76" i="2"/>
  <c r="I101" i="2"/>
  <c r="I70" i="2"/>
  <c r="I77" i="2"/>
  <c r="I102" i="2"/>
  <c r="I71" i="2"/>
  <c r="I78" i="2"/>
  <c r="I103" i="2"/>
  <c r="I72" i="2"/>
  <c r="I79" i="2"/>
  <c r="I104" i="2"/>
  <c r="I117" i="2"/>
  <c r="I93" i="2"/>
  <c r="I94" i="2"/>
  <c r="I95" i="2"/>
  <c r="I96" i="2"/>
  <c r="I97" i="2"/>
  <c r="I113" i="2"/>
  <c r="J66" i="2"/>
  <c r="J67" i="2"/>
  <c r="J68" i="2"/>
  <c r="J75" i="2"/>
  <c r="J100" i="2"/>
  <c r="J69" i="2"/>
  <c r="J76" i="2"/>
  <c r="J101" i="2"/>
  <c r="J70" i="2"/>
  <c r="J77" i="2"/>
  <c r="J102" i="2"/>
  <c r="J71" i="2"/>
  <c r="J78" i="2"/>
  <c r="J103" i="2"/>
  <c r="J72" i="2"/>
  <c r="J79" i="2"/>
  <c r="J104" i="2"/>
  <c r="J117" i="2"/>
  <c r="J93" i="2"/>
  <c r="J94" i="2"/>
  <c r="J95" i="2"/>
  <c r="J96" i="2"/>
  <c r="J97" i="2"/>
  <c r="J113" i="2"/>
  <c r="K66" i="2"/>
  <c r="K67" i="2"/>
  <c r="K68" i="2"/>
  <c r="K75" i="2"/>
  <c r="K100" i="2"/>
  <c r="K69" i="2"/>
  <c r="K76" i="2"/>
  <c r="K101" i="2"/>
  <c r="K70" i="2"/>
  <c r="K77" i="2"/>
  <c r="K102" i="2"/>
  <c r="K71" i="2"/>
  <c r="K78" i="2"/>
  <c r="K103" i="2"/>
  <c r="K72" i="2"/>
  <c r="K79" i="2"/>
  <c r="K104" i="2"/>
  <c r="K117" i="2"/>
  <c r="K93" i="2"/>
  <c r="K94" i="2"/>
  <c r="K95" i="2"/>
  <c r="K96" i="2"/>
  <c r="K97" i="2"/>
  <c r="K113" i="2"/>
  <c r="L66" i="2"/>
  <c r="L67" i="2"/>
  <c r="L68" i="2"/>
  <c r="L75" i="2"/>
  <c r="L100" i="2"/>
  <c r="L69" i="2"/>
  <c r="L76" i="2"/>
  <c r="L101" i="2"/>
  <c r="L70" i="2"/>
  <c r="L77" i="2"/>
  <c r="L102" i="2"/>
  <c r="L71" i="2"/>
  <c r="L78" i="2"/>
  <c r="L103" i="2"/>
  <c r="L72" i="2"/>
  <c r="L79" i="2"/>
  <c r="L104" i="2"/>
  <c r="L117" i="2"/>
  <c r="L93" i="2"/>
  <c r="L94" i="2"/>
  <c r="L95" i="2"/>
  <c r="L96" i="2"/>
  <c r="L97" i="2"/>
  <c r="L113" i="2"/>
  <c r="M66" i="2"/>
  <c r="M67" i="2"/>
  <c r="M68" i="2"/>
  <c r="M75" i="2"/>
  <c r="M100" i="2"/>
  <c r="M69" i="2"/>
  <c r="M76" i="2"/>
  <c r="M101" i="2"/>
  <c r="M70" i="2"/>
  <c r="M77" i="2"/>
  <c r="M102" i="2"/>
  <c r="M71" i="2"/>
  <c r="M78" i="2"/>
  <c r="M103" i="2"/>
  <c r="M72" i="2"/>
  <c r="M79" i="2"/>
  <c r="M104" i="2"/>
  <c r="M117" i="2"/>
  <c r="M93" i="2"/>
  <c r="M94" i="2"/>
  <c r="M95" i="2"/>
  <c r="M96" i="2"/>
  <c r="M97" i="2"/>
  <c r="M113" i="2"/>
  <c r="N66" i="2"/>
  <c r="N67" i="2"/>
  <c r="N68" i="2"/>
  <c r="N75" i="2"/>
  <c r="N100" i="2"/>
  <c r="N69" i="2"/>
  <c r="N76" i="2"/>
  <c r="N101" i="2"/>
  <c r="N70" i="2"/>
  <c r="N77" i="2"/>
  <c r="N102" i="2"/>
  <c r="N71" i="2"/>
  <c r="N78" i="2"/>
  <c r="N103" i="2"/>
  <c r="N72" i="2"/>
  <c r="N79" i="2"/>
  <c r="N104" i="2"/>
  <c r="N117" i="2"/>
  <c r="N93" i="2"/>
  <c r="N94" i="2"/>
  <c r="N95" i="2"/>
  <c r="N96" i="2"/>
  <c r="N97" i="2"/>
  <c r="N113" i="2"/>
  <c r="O66" i="2"/>
  <c r="O67" i="2"/>
  <c r="O68" i="2"/>
  <c r="O75" i="2"/>
  <c r="O100" i="2"/>
  <c r="O69" i="2"/>
  <c r="O76" i="2"/>
  <c r="O101" i="2"/>
  <c r="O70" i="2"/>
  <c r="O77" i="2"/>
  <c r="O102" i="2"/>
  <c r="O71" i="2"/>
  <c r="O78" i="2"/>
  <c r="O103" i="2"/>
  <c r="O72" i="2"/>
  <c r="O79" i="2"/>
  <c r="O104" i="2"/>
  <c r="O117" i="2"/>
  <c r="O93" i="2"/>
  <c r="O94" i="2"/>
  <c r="O95" i="2"/>
  <c r="O96" i="2"/>
  <c r="O97" i="2"/>
  <c r="O113" i="2"/>
  <c r="P66" i="2"/>
  <c r="P67" i="2"/>
  <c r="P68" i="2"/>
  <c r="P75" i="2"/>
  <c r="P100" i="2"/>
  <c r="P69" i="2"/>
  <c r="P76" i="2"/>
  <c r="P101" i="2"/>
  <c r="P70" i="2"/>
  <c r="P77" i="2"/>
  <c r="P102" i="2"/>
  <c r="P71" i="2"/>
  <c r="P78" i="2"/>
  <c r="P103" i="2"/>
  <c r="P72" i="2"/>
  <c r="P79" i="2"/>
  <c r="P104" i="2"/>
  <c r="P117" i="2"/>
  <c r="P93" i="2"/>
  <c r="P94" i="2"/>
  <c r="P95" i="2"/>
  <c r="P96" i="2"/>
  <c r="P97" i="2"/>
  <c r="P113" i="2"/>
  <c r="Q66" i="2"/>
  <c r="Q67" i="2"/>
  <c r="Q68" i="2"/>
  <c r="Q75" i="2"/>
  <c r="Q100" i="2"/>
  <c r="Q69" i="2"/>
  <c r="Q76" i="2"/>
  <c r="Q101" i="2"/>
  <c r="Q70" i="2"/>
  <c r="Q77" i="2"/>
  <c r="Q102" i="2"/>
  <c r="Q71" i="2"/>
  <c r="Q78" i="2"/>
  <c r="Q103" i="2"/>
  <c r="Q72" i="2"/>
  <c r="Q79" i="2"/>
  <c r="Q104" i="2"/>
  <c r="Q117" i="2"/>
  <c r="Q93" i="2"/>
  <c r="Q94" i="2"/>
  <c r="Q95" i="2"/>
  <c r="Q96" i="2"/>
  <c r="Q97" i="2"/>
  <c r="Q113" i="2"/>
  <c r="R66" i="2"/>
  <c r="R67" i="2"/>
  <c r="R68" i="2"/>
  <c r="R75" i="2"/>
  <c r="R100" i="2"/>
  <c r="R69" i="2"/>
  <c r="R76" i="2"/>
  <c r="R101" i="2"/>
  <c r="R70" i="2"/>
  <c r="R77" i="2"/>
  <c r="R102" i="2"/>
  <c r="R71" i="2"/>
  <c r="R78" i="2"/>
  <c r="R103" i="2"/>
  <c r="R72" i="2"/>
  <c r="R79" i="2"/>
  <c r="R104" i="2"/>
  <c r="R117" i="2"/>
  <c r="R93" i="2"/>
  <c r="R94" i="2"/>
  <c r="R95" i="2"/>
  <c r="R96" i="2"/>
  <c r="R97" i="2"/>
  <c r="R113" i="2"/>
  <c r="S66" i="2"/>
  <c r="S67" i="2"/>
  <c r="S68" i="2"/>
  <c r="S75" i="2"/>
  <c r="S100" i="2"/>
  <c r="S69" i="2"/>
  <c r="S76" i="2"/>
  <c r="S101" i="2"/>
  <c r="S70" i="2"/>
  <c r="S77" i="2"/>
  <c r="S102" i="2"/>
  <c r="S71" i="2"/>
  <c r="S78" i="2"/>
  <c r="S103" i="2"/>
  <c r="S72" i="2"/>
  <c r="S79" i="2"/>
  <c r="S104" i="2"/>
  <c r="S117" i="2"/>
  <c r="S93" i="2"/>
  <c r="S94" i="2"/>
  <c r="S95" i="2"/>
  <c r="S96" i="2"/>
  <c r="S97" i="2"/>
  <c r="S113" i="2"/>
  <c r="T66" i="2"/>
  <c r="T67" i="2"/>
  <c r="T68" i="2"/>
  <c r="T75" i="2"/>
  <c r="T100" i="2"/>
  <c r="T69" i="2"/>
  <c r="T76" i="2"/>
  <c r="T101" i="2"/>
  <c r="T70" i="2"/>
  <c r="T77" i="2"/>
  <c r="T102" i="2"/>
  <c r="T71" i="2"/>
  <c r="T78" i="2"/>
  <c r="T103" i="2"/>
  <c r="T72" i="2"/>
  <c r="T79" i="2"/>
  <c r="T104" i="2"/>
  <c r="T117" i="2"/>
  <c r="T93" i="2"/>
  <c r="T94" i="2"/>
  <c r="T95" i="2"/>
  <c r="T96" i="2"/>
  <c r="T97" i="2"/>
  <c r="T113" i="2"/>
  <c r="U66" i="2"/>
  <c r="U67" i="2"/>
  <c r="U68" i="2"/>
  <c r="U75" i="2"/>
  <c r="U100" i="2"/>
  <c r="U69" i="2"/>
  <c r="U76" i="2"/>
  <c r="U101" i="2"/>
  <c r="U70" i="2"/>
  <c r="U77" i="2"/>
  <c r="U102" i="2"/>
  <c r="U71" i="2"/>
  <c r="U78" i="2"/>
  <c r="U103" i="2"/>
  <c r="U72" i="2"/>
  <c r="U79" i="2"/>
  <c r="U104" i="2"/>
  <c r="U117" i="2"/>
  <c r="U93" i="2"/>
  <c r="U94" i="2"/>
  <c r="U95" i="2"/>
  <c r="U96" i="2"/>
  <c r="U97" i="2"/>
  <c r="U113" i="2"/>
  <c r="V66" i="2"/>
  <c r="V67" i="2"/>
  <c r="V68" i="2"/>
  <c r="V75" i="2"/>
  <c r="V100" i="2"/>
  <c r="V69" i="2"/>
  <c r="V76" i="2"/>
  <c r="V101" i="2"/>
  <c r="V70" i="2"/>
  <c r="V77" i="2"/>
  <c r="V102" i="2"/>
  <c r="V71" i="2"/>
  <c r="V78" i="2"/>
  <c r="V103" i="2"/>
  <c r="V72" i="2"/>
  <c r="V79" i="2"/>
  <c r="V104" i="2"/>
  <c r="V117" i="2"/>
  <c r="V93" i="2"/>
  <c r="V94" i="2"/>
  <c r="V95" i="2"/>
  <c r="V96" i="2"/>
  <c r="V97" i="2"/>
  <c r="V113" i="2"/>
  <c r="W66" i="2"/>
  <c r="W67" i="2"/>
  <c r="W68" i="2"/>
  <c r="W75" i="2"/>
  <c r="W100" i="2"/>
  <c r="W69" i="2"/>
  <c r="W76" i="2"/>
  <c r="W101" i="2"/>
  <c r="W70" i="2"/>
  <c r="W77" i="2"/>
  <c r="W102" i="2"/>
  <c r="W71" i="2"/>
  <c r="W78" i="2"/>
  <c r="W103" i="2"/>
  <c r="W72" i="2"/>
  <c r="W79" i="2"/>
  <c r="W104" i="2"/>
  <c r="W117" i="2"/>
  <c r="W93" i="2"/>
  <c r="W94" i="2"/>
  <c r="W95" i="2"/>
  <c r="W96" i="2"/>
  <c r="W97" i="2"/>
  <c r="W113" i="2"/>
  <c r="X66" i="2"/>
  <c r="X67" i="2"/>
  <c r="X68" i="2"/>
  <c r="X75" i="2"/>
  <c r="X100" i="2"/>
  <c r="X69" i="2"/>
  <c r="X76" i="2"/>
  <c r="X101" i="2"/>
  <c r="X70" i="2"/>
  <c r="X77" i="2"/>
  <c r="X102" i="2"/>
  <c r="X71" i="2"/>
  <c r="X78" i="2"/>
  <c r="X103" i="2"/>
  <c r="X72" i="2"/>
  <c r="X79" i="2"/>
  <c r="X104" i="2"/>
  <c r="X117" i="2"/>
  <c r="X93" i="2"/>
  <c r="X94" i="2"/>
  <c r="X95" i="2"/>
  <c r="X96" i="2"/>
  <c r="X97" i="2"/>
  <c r="X113" i="2"/>
  <c r="Y66" i="2"/>
  <c r="Y67" i="2"/>
  <c r="Y68" i="2"/>
  <c r="Y75" i="2"/>
  <c r="Y100" i="2"/>
  <c r="Y69" i="2"/>
  <c r="Y76" i="2"/>
  <c r="Y101" i="2"/>
  <c r="Y70" i="2"/>
  <c r="Y77" i="2"/>
  <c r="Y102" i="2"/>
  <c r="Y71" i="2"/>
  <c r="Y78" i="2"/>
  <c r="Y103" i="2"/>
  <c r="Y72" i="2"/>
  <c r="Y79" i="2"/>
  <c r="Y104" i="2"/>
  <c r="Y117" i="2"/>
  <c r="Y93" i="2"/>
  <c r="Y94" i="2"/>
  <c r="Y95" i="2"/>
  <c r="Y96" i="2"/>
  <c r="Y97" i="2"/>
  <c r="Y113" i="2"/>
  <c r="Z66" i="2"/>
  <c r="Z67" i="2"/>
  <c r="Z68" i="2"/>
  <c r="Z75" i="2"/>
  <c r="Z100" i="2"/>
  <c r="Z69" i="2"/>
  <c r="Z76" i="2"/>
  <c r="Z101" i="2"/>
  <c r="Z70" i="2"/>
  <c r="Z77" i="2"/>
  <c r="Z102" i="2"/>
  <c r="Z71" i="2"/>
  <c r="Z78" i="2"/>
  <c r="Z103" i="2"/>
  <c r="Z72" i="2"/>
  <c r="Z79" i="2"/>
  <c r="Z104" i="2"/>
  <c r="Z117" i="2"/>
  <c r="Z93" i="2"/>
  <c r="Z94" i="2"/>
  <c r="Z95" i="2"/>
  <c r="Z96" i="2"/>
  <c r="Z97" i="2"/>
  <c r="Z113" i="2"/>
  <c r="AA66" i="2"/>
  <c r="AA67" i="2"/>
  <c r="AA68" i="2"/>
  <c r="AA75" i="2"/>
  <c r="AA100" i="2"/>
  <c r="AA69" i="2"/>
  <c r="AA76" i="2"/>
  <c r="AA101" i="2"/>
  <c r="AA70" i="2"/>
  <c r="AA77" i="2"/>
  <c r="AA102" i="2"/>
  <c r="AA71" i="2"/>
  <c r="AA78" i="2"/>
  <c r="AA103" i="2"/>
  <c r="AA72" i="2"/>
  <c r="AA79" i="2"/>
  <c r="AA104" i="2"/>
  <c r="AA117" i="2"/>
  <c r="AA93" i="2"/>
  <c r="AA94" i="2"/>
  <c r="AA95" i="2"/>
  <c r="AA96" i="2"/>
  <c r="AA97" i="2"/>
  <c r="AA113" i="2"/>
  <c r="AB66" i="2"/>
  <c r="AB67" i="2"/>
  <c r="AB68" i="2"/>
  <c r="AB75" i="2"/>
  <c r="AB100" i="2"/>
  <c r="AB69" i="2"/>
  <c r="AB76" i="2"/>
  <c r="AB101" i="2"/>
  <c r="AB70" i="2"/>
  <c r="AB77" i="2"/>
  <c r="AB102" i="2"/>
  <c r="AB71" i="2"/>
  <c r="AB78" i="2"/>
  <c r="AB103" i="2"/>
  <c r="AB72" i="2"/>
  <c r="AB79" i="2"/>
  <c r="AB104" i="2"/>
  <c r="AB117" i="2"/>
  <c r="AB93" i="2"/>
  <c r="AB94" i="2"/>
  <c r="AB95" i="2"/>
  <c r="AB96" i="2"/>
  <c r="AB97" i="2"/>
  <c r="AB113" i="2"/>
  <c r="AC66" i="2"/>
  <c r="AC67" i="2"/>
  <c r="AC68" i="2"/>
  <c r="AC75" i="2"/>
  <c r="AC100" i="2"/>
  <c r="AC69" i="2"/>
  <c r="AC76" i="2"/>
  <c r="AC101" i="2"/>
  <c r="AC70" i="2"/>
  <c r="AC77" i="2"/>
  <c r="AC102" i="2"/>
  <c r="AC71" i="2"/>
  <c r="AC78" i="2"/>
  <c r="AC103" i="2"/>
  <c r="AC72" i="2"/>
  <c r="AC79" i="2"/>
  <c r="AC104" i="2"/>
  <c r="AC117" i="2"/>
  <c r="AC93" i="2"/>
  <c r="AC94" i="2"/>
  <c r="AC95" i="2"/>
  <c r="AC96" i="2"/>
  <c r="AC97" i="2"/>
  <c r="AC113" i="2"/>
  <c r="AD66" i="2"/>
  <c r="AD67" i="2"/>
  <c r="AD68" i="2"/>
  <c r="AD75" i="2"/>
  <c r="AD100" i="2"/>
  <c r="AD69" i="2"/>
  <c r="AD76" i="2"/>
  <c r="AD101" i="2"/>
  <c r="AD70" i="2"/>
  <c r="AD77" i="2"/>
  <c r="AD102" i="2"/>
  <c r="AD71" i="2"/>
  <c r="AD78" i="2"/>
  <c r="AD103" i="2"/>
  <c r="AD72" i="2"/>
  <c r="AD79" i="2"/>
  <c r="AD104" i="2"/>
  <c r="AD117" i="2"/>
  <c r="AD93" i="2"/>
  <c r="AD94" i="2"/>
  <c r="AD95" i="2"/>
  <c r="AD96" i="2"/>
  <c r="AD97" i="2"/>
  <c r="AD113" i="2"/>
  <c r="AE66" i="2"/>
  <c r="AE67" i="2"/>
  <c r="AE68" i="2"/>
  <c r="AE75" i="2"/>
  <c r="AE100" i="2"/>
  <c r="AE69" i="2"/>
  <c r="AE76" i="2"/>
  <c r="AE101" i="2"/>
  <c r="AE70" i="2"/>
  <c r="AE77" i="2"/>
  <c r="AE102" i="2"/>
  <c r="AE71" i="2"/>
  <c r="AE78" i="2"/>
  <c r="AE103" i="2"/>
  <c r="AE72" i="2"/>
  <c r="AE79" i="2"/>
  <c r="AE104" i="2"/>
  <c r="AE117" i="2"/>
  <c r="AE93" i="2"/>
  <c r="AE94" i="2"/>
  <c r="AE95" i="2"/>
  <c r="AE96" i="2"/>
  <c r="AE97" i="2"/>
  <c r="AE113" i="2"/>
  <c r="AF66" i="2"/>
  <c r="AF67" i="2"/>
  <c r="AF68" i="2"/>
  <c r="AF75" i="2"/>
  <c r="AF100" i="2"/>
  <c r="AF69" i="2"/>
  <c r="AF76" i="2"/>
  <c r="AF101" i="2"/>
  <c r="AF70" i="2"/>
  <c r="AF77" i="2"/>
  <c r="AF102" i="2"/>
  <c r="AF71" i="2"/>
  <c r="AF78" i="2"/>
  <c r="AF103" i="2"/>
  <c r="AF72" i="2"/>
  <c r="AF79" i="2"/>
  <c r="AF104" i="2"/>
  <c r="AF117" i="2"/>
  <c r="AF93" i="2"/>
  <c r="AF94" i="2"/>
  <c r="AF95" i="2"/>
  <c r="AF96" i="2"/>
  <c r="AF97" i="2"/>
  <c r="AF113" i="2"/>
  <c r="AG66" i="2"/>
  <c r="AG67" i="2"/>
  <c r="AG68" i="2"/>
  <c r="AG75" i="2"/>
  <c r="AG100" i="2"/>
  <c r="AG69" i="2"/>
  <c r="AG76" i="2"/>
  <c r="AG101" i="2"/>
  <c r="AG70" i="2"/>
  <c r="AG77" i="2"/>
  <c r="AG102" i="2"/>
  <c r="AG71" i="2"/>
  <c r="AG78" i="2"/>
  <c r="AG103" i="2"/>
  <c r="AG72" i="2"/>
  <c r="AG79" i="2"/>
  <c r="AG104" i="2"/>
  <c r="AG117" i="2"/>
  <c r="AG93" i="2"/>
  <c r="AG94" i="2"/>
  <c r="AG95" i="2"/>
  <c r="AG96" i="2"/>
  <c r="AG97" i="2"/>
  <c r="AG113" i="2"/>
  <c r="AH66" i="2"/>
  <c r="AH67" i="2"/>
  <c r="AH68" i="2"/>
  <c r="AH75" i="2"/>
  <c r="AH100" i="2"/>
  <c r="AH69" i="2"/>
  <c r="AH76" i="2"/>
  <c r="AH101" i="2"/>
  <c r="AH70" i="2"/>
  <c r="AH77" i="2"/>
  <c r="AH102" i="2"/>
  <c r="AH71" i="2"/>
  <c r="AH78" i="2"/>
  <c r="AH103" i="2"/>
  <c r="AH72" i="2"/>
  <c r="AH79" i="2"/>
  <c r="AH104" i="2"/>
  <c r="AH117" i="2"/>
  <c r="AH93" i="2"/>
  <c r="AH94" i="2"/>
  <c r="AH95" i="2"/>
  <c r="AH96" i="2"/>
  <c r="AH97" i="2"/>
  <c r="AH113" i="2"/>
  <c r="AI66" i="2"/>
  <c r="AI67" i="2"/>
  <c r="AI68" i="2"/>
  <c r="AI75" i="2"/>
  <c r="AI100" i="2"/>
  <c r="AI69" i="2"/>
  <c r="AI76" i="2"/>
  <c r="AI101" i="2"/>
  <c r="AI70" i="2"/>
  <c r="AI77" i="2"/>
  <c r="AI102" i="2"/>
  <c r="AI71" i="2"/>
  <c r="AI78" i="2"/>
  <c r="AI103" i="2"/>
  <c r="AI72" i="2"/>
  <c r="AI79" i="2"/>
  <c r="AI104" i="2"/>
  <c r="AI117" i="2"/>
  <c r="AI93" i="2"/>
  <c r="AI94" i="2"/>
  <c r="AI95" i="2"/>
  <c r="AI96" i="2"/>
  <c r="AI97" i="2"/>
  <c r="AI113" i="2"/>
  <c r="AJ66" i="2"/>
  <c r="AJ67" i="2"/>
  <c r="AJ68" i="2"/>
  <c r="AJ75" i="2"/>
  <c r="AJ100" i="2"/>
  <c r="AJ69" i="2"/>
  <c r="AJ76" i="2"/>
  <c r="AJ101" i="2"/>
  <c r="AJ70" i="2"/>
  <c r="AJ77" i="2"/>
  <c r="AJ102" i="2"/>
  <c r="AJ71" i="2"/>
  <c r="AJ78" i="2"/>
  <c r="AJ103" i="2"/>
  <c r="AJ72" i="2"/>
  <c r="AJ79" i="2"/>
  <c r="AJ104" i="2"/>
  <c r="AJ117" i="2"/>
  <c r="AJ93" i="2"/>
  <c r="AJ94" i="2"/>
  <c r="AJ95" i="2"/>
  <c r="AJ96" i="2"/>
  <c r="AJ97" i="2"/>
  <c r="AJ113" i="2"/>
  <c r="AK66" i="2"/>
  <c r="AK67" i="2"/>
  <c r="AK68" i="2"/>
  <c r="AK75" i="2"/>
  <c r="AK100" i="2"/>
  <c r="AK69" i="2"/>
  <c r="AK76" i="2"/>
  <c r="AK101" i="2"/>
  <c r="AK70" i="2"/>
  <c r="AK77" i="2"/>
  <c r="AK102" i="2"/>
  <c r="AK71" i="2"/>
  <c r="AK78" i="2"/>
  <c r="AK103" i="2"/>
  <c r="AK72" i="2"/>
  <c r="AK79" i="2"/>
  <c r="AK104" i="2"/>
  <c r="AK117" i="2"/>
  <c r="AK93" i="2"/>
  <c r="AK94" i="2"/>
  <c r="AK95" i="2"/>
  <c r="AK96" i="2"/>
  <c r="AK97" i="2"/>
  <c r="AK113" i="2"/>
  <c r="AL66" i="2"/>
  <c r="AL67" i="2"/>
  <c r="AL68" i="2"/>
  <c r="AL75" i="2"/>
  <c r="AL100" i="2"/>
  <c r="AL69" i="2"/>
  <c r="AL76" i="2"/>
  <c r="AL101" i="2"/>
  <c r="AL70" i="2"/>
  <c r="AL77" i="2"/>
  <c r="AL102" i="2"/>
  <c r="AL71" i="2"/>
  <c r="AL78" i="2"/>
  <c r="AL103" i="2"/>
  <c r="AL72" i="2"/>
  <c r="AL79" i="2"/>
  <c r="AL104" i="2"/>
  <c r="AL117" i="2"/>
  <c r="AL93" i="2"/>
  <c r="AL94" i="2"/>
  <c r="AL95" i="2"/>
  <c r="AL96" i="2"/>
  <c r="AL97" i="2"/>
  <c r="AL113" i="2"/>
  <c r="AM66" i="2"/>
  <c r="AM67" i="2"/>
  <c r="AM68" i="2"/>
  <c r="AM75" i="2"/>
  <c r="AM100" i="2"/>
  <c r="AM69" i="2"/>
  <c r="AM76" i="2"/>
  <c r="AM101" i="2"/>
  <c r="AM70" i="2"/>
  <c r="AM77" i="2"/>
  <c r="AM102" i="2"/>
  <c r="AM71" i="2"/>
  <c r="AM78" i="2"/>
  <c r="AM103" i="2"/>
  <c r="AM72" i="2"/>
  <c r="AM79" i="2"/>
  <c r="AM104" i="2"/>
  <c r="AM117" i="2"/>
  <c r="AM93" i="2"/>
  <c r="AM94" i="2"/>
  <c r="AM95" i="2"/>
  <c r="AM96" i="2"/>
  <c r="AM97" i="2"/>
  <c r="AM113" i="2"/>
  <c r="AN66" i="2"/>
  <c r="AN67" i="2"/>
  <c r="AN68" i="2"/>
  <c r="AN75" i="2"/>
  <c r="AN100" i="2"/>
  <c r="AN69" i="2"/>
  <c r="AN76" i="2"/>
  <c r="AN101" i="2"/>
  <c r="AN70" i="2"/>
  <c r="AN77" i="2"/>
  <c r="AN102" i="2"/>
  <c r="AN71" i="2"/>
  <c r="AN78" i="2"/>
  <c r="AN103" i="2"/>
  <c r="AN72" i="2"/>
  <c r="AN79" i="2"/>
  <c r="AN104" i="2"/>
  <c r="AN117" i="2"/>
  <c r="AN93" i="2"/>
  <c r="AN94" i="2"/>
  <c r="AN95" i="2"/>
  <c r="AN96" i="2"/>
  <c r="AN97" i="2"/>
  <c r="AN113" i="2"/>
  <c r="AO66" i="2"/>
  <c r="AO67" i="2"/>
  <c r="AO68" i="2"/>
  <c r="AO75" i="2"/>
  <c r="AO100" i="2"/>
  <c r="AO69" i="2"/>
  <c r="AO76" i="2"/>
  <c r="AO101" i="2"/>
  <c r="AO70" i="2"/>
  <c r="AO77" i="2"/>
  <c r="AO102" i="2"/>
  <c r="AO71" i="2"/>
  <c r="AO78" i="2"/>
  <c r="AO103" i="2"/>
  <c r="AO72" i="2"/>
  <c r="AO79" i="2"/>
  <c r="AO104" i="2"/>
  <c r="AO117" i="2"/>
  <c r="AO93" i="2"/>
  <c r="AO94" i="2"/>
  <c r="AO95" i="2"/>
  <c r="AO96" i="2"/>
  <c r="AO97" i="2"/>
  <c r="AO113" i="2"/>
  <c r="AP66" i="2"/>
  <c r="AP67" i="2"/>
  <c r="AP68" i="2"/>
  <c r="AP75" i="2"/>
  <c r="AP100" i="2"/>
  <c r="AP69" i="2"/>
  <c r="AP76" i="2"/>
  <c r="AP101" i="2"/>
  <c r="AP70" i="2"/>
  <c r="AP77" i="2"/>
  <c r="AP102" i="2"/>
  <c r="AP71" i="2"/>
  <c r="AP78" i="2"/>
  <c r="AP103" i="2"/>
  <c r="AP72" i="2"/>
  <c r="AP79" i="2"/>
  <c r="AP104" i="2"/>
  <c r="AP117" i="2"/>
  <c r="AP93" i="2"/>
  <c r="AP94" i="2"/>
  <c r="AP95" i="2"/>
  <c r="AP96" i="2"/>
  <c r="AP97" i="2"/>
  <c r="AP113" i="2"/>
  <c r="AQ66" i="2"/>
  <c r="AQ67" i="2"/>
  <c r="AQ68" i="2"/>
  <c r="AQ75" i="2"/>
  <c r="AQ100" i="2"/>
  <c r="AQ69" i="2"/>
  <c r="AQ76" i="2"/>
  <c r="AQ101" i="2"/>
  <c r="AQ70" i="2"/>
  <c r="AQ77" i="2"/>
  <c r="AQ102" i="2"/>
  <c r="AQ71" i="2"/>
  <c r="AQ78" i="2"/>
  <c r="AQ103" i="2"/>
  <c r="AQ72" i="2"/>
  <c r="AQ79" i="2"/>
  <c r="AQ104" i="2"/>
  <c r="AQ117" i="2"/>
  <c r="AQ93" i="2"/>
  <c r="AQ94" i="2"/>
  <c r="AQ95" i="2"/>
  <c r="AQ96" i="2"/>
  <c r="AQ97" i="2"/>
  <c r="AQ113" i="2"/>
  <c r="AR66" i="2"/>
  <c r="AR67" i="2"/>
  <c r="AR68" i="2"/>
  <c r="AR75" i="2"/>
  <c r="AR100" i="2"/>
  <c r="AR69" i="2"/>
  <c r="AR76" i="2"/>
  <c r="AR101" i="2"/>
  <c r="AR70" i="2"/>
  <c r="AR77" i="2"/>
  <c r="AR102" i="2"/>
  <c r="AR71" i="2"/>
  <c r="AR78" i="2"/>
  <c r="AR103" i="2"/>
  <c r="AR72" i="2"/>
  <c r="AR79" i="2"/>
  <c r="AR104" i="2"/>
  <c r="AR117" i="2"/>
  <c r="AR93" i="2"/>
  <c r="AR94" i="2"/>
  <c r="AR95" i="2"/>
  <c r="AR96" i="2"/>
  <c r="AR97" i="2"/>
  <c r="AR113" i="2"/>
  <c r="AS66" i="2"/>
  <c r="AS67" i="2"/>
  <c r="AS68" i="2"/>
  <c r="AS75" i="2"/>
  <c r="AS100" i="2"/>
  <c r="AS69" i="2"/>
  <c r="AS76" i="2"/>
  <c r="AS101" i="2"/>
  <c r="AS70" i="2"/>
  <c r="AS77" i="2"/>
  <c r="AS102" i="2"/>
  <c r="AS71" i="2"/>
  <c r="AS78" i="2"/>
  <c r="AS103" i="2"/>
  <c r="AS72" i="2"/>
  <c r="AS79" i="2"/>
  <c r="AS104" i="2"/>
  <c r="AS117" i="2"/>
  <c r="AS93" i="2"/>
  <c r="AS94" i="2"/>
  <c r="AS95" i="2"/>
  <c r="AS96" i="2"/>
  <c r="AS97" i="2"/>
  <c r="AS113" i="2"/>
  <c r="AT66" i="2"/>
  <c r="AT67" i="2"/>
  <c r="AT68" i="2"/>
  <c r="AT75" i="2"/>
  <c r="AT100" i="2"/>
  <c r="AT69" i="2"/>
  <c r="AT76" i="2"/>
  <c r="AT101" i="2"/>
  <c r="AT70" i="2"/>
  <c r="AT77" i="2"/>
  <c r="AT102" i="2"/>
  <c r="AT71" i="2"/>
  <c r="AT78" i="2"/>
  <c r="AT103" i="2"/>
  <c r="AT72" i="2"/>
  <c r="AT79" i="2"/>
  <c r="AT104" i="2"/>
  <c r="AT117" i="2"/>
  <c r="AT93" i="2"/>
  <c r="AT94" i="2"/>
  <c r="AT95" i="2"/>
  <c r="AT96" i="2"/>
  <c r="AT97" i="2"/>
  <c r="AT113" i="2"/>
  <c r="AU66" i="2"/>
  <c r="AU67" i="2"/>
  <c r="AU68" i="2"/>
  <c r="AU75" i="2"/>
  <c r="AU100" i="2"/>
  <c r="AU69" i="2"/>
  <c r="AU76" i="2"/>
  <c r="AU101" i="2"/>
  <c r="AU70" i="2"/>
  <c r="AU77" i="2"/>
  <c r="AU102" i="2"/>
  <c r="AU71" i="2"/>
  <c r="AU78" i="2"/>
  <c r="AU103" i="2"/>
  <c r="AU72" i="2"/>
  <c r="AU79" i="2"/>
  <c r="AU104" i="2"/>
  <c r="AU117" i="2"/>
  <c r="AU93" i="2"/>
  <c r="AU94" i="2"/>
  <c r="AU95" i="2"/>
  <c r="AU96" i="2"/>
  <c r="AU97" i="2"/>
  <c r="AU113" i="2"/>
  <c r="AV66" i="2"/>
  <c r="AV67" i="2"/>
  <c r="AV68" i="2"/>
  <c r="AV75" i="2"/>
  <c r="AV100" i="2"/>
  <c r="AV69" i="2"/>
  <c r="AV76" i="2"/>
  <c r="AV101" i="2"/>
  <c r="AV70" i="2"/>
  <c r="AV77" i="2"/>
  <c r="AV102" i="2"/>
  <c r="AV71" i="2"/>
  <c r="AV78" i="2"/>
  <c r="AV103" i="2"/>
  <c r="AV72" i="2"/>
  <c r="AV79" i="2"/>
  <c r="AV104" i="2"/>
  <c r="AV117" i="2"/>
  <c r="AV93" i="2"/>
  <c r="AV94" i="2"/>
  <c r="AV95" i="2"/>
  <c r="AV96" i="2"/>
  <c r="AV97" i="2"/>
  <c r="AV113" i="2"/>
  <c r="AW66" i="2"/>
  <c r="AW67" i="2"/>
  <c r="AW68" i="2"/>
  <c r="AW75" i="2"/>
  <c r="AW100" i="2"/>
  <c r="AW69" i="2"/>
  <c r="AW76" i="2"/>
  <c r="AW101" i="2"/>
  <c r="AW70" i="2"/>
  <c r="AW77" i="2"/>
  <c r="AW102" i="2"/>
  <c r="AW71" i="2"/>
  <c r="AW78" i="2"/>
  <c r="AW103" i="2"/>
  <c r="AW72" i="2"/>
  <c r="AW79" i="2"/>
  <c r="AW104" i="2"/>
  <c r="AW117" i="2"/>
  <c r="AW93" i="2"/>
  <c r="AW94" i="2"/>
  <c r="AW95" i="2"/>
  <c r="AW96" i="2"/>
  <c r="AW97" i="2"/>
  <c r="AW113" i="2"/>
  <c r="AX66" i="2"/>
  <c r="AX67" i="2"/>
  <c r="AX68" i="2"/>
  <c r="AX75" i="2"/>
  <c r="AX100" i="2"/>
  <c r="AX69" i="2"/>
  <c r="AX76" i="2"/>
  <c r="AX101" i="2"/>
  <c r="AX70" i="2"/>
  <c r="AX77" i="2"/>
  <c r="AX102" i="2"/>
  <c r="AX71" i="2"/>
  <c r="AX78" i="2"/>
  <c r="AX103" i="2"/>
  <c r="AX72" i="2"/>
  <c r="AX79" i="2"/>
  <c r="AX104" i="2"/>
  <c r="AX117" i="2"/>
  <c r="AX93" i="2"/>
  <c r="AX94" i="2"/>
  <c r="AX95" i="2"/>
  <c r="AX96" i="2"/>
  <c r="AX97" i="2"/>
  <c r="AX113" i="2"/>
  <c r="AY66" i="2"/>
  <c r="AY67" i="2"/>
  <c r="AY68" i="2"/>
  <c r="AY75" i="2"/>
  <c r="AY100" i="2"/>
  <c r="AY69" i="2"/>
  <c r="AY76" i="2"/>
  <c r="AY101" i="2"/>
  <c r="AY70" i="2"/>
  <c r="AY77" i="2"/>
  <c r="AY102" i="2"/>
  <c r="AY71" i="2"/>
  <c r="AY78" i="2"/>
  <c r="AY103" i="2"/>
  <c r="AY72" i="2"/>
  <c r="AY79" i="2"/>
  <c r="AY104" i="2"/>
  <c r="AY117" i="2"/>
  <c r="AY93" i="2"/>
  <c r="AY94" i="2"/>
  <c r="AY95" i="2"/>
  <c r="AY96" i="2"/>
  <c r="AY97" i="2"/>
  <c r="AY113" i="2"/>
  <c r="AZ66" i="2"/>
  <c r="AZ67" i="2"/>
  <c r="AZ68" i="2"/>
  <c r="AZ75" i="2"/>
  <c r="AZ100" i="2"/>
  <c r="AZ69" i="2"/>
  <c r="AZ76" i="2"/>
  <c r="AZ101" i="2"/>
  <c r="AZ70" i="2"/>
  <c r="AZ77" i="2"/>
  <c r="AZ102" i="2"/>
  <c r="AZ71" i="2"/>
  <c r="AZ78" i="2"/>
  <c r="AZ103" i="2"/>
  <c r="AZ72" i="2"/>
  <c r="AZ79" i="2"/>
  <c r="AZ104" i="2"/>
  <c r="AZ117" i="2"/>
  <c r="AZ93" i="2"/>
  <c r="AZ94" i="2"/>
  <c r="AZ95" i="2"/>
  <c r="AZ96" i="2"/>
  <c r="AZ97" i="2"/>
  <c r="AZ113" i="2"/>
  <c r="BA66" i="2"/>
  <c r="BA67" i="2"/>
  <c r="BA68" i="2"/>
  <c r="BA75" i="2"/>
  <c r="BA100" i="2"/>
  <c r="BA69" i="2"/>
  <c r="BA76" i="2"/>
  <c r="BA101" i="2"/>
  <c r="BA70" i="2"/>
  <c r="BA77" i="2"/>
  <c r="BA102" i="2"/>
  <c r="BA71" i="2"/>
  <c r="BA78" i="2"/>
  <c r="BA103" i="2"/>
  <c r="BA72" i="2"/>
  <c r="BA79" i="2"/>
  <c r="BA104" i="2"/>
  <c r="BA117" i="2"/>
  <c r="BA93" i="2"/>
  <c r="BA94" i="2"/>
  <c r="BA95" i="2"/>
  <c r="BA96" i="2"/>
  <c r="BA97" i="2"/>
  <c r="BA113" i="2"/>
  <c r="BB66" i="2"/>
  <c r="BB67" i="2"/>
  <c r="BB68" i="2"/>
  <c r="BB75" i="2"/>
  <c r="BB100" i="2"/>
  <c r="BB69" i="2"/>
  <c r="BB76" i="2"/>
  <c r="BB101" i="2"/>
  <c r="BB70" i="2"/>
  <c r="BB77" i="2"/>
  <c r="BB102" i="2"/>
  <c r="BB71" i="2"/>
  <c r="BB78" i="2"/>
  <c r="BB103" i="2"/>
  <c r="BB72" i="2"/>
  <c r="BB79" i="2"/>
  <c r="BB104" i="2"/>
  <c r="BB117" i="2"/>
  <c r="BB93" i="2"/>
  <c r="BB94" i="2"/>
  <c r="BB95" i="2"/>
  <c r="BB96" i="2"/>
  <c r="BB97" i="2"/>
  <c r="BB113" i="2"/>
  <c r="BC66" i="2"/>
  <c r="BC67" i="2"/>
  <c r="BC68" i="2"/>
  <c r="BC75" i="2"/>
  <c r="BC100" i="2"/>
  <c r="BC69" i="2"/>
  <c r="BC76" i="2"/>
  <c r="BC101" i="2"/>
  <c r="BC70" i="2"/>
  <c r="BC77" i="2"/>
  <c r="BC102" i="2"/>
  <c r="BC71" i="2"/>
  <c r="BC78" i="2"/>
  <c r="BC103" i="2"/>
  <c r="BC72" i="2"/>
  <c r="BC79" i="2"/>
  <c r="BC104" i="2"/>
  <c r="BC117" i="2"/>
  <c r="BC93" i="2"/>
  <c r="BC94" i="2"/>
  <c r="BC95" i="2"/>
  <c r="BC96" i="2"/>
  <c r="BC97" i="2"/>
  <c r="BC113" i="2"/>
  <c r="BD66" i="2"/>
  <c r="BD67" i="2"/>
  <c r="BD68" i="2"/>
  <c r="BD75" i="2"/>
  <c r="BD100" i="2"/>
  <c r="BD69" i="2"/>
  <c r="BD76" i="2"/>
  <c r="BD101" i="2"/>
  <c r="BD70" i="2"/>
  <c r="BD77" i="2"/>
  <c r="BD102" i="2"/>
  <c r="BD71" i="2"/>
  <c r="BD78" i="2"/>
  <c r="BD103" i="2"/>
  <c r="BD72" i="2"/>
  <c r="BD79" i="2"/>
  <c r="BD104" i="2"/>
  <c r="BD117" i="2"/>
  <c r="BD93" i="2"/>
  <c r="BD94" i="2"/>
  <c r="BD95" i="2"/>
  <c r="BD96" i="2"/>
  <c r="BD97" i="2"/>
  <c r="BD113" i="2"/>
  <c r="BE66" i="2"/>
  <c r="BE67" i="2"/>
  <c r="BE68" i="2"/>
  <c r="BE75" i="2"/>
  <c r="BE100" i="2"/>
  <c r="BE69" i="2"/>
  <c r="BE76" i="2"/>
  <c r="BE101" i="2"/>
  <c r="BE70" i="2"/>
  <c r="BE77" i="2"/>
  <c r="BE102" i="2"/>
  <c r="BE71" i="2"/>
  <c r="BE78" i="2"/>
  <c r="BE103" i="2"/>
  <c r="BE72" i="2"/>
  <c r="BE79" i="2"/>
  <c r="BE104" i="2"/>
  <c r="BE117" i="2"/>
  <c r="BE93" i="2"/>
  <c r="BE94" i="2"/>
  <c r="BE95" i="2"/>
  <c r="BE96" i="2"/>
  <c r="BE97" i="2"/>
  <c r="BE113" i="2"/>
  <c r="BF66" i="2"/>
  <c r="BF67" i="2"/>
  <c r="BF68" i="2"/>
  <c r="BF75" i="2"/>
  <c r="BF100" i="2"/>
  <c r="BF69" i="2"/>
  <c r="BF76" i="2"/>
  <c r="BF101" i="2"/>
  <c r="BF70" i="2"/>
  <c r="BF77" i="2"/>
  <c r="BF102" i="2"/>
  <c r="BF71" i="2"/>
  <c r="BF78" i="2"/>
  <c r="BF103" i="2"/>
  <c r="BF72" i="2"/>
  <c r="BF79" i="2"/>
  <c r="BF104" i="2"/>
  <c r="BF117" i="2"/>
  <c r="BF93" i="2"/>
  <c r="BF94" i="2"/>
  <c r="BF95" i="2"/>
  <c r="BF96" i="2"/>
  <c r="BF97" i="2"/>
  <c r="BF113" i="2"/>
  <c r="BG66" i="2"/>
  <c r="BG67" i="2"/>
  <c r="BG68" i="2"/>
  <c r="BG75" i="2"/>
  <c r="BG100" i="2"/>
  <c r="BG69" i="2"/>
  <c r="BG76" i="2"/>
  <c r="BG101" i="2"/>
  <c r="BG70" i="2"/>
  <c r="BG77" i="2"/>
  <c r="BG102" i="2"/>
  <c r="BG71" i="2"/>
  <c r="BG78" i="2"/>
  <c r="BG103" i="2"/>
  <c r="BG72" i="2"/>
  <c r="BG79" i="2"/>
  <c r="BG104" i="2"/>
  <c r="BG117" i="2"/>
  <c r="BG93" i="2"/>
  <c r="BG94" i="2"/>
  <c r="BG95" i="2"/>
  <c r="BG96" i="2"/>
  <c r="BG97" i="2"/>
  <c r="BG113" i="2"/>
  <c r="BH66" i="2"/>
  <c r="BH67" i="2"/>
  <c r="BH68" i="2"/>
  <c r="BH75" i="2"/>
  <c r="BH100" i="2"/>
  <c r="BH69" i="2"/>
  <c r="BH76" i="2"/>
  <c r="BH101" i="2"/>
  <c r="BH70" i="2"/>
  <c r="BH77" i="2"/>
  <c r="BH102" i="2"/>
  <c r="BH71" i="2"/>
  <c r="BH78" i="2"/>
  <c r="BH103" i="2"/>
  <c r="BH72" i="2"/>
  <c r="BH79" i="2"/>
  <c r="BH104" i="2"/>
  <c r="BH117" i="2"/>
  <c r="BH93" i="2"/>
  <c r="BH94" i="2"/>
  <c r="BH95" i="2"/>
  <c r="BH96" i="2"/>
  <c r="BH97" i="2"/>
  <c r="BH113" i="2"/>
  <c r="BI66" i="2"/>
  <c r="BI67" i="2"/>
  <c r="BI68" i="2"/>
  <c r="BI75" i="2"/>
  <c r="BI100" i="2"/>
  <c r="BI69" i="2"/>
  <c r="BI76" i="2"/>
  <c r="BI101" i="2"/>
  <c r="BI70" i="2"/>
  <c r="BI77" i="2"/>
  <c r="BI102" i="2"/>
  <c r="BI71" i="2"/>
  <c r="BI78" i="2"/>
  <c r="BI103" i="2"/>
  <c r="BI72" i="2"/>
  <c r="BI79" i="2"/>
  <c r="BI104" i="2"/>
  <c r="BI117" i="2"/>
  <c r="BI93" i="2"/>
  <c r="BI94" i="2"/>
  <c r="BI95" i="2"/>
  <c r="BI96" i="2"/>
  <c r="BI97" i="2"/>
  <c r="BI113" i="2"/>
  <c r="BJ66" i="2"/>
  <c r="BJ67" i="2"/>
  <c r="BJ68" i="2"/>
  <c r="BJ75" i="2"/>
  <c r="BJ100" i="2"/>
  <c r="BJ69" i="2"/>
  <c r="BJ76" i="2"/>
  <c r="BJ101" i="2"/>
  <c r="BJ70" i="2"/>
  <c r="BJ77" i="2"/>
  <c r="BJ102" i="2"/>
  <c r="BJ71" i="2"/>
  <c r="BJ78" i="2"/>
  <c r="BJ103" i="2"/>
  <c r="BJ72" i="2"/>
  <c r="BJ79" i="2"/>
  <c r="BJ104" i="2"/>
  <c r="BJ117" i="2"/>
  <c r="BJ93" i="2"/>
  <c r="BJ94" i="2"/>
  <c r="BJ95" i="2"/>
  <c r="BJ96" i="2"/>
  <c r="BJ97" i="2"/>
  <c r="BJ113" i="2"/>
  <c r="BK66" i="2"/>
  <c r="BK67" i="2"/>
  <c r="BK68" i="2"/>
  <c r="BK75" i="2"/>
  <c r="BK100" i="2"/>
  <c r="BK69" i="2"/>
  <c r="BK76" i="2"/>
  <c r="BK101" i="2"/>
  <c r="BK70" i="2"/>
  <c r="BK77" i="2"/>
  <c r="BK102" i="2"/>
  <c r="BK71" i="2"/>
  <c r="BK78" i="2"/>
  <c r="BK103" i="2"/>
  <c r="BK72" i="2"/>
  <c r="BK79" i="2"/>
  <c r="BK104" i="2"/>
  <c r="BK117" i="2"/>
  <c r="BK93" i="2"/>
  <c r="BK94" i="2"/>
  <c r="BK95" i="2"/>
  <c r="BK96" i="2"/>
  <c r="BK97" i="2"/>
  <c r="BK113" i="2"/>
  <c r="BL66" i="2"/>
  <c r="BL67" i="2"/>
  <c r="BL68" i="2"/>
  <c r="BL75" i="2"/>
  <c r="BL100" i="2"/>
  <c r="BL69" i="2"/>
  <c r="BL76" i="2"/>
  <c r="BL101" i="2"/>
  <c r="BL70" i="2"/>
  <c r="BL77" i="2"/>
  <c r="BL102" i="2"/>
  <c r="BL71" i="2"/>
  <c r="BL78" i="2"/>
  <c r="BL103" i="2"/>
  <c r="BL72" i="2"/>
  <c r="BL79" i="2"/>
  <c r="BL104" i="2"/>
  <c r="BL117" i="2"/>
  <c r="BL93" i="2"/>
  <c r="BL94" i="2"/>
  <c r="BL95" i="2"/>
  <c r="BL96" i="2"/>
  <c r="BL97" i="2"/>
  <c r="BL113" i="2"/>
  <c r="BM66" i="2"/>
  <c r="BM67" i="2"/>
  <c r="BM68" i="2"/>
  <c r="BM75" i="2"/>
  <c r="BM100" i="2"/>
  <c r="BM69" i="2"/>
  <c r="BM76" i="2"/>
  <c r="BM101" i="2"/>
  <c r="BM70" i="2"/>
  <c r="BM77" i="2"/>
  <c r="BM102" i="2"/>
  <c r="BM71" i="2"/>
  <c r="BM78" i="2"/>
  <c r="BM103" i="2"/>
  <c r="BM72" i="2"/>
  <c r="BM79" i="2"/>
  <c r="BM104" i="2"/>
  <c r="BM117" i="2"/>
  <c r="BM93" i="2"/>
  <c r="BM94" i="2"/>
  <c r="BM95" i="2"/>
  <c r="BM96" i="2"/>
  <c r="BM97" i="2"/>
  <c r="BM113" i="2"/>
  <c r="BN66" i="2"/>
  <c r="BN67" i="2"/>
  <c r="BN68" i="2"/>
  <c r="BN75" i="2"/>
  <c r="BN100" i="2"/>
  <c r="BN69" i="2"/>
  <c r="BN76" i="2"/>
  <c r="BN101" i="2"/>
  <c r="BN70" i="2"/>
  <c r="BN77" i="2"/>
  <c r="BN102" i="2"/>
  <c r="BN71" i="2"/>
  <c r="BN78" i="2"/>
  <c r="BN103" i="2"/>
  <c r="BN72" i="2"/>
  <c r="BN79" i="2"/>
  <c r="BN104" i="2"/>
  <c r="BN117" i="2"/>
  <c r="BN93" i="2"/>
  <c r="BN94" i="2"/>
  <c r="BN95" i="2"/>
  <c r="BN96" i="2"/>
  <c r="BN97" i="2"/>
  <c r="BN113" i="2"/>
  <c r="BO66" i="2"/>
  <c r="BO67" i="2"/>
  <c r="BO68" i="2"/>
  <c r="BO75" i="2"/>
  <c r="BO100" i="2"/>
  <c r="BO69" i="2"/>
  <c r="BO76" i="2"/>
  <c r="BO101" i="2"/>
  <c r="BO70" i="2"/>
  <c r="BO77" i="2"/>
  <c r="BO102" i="2"/>
  <c r="BO71" i="2"/>
  <c r="BO78" i="2"/>
  <c r="BO103" i="2"/>
  <c r="BO72" i="2"/>
  <c r="BO79" i="2"/>
  <c r="BO104" i="2"/>
  <c r="BO117" i="2"/>
  <c r="BO93" i="2"/>
  <c r="BO94" i="2"/>
  <c r="BO95" i="2"/>
  <c r="BO96" i="2"/>
  <c r="BO97" i="2"/>
  <c r="BO113" i="2"/>
  <c r="BP66" i="2"/>
  <c r="BP67" i="2"/>
  <c r="BP68" i="2"/>
  <c r="BP75" i="2"/>
  <c r="BP100" i="2"/>
  <c r="BP69" i="2"/>
  <c r="BP76" i="2"/>
  <c r="BP101" i="2"/>
  <c r="BP70" i="2"/>
  <c r="BP77" i="2"/>
  <c r="BP102" i="2"/>
  <c r="BP71" i="2"/>
  <c r="BP78" i="2"/>
  <c r="BP103" i="2"/>
  <c r="BP72" i="2"/>
  <c r="BP79" i="2"/>
  <c r="BP104" i="2"/>
  <c r="BP117" i="2"/>
  <c r="BP93" i="2"/>
  <c r="BP94" i="2"/>
  <c r="BP95" i="2"/>
  <c r="BP96" i="2"/>
  <c r="BP97" i="2"/>
  <c r="BP113" i="2"/>
  <c r="BQ66" i="2"/>
  <c r="BQ67" i="2"/>
  <c r="BQ68" i="2"/>
  <c r="BQ75" i="2"/>
  <c r="BQ100" i="2"/>
  <c r="BQ69" i="2"/>
  <c r="BQ76" i="2"/>
  <c r="BQ101" i="2"/>
  <c r="BQ70" i="2"/>
  <c r="BQ77" i="2"/>
  <c r="BQ102" i="2"/>
  <c r="BQ71" i="2"/>
  <c r="BQ78" i="2"/>
  <c r="BQ103" i="2"/>
  <c r="BQ72" i="2"/>
  <c r="BQ79" i="2"/>
  <c r="BQ104" i="2"/>
  <c r="BQ117" i="2"/>
  <c r="BQ93" i="2"/>
  <c r="BQ94" i="2"/>
  <c r="BQ95" i="2"/>
  <c r="BQ96" i="2"/>
  <c r="BQ97" i="2"/>
  <c r="BQ113" i="2"/>
  <c r="BR66" i="2"/>
  <c r="BR67" i="2"/>
  <c r="BR68" i="2"/>
  <c r="BR75" i="2"/>
  <c r="BR100" i="2"/>
  <c r="BR69" i="2"/>
  <c r="BR76" i="2"/>
  <c r="BR101" i="2"/>
  <c r="BR70" i="2"/>
  <c r="BR77" i="2"/>
  <c r="BR102" i="2"/>
  <c r="BR71" i="2"/>
  <c r="BR78" i="2"/>
  <c r="BR103" i="2"/>
  <c r="BR72" i="2"/>
  <c r="BR79" i="2"/>
  <c r="BR104" i="2"/>
  <c r="BR117" i="2"/>
  <c r="BR93" i="2"/>
  <c r="BR94" i="2"/>
  <c r="BR95" i="2"/>
  <c r="BR96" i="2"/>
  <c r="BR97" i="2"/>
  <c r="BR113" i="2"/>
  <c r="BS66" i="2"/>
  <c r="BS67" i="2"/>
  <c r="BS68" i="2"/>
  <c r="BS75" i="2"/>
  <c r="BS100" i="2"/>
  <c r="BS69" i="2"/>
  <c r="BS76" i="2"/>
  <c r="BS101" i="2"/>
  <c r="BS70" i="2"/>
  <c r="BS77" i="2"/>
  <c r="BS102" i="2"/>
  <c r="BS71" i="2"/>
  <c r="BS78" i="2"/>
  <c r="BS103" i="2"/>
  <c r="BS72" i="2"/>
  <c r="BS79" i="2"/>
  <c r="BS104" i="2"/>
  <c r="BS117" i="2"/>
  <c r="BS93" i="2"/>
  <c r="BS94" i="2"/>
  <c r="BS95" i="2"/>
  <c r="BS96" i="2"/>
  <c r="BS97" i="2"/>
  <c r="BS113" i="2"/>
  <c r="BT66" i="2"/>
  <c r="BT67" i="2"/>
  <c r="BT68" i="2"/>
  <c r="BT75" i="2"/>
  <c r="BT100" i="2"/>
  <c r="BT69" i="2"/>
  <c r="BT76" i="2"/>
  <c r="BT101" i="2"/>
  <c r="BT70" i="2"/>
  <c r="BT77" i="2"/>
  <c r="BT102" i="2"/>
  <c r="BT71" i="2"/>
  <c r="BT78" i="2"/>
  <c r="BT103" i="2"/>
  <c r="BT72" i="2"/>
  <c r="BT79" i="2"/>
  <c r="BT104" i="2"/>
  <c r="BT117" i="2"/>
  <c r="BT93" i="2"/>
  <c r="BT94" i="2"/>
  <c r="BT95" i="2"/>
  <c r="BT96" i="2"/>
  <c r="BT97" i="2"/>
  <c r="BT113" i="2"/>
  <c r="BU66" i="2"/>
  <c r="BU67" i="2"/>
  <c r="BU68" i="2"/>
  <c r="BU75" i="2"/>
  <c r="BU100" i="2"/>
  <c r="BU69" i="2"/>
  <c r="BU76" i="2"/>
  <c r="BU101" i="2"/>
  <c r="BU70" i="2"/>
  <c r="BU77" i="2"/>
  <c r="BU102" i="2"/>
  <c r="BU71" i="2"/>
  <c r="BU78" i="2"/>
  <c r="BU103" i="2"/>
  <c r="BU72" i="2"/>
  <c r="BU79" i="2"/>
  <c r="BU104" i="2"/>
  <c r="BU117" i="2"/>
  <c r="BU93" i="2"/>
  <c r="BU94" i="2"/>
  <c r="BU95" i="2"/>
  <c r="BU96" i="2"/>
  <c r="BU97" i="2"/>
  <c r="BU113" i="2"/>
  <c r="BV66" i="2"/>
  <c r="BV67" i="2"/>
  <c r="BV68" i="2"/>
  <c r="BV75" i="2"/>
  <c r="BV100" i="2"/>
  <c r="BV69" i="2"/>
  <c r="BV76" i="2"/>
  <c r="BV101" i="2"/>
  <c r="BV70" i="2"/>
  <c r="BV77" i="2"/>
  <c r="BV102" i="2"/>
  <c r="BV71" i="2"/>
  <c r="BV78" i="2"/>
  <c r="BV103" i="2"/>
  <c r="BV72" i="2"/>
  <c r="BV79" i="2"/>
  <c r="BV104" i="2"/>
  <c r="BV117" i="2"/>
  <c r="BV93" i="2"/>
  <c r="BV94" i="2"/>
  <c r="BV95" i="2"/>
  <c r="BV96" i="2"/>
  <c r="BV97" i="2"/>
  <c r="BV113" i="2"/>
  <c r="BW66" i="2"/>
  <c r="BW67" i="2"/>
  <c r="BW68" i="2"/>
  <c r="BW75" i="2"/>
  <c r="BW100" i="2"/>
  <c r="BW69" i="2"/>
  <c r="BW76" i="2"/>
  <c r="BW101" i="2"/>
  <c r="BW70" i="2"/>
  <c r="BW77" i="2"/>
  <c r="BW102" i="2"/>
  <c r="BW71" i="2"/>
  <c r="BW78" i="2"/>
  <c r="BW103" i="2"/>
  <c r="BW72" i="2"/>
  <c r="BW79" i="2"/>
  <c r="BW104" i="2"/>
  <c r="BW117" i="2"/>
  <c r="BW93" i="2"/>
  <c r="BW94" i="2"/>
  <c r="BW95" i="2"/>
  <c r="BW96" i="2"/>
  <c r="BW97" i="2"/>
  <c r="BW113" i="2"/>
  <c r="BX66" i="2"/>
  <c r="BX67" i="2"/>
  <c r="BX68" i="2"/>
  <c r="BX75" i="2"/>
  <c r="BX100" i="2"/>
  <c r="BX69" i="2"/>
  <c r="BX76" i="2"/>
  <c r="BX101" i="2"/>
  <c r="BX70" i="2"/>
  <c r="BX77" i="2"/>
  <c r="BX102" i="2"/>
  <c r="BX71" i="2"/>
  <c r="BX78" i="2"/>
  <c r="BX103" i="2"/>
  <c r="BX72" i="2"/>
  <c r="BX79" i="2"/>
  <c r="BX104" i="2"/>
  <c r="BX117" i="2"/>
  <c r="BX93" i="2"/>
  <c r="BX94" i="2"/>
  <c r="BX95" i="2"/>
  <c r="BX96" i="2"/>
  <c r="BX97" i="2"/>
  <c r="BX113" i="2"/>
  <c r="BY66" i="2"/>
  <c r="BY67" i="2"/>
  <c r="BY68" i="2"/>
  <c r="BY75" i="2"/>
  <c r="BY100" i="2"/>
  <c r="BY69" i="2"/>
  <c r="BY76" i="2"/>
  <c r="BY101" i="2"/>
  <c r="BY70" i="2"/>
  <c r="BY77" i="2"/>
  <c r="BY102" i="2"/>
  <c r="BY71" i="2"/>
  <c r="BY78" i="2"/>
  <c r="BY103" i="2"/>
  <c r="BY72" i="2"/>
  <c r="BY79" i="2"/>
  <c r="BY104" i="2"/>
  <c r="BY117" i="2"/>
  <c r="BY93" i="2"/>
  <c r="BY94" i="2"/>
  <c r="BY95" i="2"/>
  <c r="BY96" i="2"/>
  <c r="BY97" i="2"/>
  <c r="BY113" i="2"/>
  <c r="BZ66" i="2"/>
  <c r="BZ67" i="2"/>
  <c r="BZ68" i="2"/>
  <c r="BZ75" i="2"/>
  <c r="BZ100" i="2"/>
  <c r="BZ69" i="2"/>
  <c r="BZ76" i="2"/>
  <c r="BZ101" i="2"/>
  <c r="BZ70" i="2"/>
  <c r="BZ77" i="2"/>
  <c r="BZ102" i="2"/>
  <c r="BZ71" i="2"/>
  <c r="BZ78" i="2"/>
  <c r="BZ103" i="2"/>
  <c r="BZ72" i="2"/>
  <c r="BZ79" i="2"/>
  <c r="BZ104" i="2"/>
  <c r="BZ117" i="2"/>
  <c r="BZ93" i="2"/>
  <c r="BZ94" i="2"/>
  <c r="BZ95" i="2"/>
  <c r="BZ96" i="2"/>
  <c r="BZ97" i="2"/>
  <c r="BZ113" i="2"/>
  <c r="CA66" i="2"/>
  <c r="CA67" i="2"/>
  <c r="CA68" i="2"/>
  <c r="CA75" i="2"/>
  <c r="CA100" i="2"/>
  <c r="CA69" i="2"/>
  <c r="CA76" i="2"/>
  <c r="CA101" i="2"/>
  <c r="CA70" i="2"/>
  <c r="CA77" i="2"/>
  <c r="CA102" i="2"/>
  <c r="CA71" i="2"/>
  <c r="CA78" i="2"/>
  <c r="CA103" i="2"/>
  <c r="CA72" i="2"/>
  <c r="CA79" i="2"/>
  <c r="CA104" i="2"/>
  <c r="CA117" i="2"/>
  <c r="CA93" i="2"/>
  <c r="CA94" i="2"/>
  <c r="CA95" i="2"/>
  <c r="CA96" i="2"/>
  <c r="CA97" i="2"/>
  <c r="CA113" i="2"/>
  <c r="CB66" i="2"/>
  <c r="CB67" i="2"/>
  <c r="CB68" i="2"/>
  <c r="CB75" i="2"/>
  <c r="CB100" i="2"/>
  <c r="CB69" i="2"/>
  <c r="CB76" i="2"/>
  <c r="CB101" i="2"/>
  <c r="CB70" i="2"/>
  <c r="CB77" i="2"/>
  <c r="CB102" i="2"/>
  <c r="CB71" i="2"/>
  <c r="CB78" i="2"/>
  <c r="CB103" i="2"/>
  <c r="CB72" i="2"/>
  <c r="CB79" i="2"/>
  <c r="CB104" i="2"/>
  <c r="CB117" i="2"/>
  <c r="CB93" i="2"/>
  <c r="CB94" i="2"/>
  <c r="CB95" i="2"/>
  <c r="CB96" i="2"/>
  <c r="CB97" i="2"/>
  <c r="CB113" i="2"/>
  <c r="CC66" i="2"/>
  <c r="CC67" i="2"/>
  <c r="CC68" i="2"/>
  <c r="CC75" i="2"/>
  <c r="CC100" i="2"/>
  <c r="CC69" i="2"/>
  <c r="CC76" i="2"/>
  <c r="CC101" i="2"/>
  <c r="CC70" i="2"/>
  <c r="CC77" i="2"/>
  <c r="CC102" i="2"/>
  <c r="CC71" i="2"/>
  <c r="CC78" i="2"/>
  <c r="CC103" i="2"/>
  <c r="CC72" i="2"/>
  <c r="CC79" i="2"/>
  <c r="CC104" i="2"/>
  <c r="CC117" i="2"/>
  <c r="CC93" i="2"/>
  <c r="CC94" i="2"/>
  <c r="CC95" i="2"/>
  <c r="CC96" i="2"/>
  <c r="CC97" i="2"/>
  <c r="CC113" i="2"/>
  <c r="CD66" i="2"/>
  <c r="CD67" i="2"/>
  <c r="CD68" i="2"/>
  <c r="CD75" i="2"/>
  <c r="CD100" i="2"/>
  <c r="CD69" i="2"/>
  <c r="CD76" i="2"/>
  <c r="CD101" i="2"/>
  <c r="CD70" i="2"/>
  <c r="CD77" i="2"/>
  <c r="CD102" i="2"/>
  <c r="CD71" i="2"/>
  <c r="CD78" i="2"/>
  <c r="CD103" i="2"/>
  <c r="CD72" i="2"/>
  <c r="CD79" i="2"/>
  <c r="CD104" i="2"/>
  <c r="CD117" i="2"/>
  <c r="CD93" i="2"/>
  <c r="CD94" i="2"/>
  <c r="CD95" i="2"/>
  <c r="CD96" i="2"/>
  <c r="CD97" i="2"/>
  <c r="CD113" i="2"/>
  <c r="CE66" i="2"/>
  <c r="CE67" i="2"/>
  <c r="CE68" i="2"/>
  <c r="CE75" i="2"/>
  <c r="CE100" i="2"/>
  <c r="CE69" i="2"/>
  <c r="CE76" i="2"/>
  <c r="CE101" i="2"/>
  <c r="CE70" i="2"/>
  <c r="CE77" i="2"/>
  <c r="CE102" i="2"/>
  <c r="CE71" i="2"/>
  <c r="CE78" i="2"/>
  <c r="CE103" i="2"/>
  <c r="CE72" i="2"/>
  <c r="CE79" i="2"/>
  <c r="CE104" i="2"/>
  <c r="CE117" i="2"/>
  <c r="CE93" i="2"/>
  <c r="CE94" i="2"/>
  <c r="CE95" i="2"/>
  <c r="CE96" i="2"/>
  <c r="CE97" i="2"/>
  <c r="CE113" i="2"/>
  <c r="CF66" i="2"/>
  <c r="CF67" i="2"/>
  <c r="CF68" i="2"/>
  <c r="CF75" i="2"/>
  <c r="CF100" i="2"/>
  <c r="CF69" i="2"/>
  <c r="CF76" i="2"/>
  <c r="CF101" i="2"/>
  <c r="CF70" i="2"/>
  <c r="CF77" i="2"/>
  <c r="CF102" i="2"/>
  <c r="CF71" i="2"/>
  <c r="CF78" i="2"/>
  <c r="CF103" i="2"/>
  <c r="CF72" i="2"/>
  <c r="CF79" i="2"/>
  <c r="CF104" i="2"/>
  <c r="CF117" i="2"/>
  <c r="CF93" i="2"/>
  <c r="CF94" i="2"/>
  <c r="CF95" i="2"/>
  <c r="CF96" i="2"/>
  <c r="CF97" i="2"/>
  <c r="CF113" i="2"/>
  <c r="CG66" i="2"/>
  <c r="CG67" i="2"/>
  <c r="CG68" i="2"/>
  <c r="CG75" i="2"/>
  <c r="CG100" i="2"/>
  <c r="CG69" i="2"/>
  <c r="CG76" i="2"/>
  <c r="CG101" i="2"/>
  <c r="CG70" i="2"/>
  <c r="CG77" i="2"/>
  <c r="CG102" i="2"/>
  <c r="CG71" i="2"/>
  <c r="CG78" i="2"/>
  <c r="CG103" i="2"/>
  <c r="CG72" i="2"/>
  <c r="CG79" i="2"/>
  <c r="CG104" i="2"/>
  <c r="CG117" i="2"/>
  <c r="CG93" i="2"/>
  <c r="CG94" i="2"/>
  <c r="CG95" i="2"/>
  <c r="CG96" i="2"/>
  <c r="CG97" i="2"/>
  <c r="CG113" i="2"/>
  <c r="CH66" i="2"/>
  <c r="CH67" i="2"/>
  <c r="CH68" i="2"/>
  <c r="CH75" i="2"/>
  <c r="CH100" i="2"/>
  <c r="CH69" i="2"/>
  <c r="CH76" i="2"/>
  <c r="CH101" i="2"/>
  <c r="CH70" i="2"/>
  <c r="CH77" i="2"/>
  <c r="CH102" i="2"/>
  <c r="CH71" i="2"/>
  <c r="CH78" i="2"/>
  <c r="CH103" i="2"/>
  <c r="CH72" i="2"/>
  <c r="CH79" i="2"/>
  <c r="CH104" i="2"/>
  <c r="CH117" i="2"/>
  <c r="CH93" i="2"/>
  <c r="CH94" i="2"/>
  <c r="CH95" i="2"/>
  <c r="CH96" i="2"/>
  <c r="CH97" i="2"/>
  <c r="CH113" i="2"/>
  <c r="CI66" i="2"/>
  <c r="CI67" i="2"/>
  <c r="CI68" i="2"/>
  <c r="CI75" i="2"/>
  <c r="CI100" i="2"/>
  <c r="CI69" i="2"/>
  <c r="CI76" i="2"/>
  <c r="CI101" i="2"/>
  <c r="CI70" i="2"/>
  <c r="CI77" i="2"/>
  <c r="CI102" i="2"/>
  <c r="CI71" i="2"/>
  <c r="CI78" i="2"/>
  <c r="CI103" i="2"/>
  <c r="CI72" i="2"/>
  <c r="CI79" i="2"/>
  <c r="CI104" i="2"/>
  <c r="CI117" i="2"/>
  <c r="CI93" i="2"/>
  <c r="CI94" i="2"/>
  <c r="CI95" i="2"/>
  <c r="CI96" i="2"/>
  <c r="CI97" i="2"/>
  <c r="CI113" i="2"/>
  <c r="CJ66" i="2"/>
  <c r="CJ67" i="2"/>
  <c r="CJ68" i="2"/>
  <c r="CJ75" i="2"/>
  <c r="CJ100" i="2"/>
  <c r="CJ69" i="2"/>
  <c r="CJ76" i="2"/>
  <c r="CJ101" i="2"/>
  <c r="CJ70" i="2"/>
  <c r="CJ77" i="2"/>
  <c r="CJ102" i="2"/>
  <c r="CJ71" i="2"/>
  <c r="CJ78" i="2"/>
  <c r="CJ103" i="2"/>
  <c r="CJ72" i="2"/>
  <c r="CJ79" i="2"/>
  <c r="CJ104" i="2"/>
  <c r="CJ117" i="2"/>
  <c r="CJ93" i="2"/>
  <c r="CJ94" i="2"/>
  <c r="CJ95" i="2"/>
  <c r="CJ96" i="2"/>
  <c r="CJ97" i="2"/>
  <c r="CJ113" i="2"/>
  <c r="CK66" i="2"/>
  <c r="CK67" i="2"/>
  <c r="CK68" i="2"/>
  <c r="CK75" i="2"/>
  <c r="CK100" i="2"/>
  <c r="CK69" i="2"/>
  <c r="CK76" i="2"/>
  <c r="CK101" i="2"/>
  <c r="CK70" i="2"/>
  <c r="CK77" i="2"/>
  <c r="CK102" i="2"/>
  <c r="CK71" i="2"/>
  <c r="CK78" i="2"/>
  <c r="CK103" i="2"/>
  <c r="CK72" i="2"/>
  <c r="CK79" i="2"/>
  <c r="CK104" i="2"/>
  <c r="CK117" i="2"/>
  <c r="CK93" i="2"/>
  <c r="CK94" i="2"/>
  <c r="CK95" i="2"/>
  <c r="CK96" i="2"/>
  <c r="CK97" i="2"/>
  <c r="CK113" i="2"/>
  <c r="CL66" i="2"/>
  <c r="CL67" i="2"/>
  <c r="CL68" i="2"/>
  <c r="CL75" i="2"/>
  <c r="CL100" i="2"/>
  <c r="CL69" i="2"/>
  <c r="CL76" i="2"/>
  <c r="CL101" i="2"/>
  <c r="CL70" i="2"/>
  <c r="CL77" i="2"/>
  <c r="CL102" i="2"/>
  <c r="CL71" i="2"/>
  <c r="CL78" i="2"/>
  <c r="CL103" i="2"/>
  <c r="CL72" i="2"/>
  <c r="CL79" i="2"/>
  <c r="CL104" i="2"/>
  <c r="CL117" i="2"/>
  <c r="CL93" i="2"/>
  <c r="CL94" i="2"/>
  <c r="CL95" i="2"/>
  <c r="CL96" i="2"/>
  <c r="CL97" i="2"/>
  <c r="CL113" i="2"/>
  <c r="CM66" i="2"/>
  <c r="CM67" i="2"/>
  <c r="CM68" i="2"/>
  <c r="CM75" i="2"/>
  <c r="CM100" i="2"/>
  <c r="CM69" i="2"/>
  <c r="CM76" i="2"/>
  <c r="CM101" i="2"/>
  <c r="CM70" i="2"/>
  <c r="CM77" i="2"/>
  <c r="CM102" i="2"/>
  <c r="CM71" i="2"/>
  <c r="CM78" i="2"/>
  <c r="CM103" i="2"/>
  <c r="CM72" i="2"/>
  <c r="CM79" i="2"/>
  <c r="CM104" i="2"/>
  <c r="CM117" i="2"/>
  <c r="CM93" i="2"/>
  <c r="CM94" i="2"/>
  <c r="CM95" i="2"/>
  <c r="CM96" i="2"/>
  <c r="CM97" i="2"/>
  <c r="CM113" i="2"/>
  <c r="CN66" i="2"/>
  <c r="CN67" i="2"/>
  <c r="CN68" i="2"/>
  <c r="CN75" i="2"/>
  <c r="CN100" i="2"/>
  <c r="CN69" i="2"/>
  <c r="CN76" i="2"/>
  <c r="CN101" i="2"/>
  <c r="CN70" i="2"/>
  <c r="CN77" i="2"/>
  <c r="CN102" i="2"/>
  <c r="CN71" i="2"/>
  <c r="CN78" i="2"/>
  <c r="CN103" i="2"/>
  <c r="CN72" i="2"/>
  <c r="CN79" i="2"/>
  <c r="CN104" i="2"/>
  <c r="CN117" i="2"/>
  <c r="CN93" i="2"/>
  <c r="CN94" i="2"/>
  <c r="CN95" i="2"/>
  <c r="CN96" i="2"/>
  <c r="CN97" i="2"/>
  <c r="CN113" i="2"/>
  <c r="CO66" i="2"/>
  <c r="CO67" i="2"/>
  <c r="CO68" i="2"/>
  <c r="CO75" i="2"/>
  <c r="CO100" i="2"/>
  <c r="CO69" i="2"/>
  <c r="CO76" i="2"/>
  <c r="CO101" i="2"/>
  <c r="CO70" i="2"/>
  <c r="CO77" i="2"/>
  <c r="CO102" i="2"/>
  <c r="CO71" i="2"/>
  <c r="CO78" i="2"/>
  <c r="CO103" i="2"/>
  <c r="CO72" i="2"/>
  <c r="CO79" i="2"/>
  <c r="CO104" i="2"/>
  <c r="CO117" i="2"/>
  <c r="CO93" i="2"/>
  <c r="CO94" i="2"/>
  <c r="CO95" i="2"/>
  <c r="CO96" i="2"/>
  <c r="CO97" i="2"/>
  <c r="CO113" i="2"/>
  <c r="CP66" i="2"/>
  <c r="CP67" i="2"/>
  <c r="CP68" i="2"/>
  <c r="CP75" i="2"/>
  <c r="CP100" i="2"/>
  <c r="CP69" i="2"/>
  <c r="CP76" i="2"/>
  <c r="CP101" i="2"/>
  <c r="CP70" i="2"/>
  <c r="CP77" i="2"/>
  <c r="CP102" i="2"/>
  <c r="CP71" i="2"/>
  <c r="CP78" i="2"/>
  <c r="CP103" i="2"/>
  <c r="CP72" i="2"/>
  <c r="CP79" i="2"/>
  <c r="CP104" i="2"/>
  <c r="CP117" i="2"/>
  <c r="CP93" i="2"/>
  <c r="CP94" i="2"/>
  <c r="CP95" i="2"/>
  <c r="CP96" i="2"/>
  <c r="CP97" i="2"/>
  <c r="CP113" i="2"/>
  <c r="CQ66" i="2"/>
  <c r="CQ67" i="2"/>
  <c r="CQ68" i="2"/>
  <c r="CQ75" i="2"/>
  <c r="CQ100" i="2"/>
  <c r="CQ69" i="2"/>
  <c r="CQ76" i="2"/>
  <c r="CQ101" i="2"/>
  <c r="CQ70" i="2"/>
  <c r="CQ77" i="2"/>
  <c r="CQ102" i="2"/>
  <c r="CQ71" i="2"/>
  <c r="CQ78" i="2"/>
  <c r="CQ103" i="2"/>
  <c r="CQ72" i="2"/>
  <c r="CQ79" i="2"/>
  <c r="CQ104" i="2"/>
  <c r="CQ117" i="2"/>
  <c r="CQ93" i="2"/>
  <c r="CQ94" i="2"/>
  <c r="CQ95" i="2"/>
  <c r="CQ96" i="2"/>
  <c r="CQ97" i="2"/>
  <c r="CQ113" i="2"/>
  <c r="CR66" i="2"/>
  <c r="CR67" i="2"/>
  <c r="CR68" i="2"/>
  <c r="CR75" i="2"/>
  <c r="CR100" i="2"/>
  <c r="CR69" i="2"/>
  <c r="CR76" i="2"/>
  <c r="CR101" i="2"/>
  <c r="CR70" i="2"/>
  <c r="CR77" i="2"/>
  <c r="CR102" i="2"/>
  <c r="CR71" i="2"/>
  <c r="CR78" i="2"/>
  <c r="CR103" i="2"/>
  <c r="CR72" i="2"/>
  <c r="CR79" i="2"/>
  <c r="CR104" i="2"/>
  <c r="CR117" i="2"/>
  <c r="CR93" i="2"/>
  <c r="CR94" i="2"/>
  <c r="CR95" i="2"/>
  <c r="CR96" i="2"/>
  <c r="CR97" i="2"/>
  <c r="CR113" i="2"/>
  <c r="CS66" i="2"/>
  <c r="CS67" i="2"/>
  <c r="CS68" i="2"/>
  <c r="CS75" i="2"/>
  <c r="CS100" i="2"/>
  <c r="CS69" i="2"/>
  <c r="CS76" i="2"/>
  <c r="CS101" i="2"/>
  <c r="CS70" i="2"/>
  <c r="CS77" i="2"/>
  <c r="CS102" i="2"/>
  <c r="CS71" i="2"/>
  <c r="CS78" i="2"/>
  <c r="CS103" i="2"/>
  <c r="CS72" i="2"/>
  <c r="CS79" i="2"/>
  <c r="CS104" i="2"/>
  <c r="CS117" i="2"/>
  <c r="CS93" i="2"/>
  <c r="CS94" i="2"/>
  <c r="CS95" i="2"/>
  <c r="CS96" i="2"/>
  <c r="CS97" i="2"/>
  <c r="CS113" i="2"/>
  <c r="CT66" i="2"/>
  <c r="CT67" i="2"/>
  <c r="CT68" i="2"/>
  <c r="CT75" i="2"/>
  <c r="CT100" i="2"/>
  <c r="CT69" i="2"/>
  <c r="CT76" i="2"/>
  <c r="CT101" i="2"/>
  <c r="CT70" i="2"/>
  <c r="CT77" i="2"/>
  <c r="CT102" i="2"/>
  <c r="CT71" i="2"/>
  <c r="CT78" i="2"/>
  <c r="CT103" i="2"/>
  <c r="CT72" i="2"/>
  <c r="CT79" i="2"/>
  <c r="CT104" i="2"/>
  <c r="CT117" i="2"/>
  <c r="CT93" i="2"/>
  <c r="CT94" i="2"/>
  <c r="CT95" i="2"/>
  <c r="CT96" i="2"/>
  <c r="CT97" i="2"/>
  <c r="CT113" i="2"/>
  <c r="CU66" i="2"/>
  <c r="CU67" i="2"/>
  <c r="CU68" i="2"/>
  <c r="CU75" i="2"/>
  <c r="CU100" i="2"/>
  <c r="CU69" i="2"/>
  <c r="CU76" i="2"/>
  <c r="CU101" i="2"/>
  <c r="CU70" i="2"/>
  <c r="CU77" i="2"/>
  <c r="CU102" i="2"/>
  <c r="CU71" i="2"/>
  <c r="CU78" i="2"/>
  <c r="CU103" i="2"/>
  <c r="CU72" i="2"/>
  <c r="CU79" i="2"/>
  <c r="CU104" i="2"/>
  <c r="CU117" i="2"/>
  <c r="CU93" i="2"/>
  <c r="CU94" i="2"/>
  <c r="CU95" i="2"/>
  <c r="CU96" i="2"/>
  <c r="CU97" i="2"/>
  <c r="CU113" i="2"/>
  <c r="CV66" i="2"/>
  <c r="CV67" i="2"/>
  <c r="CV68" i="2"/>
  <c r="CV75" i="2"/>
  <c r="CV100" i="2"/>
  <c r="CV69" i="2"/>
  <c r="CV76" i="2"/>
  <c r="CV101" i="2"/>
  <c r="CV70" i="2"/>
  <c r="CV77" i="2"/>
  <c r="CV102" i="2"/>
  <c r="CV71" i="2"/>
  <c r="CV78" i="2"/>
  <c r="CV103" i="2"/>
  <c r="CV72" i="2"/>
  <c r="CV79" i="2"/>
  <c r="CV104" i="2"/>
  <c r="CV117" i="2"/>
  <c r="CV93" i="2"/>
  <c r="CV94" i="2"/>
  <c r="CV95" i="2"/>
  <c r="CV96" i="2"/>
  <c r="CV97" i="2"/>
  <c r="CV113" i="2"/>
  <c r="CW66" i="2"/>
  <c r="CW67" i="2"/>
  <c r="CW68" i="2"/>
  <c r="CW75" i="2"/>
  <c r="CW100" i="2"/>
  <c r="CW69" i="2"/>
  <c r="CW76" i="2"/>
  <c r="CW101" i="2"/>
  <c r="CW70" i="2"/>
  <c r="CW77" i="2"/>
  <c r="CW102" i="2"/>
  <c r="CW71" i="2"/>
  <c r="CW78" i="2"/>
  <c r="CW103" i="2"/>
  <c r="CW72" i="2"/>
  <c r="CW79" i="2"/>
  <c r="CW104" i="2"/>
  <c r="CW117" i="2"/>
  <c r="CW93" i="2"/>
  <c r="CW94" i="2"/>
  <c r="CW95" i="2"/>
  <c r="CW96" i="2"/>
  <c r="CW97" i="2"/>
  <c r="CW113" i="2"/>
  <c r="CX66" i="2"/>
  <c r="CX67" i="2"/>
  <c r="CX68" i="2"/>
  <c r="CX75" i="2"/>
  <c r="CX100" i="2"/>
  <c r="CX69" i="2"/>
  <c r="CX76" i="2"/>
  <c r="CX101" i="2"/>
  <c r="CX70" i="2"/>
  <c r="CX77" i="2"/>
  <c r="CX102" i="2"/>
  <c r="CX71" i="2"/>
  <c r="CX78" i="2"/>
  <c r="CX103" i="2"/>
  <c r="CX72" i="2"/>
  <c r="CX79" i="2"/>
  <c r="CX104" i="2"/>
  <c r="CX117" i="2"/>
  <c r="CX93" i="2"/>
  <c r="CX94" i="2"/>
  <c r="CX95" i="2"/>
  <c r="CX96" i="2"/>
  <c r="CX97" i="2"/>
  <c r="CX113" i="2"/>
  <c r="CY66" i="2"/>
  <c r="CY67" i="2"/>
  <c r="CY68" i="2"/>
  <c r="CY75" i="2"/>
  <c r="CY100" i="2"/>
  <c r="CY69" i="2"/>
  <c r="CY76" i="2"/>
  <c r="CY101" i="2"/>
  <c r="CY70" i="2"/>
  <c r="CY77" i="2"/>
  <c r="CY102" i="2"/>
  <c r="CY71" i="2"/>
  <c r="CY78" i="2"/>
  <c r="CY103" i="2"/>
  <c r="CY72" i="2"/>
  <c r="CY79" i="2"/>
  <c r="CY104" i="2"/>
  <c r="CY117" i="2"/>
  <c r="CY93" i="2"/>
  <c r="CY94" i="2"/>
  <c r="CY95" i="2"/>
  <c r="CY96" i="2"/>
  <c r="CY97" i="2"/>
  <c r="CY113" i="2"/>
  <c r="CZ66" i="2"/>
  <c r="CZ67" i="2"/>
  <c r="CZ68" i="2"/>
  <c r="CZ75" i="2"/>
  <c r="CZ100" i="2"/>
  <c r="CZ69" i="2"/>
  <c r="CZ76" i="2"/>
  <c r="CZ101" i="2"/>
  <c r="CZ70" i="2"/>
  <c r="CZ77" i="2"/>
  <c r="CZ102" i="2"/>
  <c r="CZ71" i="2"/>
  <c r="CZ78" i="2"/>
  <c r="CZ103" i="2"/>
  <c r="CZ72" i="2"/>
  <c r="CZ79" i="2"/>
  <c r="CZ104" i="2"/>
  <c r="CZ117" i="2"/>
  <c r="CZ93" i="2"/>
  <c r="CZ94" i="2"/>
  <c r="CZ95" i="2"/>
  <c r="CZ96" i="2"/>
  <c r="CZ97" i="2"/>
  <c r="CZ113" i="2"/>
  <c r="DA66" i="2"/>
  <c r="DA67" i="2"/>
  <c r="DA68" i="2"/>
  <c r="DA75" i="2"/>
  <c r="DA100" i="2"/>
  <c r="DA69" i="2"/>
  <c r="DA76" i="2"/>
  <c r="DA101" i="2"/>
  <c r="DA70" i="2"/>
  <c r="DA77" i="2"/>
  <c r="DA102" i="2"/>
  <c r="DA71" i="2"/>
  <c r="DA78" i="2"/>
  <c r="DA103" i="2"/>
  <c r="DA72" i="2"/>
  <c r="DA79" i="2"/>
  <c r="DA104" i="2"/>
  <c r="DA117" i="2"/>
  <c r="DA93" i="2"/>
  <c r="DA94" i="2"/>
  <c r="DA95" i="2"/>
  <c r="DA96" i="2"/>
  <c r="DA97" i="2"/>
  <c r="DA113" i="2"/>
  <c r="DB66" i="2"/>
  <c r="DB67" i="2"/>
  <c r="DB68" i="2"/>
  <c r="DB75" i="2"/>
  <c r="DB100" i="2"/>
  <c r="DB69" i="2"/>
  <c r="DB76" i="2"/>
  <c r="DB101" i="2"/>
  <c r="DB70" i="2"/>
  <c r="DB77" i="2"/>
  <c r="DB102" i="2"/>
  <c r="DB71" i="2"/>
  <c r="DB78" i="2"/>
  <c r="DB103" i="2"/>
  <c r="DB72" i="2"/>
  <c r="DB79" i="2"/>
  <c r="DB104" i="2"/>
  <c r="DB117" i="2"/>
  <c r="DB93" i="2"/>
  <c r="DB94" i="2"/>
  <c r="DB95" i="2"/>
  <c r="DB96" i="2"/>
  <c r="DB97" i="2"/>
  <c r="DB113" i="2"/>
  <c r="DC66" i="2"/>
  <c r="DC67" i="2"/>
  <c r="DC68" i="2"/>
  <c r="DC75" i="2"/>
  <c r="DC100" i="2"/>
  <c r="DC69" i="2"/>
  <c r="DC76" i="2"/>
  <c r="DC101" i="2"/>
  <c r="DC70" i="2"/>
  <c r="DC77" i="2"/>
  <c r="DC102" i="2"/>
  <c r="DC71" i="2"/>
  <c r="DC78" i="2"/>
  <c r="DC103" i="2"/>
  <c r="DC72" i="2"/>
  <c r="DC79" i="2"/>
  <c r="DC104" i="2"/>
  <c r="DC117" i="2"/>
  <c r="DC93" i="2"/>
  <c r="DC94" i="2"/>
  <c r="DC95" i="2"/>
  <c r="DC96" i="2"/>
  <c r="DC97" i="2"/>
  <c r="DC113" i="2"/>
  <c r="DD66" i="2"/>
  <c r="DD67" i="2"/>
  <c r="DD68" i="2"/>
  <c r="DD75" i="2"/>
  <c r="DD100" i="2"/>
  <c r="DD69" i="2"/>
  <c r="DD76" i="2"/>
  <c r="DD101" i="2"/>
  <c r="DD70" i="2"/>
  <c r="DD77" i="2"/>
  <c r="DD102" i="2"/>
  <c r="DD71" i="2"/>
  <c r="DD78" i="2"/>
  <c r="DD103" i="2"/>
  <c r="DD72" i="2"/>
  <c r="DD79" i="2"/>
  <c r="DD104" i="2"/>
  <c r="DD117" i="2"/>
  <c r="DD93" i="2"/>
  <c r="DD94" i="2"/>
  <c r="DD95" i="2"/>
  <c r="DD96" i="2"/>
  <c r="DD97" i="2"/>
  <c r="DD113" i="2"/>
  <c r="DE66" i="2"/>
  <c r="DE67" i="2"/>
  <c r="DE68" i="2"/>
  <c r="DE75" i="2"/>
  <c r="DE100" i="2"/>
  <c r="DE69" i="2"/>
  <c r="DE76" i="2"/>
  <c r="DE101" i="2"/>
  <c r="DE70" i="2"/>
  <c r="DE77" i="2"/>
  <c r="DE102" i="2"/>
  <c r="DE71" i="2"/>
  <c r="DE78" i="2"/>
  <c r="DE103" i="2"/>
  <c r="DE72" i="2"/>
  <c r="DE79" i="2"/>
  <c r="DE104" i="2"/>
  <c r="DE117" i="2"/>
  <c r="DE93" i="2"/>
  <c r="DE94" i="2"/>
  <c r="DE95" i="2"/>
  <c r="DE96" i="2"/>
  <c r="DE97" i="2"/>
  <c r="DE113" i="2"/>
  <c r="DF66" i="2"/>
  <c r="DF67" i="2"/>
  <c r="DF68" i="2"/>
  <c r="DF75" i="2"/>
  <c r="DF100" i="2"/>
  <c r="DF69" i="2"/>
  <c r="DF76" i="2"/>
  <c r="DF101" i="2"/>
  <c r="DF70" i="2"/>
  <c r="DF77" i="2"/>
  <c r="DF102" i="2"/>
  <c r="DF71" i="2"/>
  <c r="DF78" i="2"/>
  <c r="DF103" i="2"/>
  <c r="DF72" i="2"/>
  <c r="DF79" i="2"/>
  <c r="DF104" i="2"/>
  <c r="DF117" i="2"/>
  <c r="DF93" i="2"/>
  <c r="DF94" i="2"/>
  <c r="DF95" i="2"/>
  <c r="DF96" i="2"/>
  <c r="DF97" i="2"/>
  <c r="DF113" i="2"/>
  <c r="DG66" i="2"/>
  <c r="DG67" i="2"/>
  <c r="DG68" i="2"/>
  <c r="DG75" i="2"/>
  <c r="DG100" i="2"/>
  <c r="DG69" i="2"/>
  <c r="DG76" i="2"/>
  <c r="DG101" i="2"/>
  <c r="DG70" i="2"/>
  <c r="DG77" i="2"/>
  <c r="DG102" i="2"/>
  <c r="DG71" i="2"/>
  <c r="DG78" i="2"/>
  <c r="DG103" i="2"/>
  <c r="DG72" i="2"/>
  <c r="DG79" i="2"/>
  <c r="DG104" i="2"/>
  <c r="DG117" i="2"/>
  <c r="DG93" i="2"/>
  <c r="DG94" i="2"/>
  <c r="DG95" i="2"/>
  <c r="DG96" i="2"/>
  <c r="DG97" i="2"/>
  <c r="DG113" i="2"/>
  <c r="DH66" i="2"/>
  <c r="DH67" i="2"/>
  <c r="DH68" i="2"/>
  <c r="DH75" i="2"/>
  <c r="DH100" i="2"/>
  <c r="DH69" i="2"/>
  <c r="DH76" i="2"/>
  <c r="DH101" i="2"/>
  <c r="DH70" i="2"/>
  <c r="DH77" i="2"/>
  <c r="DH102" i="2"/>
  <c r="DH71" i="2"/>
  <c r="DH78" i="2"/>
  <c r="DH103" i="2"/>
  <c r="DH72" i="2"/>
  <c r="DH79" i="2"/>
  <c r="DH104" i="2"/>
  <c r="DH117" i="2"/>
  <c r="DH93" i="2"/>
  <c r="DH94" i="2"/>
  <c r="DH95" i="2"/>
  <c r="DH96" i="2"/>
  <c r="DH97" i="2"/>
  <c r="DH113" i="2"/>
  <c r="DI66" i="2"/>
  <c r="DI67" i="2"/>
  <c r="DI68" i="2"/>
  <c r="DI75" i="2"/>
  <c r="DI100" i="2"/>
  <c r="DI69" i="2"/>
  <c r="DI76" i="2"/>
  <c r="DI101" i="2"/>
  <c r="DI70" i="2"/>
  <c r="DI77" i="2"/>
  <c r="DI102" i="2"/>
  <c r="DI71" i="2"/>
  <c r="DI78" i="2"/>
  <c r="DI103" i="2"/>
  <c r="DI72" i="2"/>
  <c r="DI79" i="2"/>
  <c r="DI104" i="2"/>
  <c r="DI117" i="2"/>
  <c r="DI93" i="2"/>
  <c r="DI94" i="2"/>
  <c r="DI95" i="2"/>
  <c r="DI96" i="2"/>
  <c r="DI97" i="2"/>
  <c r="DI113" i="2"/>
  <c r="DJ66" i="2"/>
  <c r="DJ67" i="2"/>
  <c r="DJ68" i="2"/>
  <c r="DJ75" i="2"/>
  <c r="DJ100" i="2"/>
  <c r="DJ69" i="2"/>
  <c r="DJ76" i="2"/>
  <c r="DJ101" i="2"/>
  <c r="DJ70" i="2"/>
  <c r="DJ77" i="2"/>
  <c r="DJ102" i="2"/>
  <c r="DJ71" i="2"/>
  <c r="DJ78" i="2"/>
  <c r="DJ103" i="2"/>
  <c r="DJ72" i="2"/>
  <c r="DJ79" i="2"/>
  <c r="DJ104" i="2"/>
  <c r="DJ117" i="2"/>
  <c r="DJ93" i="2"/>
  <c r="DJ94" i="2"/>
  <c r="DJ95" i="2"/>
  <c r="DJ96" i="2"/>
  <c r="DJ97" i="2"/>
  <c r="DJ113" i="2"/>
  <c r="DK66" i="2"/>
  <c r="DK67" i="2"/>
  <c r="DK68" i="2"/>
  <c r="DK75" i="2"/>
  <c r="DK100" i="2"/>
  <c r="DK69" i="2"/>
  <c r="DK76" i="2"/>
  <c r="DK101" i="2"/>
  <c r="DK70" i="2"/>
  <c r="DK77" i="2"/>
  <c r="DK102" i="2"/>
  <c r="DK71" i="2"/>
  <c r="DK78" i="2"/>
  <c r="DK103" i="2"/>
  <c r="DK72" i="2"/>
  <c r="DK79" i="2"/>
  <c r="DK104" i="2"/>
  <c r="DK117" i="2"/>
  <c r="DK93" i="2"/>
  <c r="DK94" i="2"/>
  <c r="DK95" i="2"/>
  <c r="DK96" i="2"/>
  <c r="DK97" i="2"/>
  <c r="DK113" i="2"/>
  <c r="DL66" i="2"/>
  <c r="DL67" i="2"/>
  <c r="DL68" i="2"/>
  <c r="DL75" i="2"/>
  <c r="DL100" i="2"/>
  <c r="DL69" i="2"/>
  <c r="DL76" i="2"/>
  <c r="DL101" i="2"/>
  <c r="DL70" i="2"/>
  <c r="DL77" i="2"/>
  <c r="DL102" i="2"/>
  <c r="DL71" i="2"/>
  <c r="DL78" i="2"/>
  <c r="DL103" i="2"/>
  <c r="DL72" i="2"/>
  <c r="DL79" i="2"/>
  <c r="DL104" i="2"/>
  <c r="DL117" i="2"/>
  <c r="DL93" i="2"/>
  <c r="DL94" i="2"/>
  <c r="DL95" i="2"/>
  <c r="DL96" i="2"/>
  <c r="DL97" i="2"/>
  <c r="DL113" i="2"/>
  <c r="DM66" i="2"/>
  <c r="DM67" i="2"/>
  <c r="DM68" i="2"/>
  <c r="DM75" i="2"/>
  <c r="DM100" i="2"/>
  <c r="DM69" i="2"/>
  <c r="DM76" i="2"/>
  <c r="DM101" i="2"/>
  <c r="DM70" i="2"/>
  <c r="DM77" i="2"/>
  <c r="DM102" i="2"/>
  <c r="DM71" i="2"/>
  <c r="DM78" i="2"/>
  <c r="DM103" i="2"/>
  <c r="DM72" i="2"/>
  <c r="DM79" i="2"/>
  <c r="DM104" i="2"/>
  <c r="DM117" i="2"/>
  <c r="DM93" i="2"/>
  <c r="DM94" i="2"/>
  <c r="DM95" i="2"/>
  <c r="DM96" i="2"/>
  <c r="DM97" i="2"/>
  <c r="DM113" i="2"/>
  <c r="DN66" i="2"/>
  <c r="DN67" i="2"/>
  <c r="DN68" i="2"/>
  <c r="DN75" i="2"/>
  <c r="DN100" i="2"/>
  <c r="DN69" i="2"/>
  <c r="DN76" i="2"/>
  <c r="DN101" i="2"/>
  <c r="DN70" i="2"/>
  <c r="DN77" i="2"/>
  <c r="DN102" i="2"/>
  <c r="DN71" i="2"/>
  <c r="DN78" i="2"/>
  <c r="DN103" i="2"/>
  <c r="DN72" i="2"/>
  <c r="DN79" i="2"/>
  <c r="DN104" i="2"/>
  <c r="DN117" i="2"/>
  <c r="DN93" i="2"/>
  <c r="DN94" i="2"/>
  <c r="DN95" i="2"/>
  <c r="DN96" i="2"/>
  <c r="DN97" i="2"/>
  <c r="DN113" i="2"/>
  <c r="DO66" i="2"/>
  <c r="DO67" i="2"/>
  <c r="DO68" i="2"/>
  <c r="DO75" i="2"/>
  <c r="DO100" i="2"/>
  <c r="DO69" i="2"/>
  <c r="DO76" i="2"/>
  <c r="DO101" i="2"/>
  <c r="DO70" i="2"/>
  <c r="DO77" i="2"/>
  <c r="DO102" i="2"/>
  <c r="DO71" i="2"/>
  <c r="DO78" i="2"/>
  <c r="DO103" i="2"/>
  <c r="DO72" i="2"/>
  <c r="DO79" i="2"/>
  <c r="DO104" i="2"/>
  <c r="DO117" i="2"/>
  <c r="DO93" i="2"/>
  <c r="DO94" i="2"/>
  <c r="DO95" i="2"/>
  <c r="DO96" i="2"/>
  <c r="DO97" i="2"/>
  <c r="DO113" i="2"/>
  <c r="DP66" i="2"/>
  <c r="DP67" i="2"/>
  <c r="DP68" i="2"/>
  <c r="DP75" i="2"/>
  <c r="DP100" i="2"/>
  <c r="DP69" i="2"/>
  <c r="DP76" i="2"/>
  <c r="DP101" i="2"/>
  <c r="DP70" i="2"/>
  <c r="DP77" i="2"/>
  <c r="DP102" i="2"/>
  <c r="DP71" i="2"/>
  <c r="DP78" i="2"/>
  <c r="DP103" i="2"/>
  <c r="DP72" i="2"/>
  <c r="DP79" i="2"/>
  <c r="DP104" i="2"/>
  <c r="DP117" i="2"/>
  <c r="DP93" i="2"/>
  <c r="DP94" i="2"/>
  <c r="DP95" i="2"/>
  <c r="DP96" i="2"/>
  <c r="DP97" i="2"/>
  <c r="DP113" i="2"/>
  <c r="DQ66" i="2"/>
  <c r="DQ67" i="2"/>
  <c r="DQ68" i="2"/>
  <c r="DQ75" i="2"/>
  <c r="DQ100" i="2"/>
  <c r="DQ69" i="2"/>
  <c r="DQ76" i="2"/>
  <c r="DQ101" i="2"/>
  <c r="DQ70" i="2"/>
  <c r="DQ77" i="2"/>
  <c r="DQ102" i="2"/>
  <c r="DQ71" i="2"/>
  <c r="DQ78" i="2"/>
  <c r="DQ103" i="2"/>
  <c r="DQ72" i="2"/>
  <c r="DQ79" i="2"/>
  <c r="DQ104" i="2"/>
  <c r="DQ117" i="2"/>
  <c r="DQ93" i="2"/>
  <c r="DQ94" i="2"/>
  <c r="DQ95" i="2"/>
  <c r="DQ96" i="2"/>
  <c r="DQ97" i="2"/>
  <c r="DQ113" i="2"/>
  <c r="DR66" i="2"/>
  <c r="DR67" i="2"/>
  <c r="DR68" i="2"/>
  <c r="DR75" i="2"/>
  <c r="DR100" i="2"/>
  <c r="DR69" i="2"/>
  <c r="DR76" i="2"/>
  <c r="DR101" i="2"/>
  <c r="DR70" i="2"/>
  <c r="DR77" i="2"/>
  <c r="DR102" i="2"/>
  <c r="DR71" i="2"/>
  <c r="DR78" i="2"/>
  <c r="DR103" i="2"/>
  <c r="DR72" i="2"/>
  <c r="DR79" i="2"/>
  <c r="DR104" i="2"/>
  <c r="DR117" i="2"/>
  <c r="DR93" i="2"/>
  <c r="DR94" i="2"/>
  <c r="DR95" i="2"/>
  <c r="DR96" i="2"/>
  <c r="DR97" i="2"/>
  <c r="DR113" i="2"/>
  <c r="DS66" i="2"/>
  <c r="DS67" i="2"/>
  <c r="DS68" i="2"/>
  <c r="DS75" i="2"/>
  <c r="DS100" i="2"/>
  <c r="DS69" i="2"/>
  <c r="DS76" i="2"/>
  <c r="DS101" i="2"/>
  <c r="DS70" i="2"/>
  <c r="DS77" i="2"/>
  <c r="DS102" i="2"/>
  <c r="DS71" i="2"/>
  <c r="DS78" i="2"/>
  <c r="DS103" i="2"/>
  <c r="DS72" i="2"/>
  <c r="DS79" i="2"/>
  <c r="DS104" i="2"/>
  <c r="DS117" i="2"/>
  <c r="DS93" i="2"/>
  <c r="DS94" i="2"/>
  <c r="DS95" i="2"/>
  <c r="DS96" i="2"/>
  <c r="DS97" i="2"/>
  <c r="DS113" i="2"/>
  <c r="DT66" i="2"/>
  <c r="DT67" i="2"/>
  <c r="DT68" i="2"/>
  <c r="DT75" i="2"/>
  <c r="DT100" i="2"/>
  <c r="DT69" i="2"/>
  <c r="DT76" i="2"/>
  <c r="DT101" i="2"/>
  <c r="DT70" i="2"/>
  <c r="DT77" i="2"/>
  <c r="DT102" i="2"/>
  <c r="DT71" i="2"/>
  <c r="DT78" i="2"/>
  <c r="DT103" i="2"/>
  <c r="DT72" i="2"/>
  <c r="DT79" i="2"/>
  <c r="DT104" i="2"/>
  <c r="DT117" i="2"/>
  <c r="DT93" i="2"/>
  <c r="DT94" i="2"/>
  <c r="DT95" i="2"/>
  <c r="DT96" i="2"/>
  <c r="DT97" i="2"/>
  <c r="DT113" i="2"/>
  <c r="DU66" i="2"/>
  <c r="DU67" i="2"/>
  <c r="DU68" i="2"/>
  <c r="DU75" i="2"/>
  <c r="DU100" i="2"/>
  <c r="DU69" i="2"/>
  <c r="DU76" i="2"/>
  <c r="DU101" i="2"/>
  <c r="DU70" i="2"/>
  <c r="DU77" i="2"/>
  <c r="DU102" i="2"/>
  <c r="DU71" i="2"/>
  <c r="DU78" i="2"/>
  <c r="DU103" i="2"/>
  <c r="DU72" i="2"/>
  <c r="DU79" i="2"/>
  <c r="DU104" i="2"/>
  <c r="DU117" i="2"/>
  <c r="DU93" i="2"/>
  <c r="DU94" i="2"/>
  <c r="DU95" i="2"/>
  <c r="DU96" i="2"/>
  <c r="DU97" i="2"/>
  <c r="DU113" i="2"/>
  <c r="DV66" i="2"/>
  <c r="DV67" i="2"/>
  <c r="DV68" i="2"/>
  <c r="DV75" i="2"/>
  <c r="DV100" i="2"/>
  <c r="DV69" i="2"/>
  <c r="DV76" i="2"/>
  <c r="DV101" i="2"/>
  <c r="DV70" i="2"/>
  <c r="DV77" i="2"/>
  <c r="DV102" i="2"/>
  <c r="DV71" i="2"/>
  <c r="DV78" i="2"/>
  <c r="DV103" i="2"/>
  <c r="DV72" i="2"/>
  <c r="DV79" i="2"/>
  <c r="DV104" i="2"/>
  <c r="DV117" i="2"/>
  <c r="DV93" i="2"/>
  <c r="DV94" i="2"/>
  <c r="DV95" i="2"/>
  <c r="DV96" i="2"/>
  <c r="DV97" i="2"/>
  <c r="DV113" i="2"/>
  <c r="DW66" i="2"/>
  <c r="DW67" i="2"/>
  <c r="DW68" i="2"/>
  <c r="DW75" i="2"/>
  <c r="DW100" i="2"/>
  <c r="DW69" i="2"/>
  <c r="DW76" i="2"/>
  <c r="DW101" i="2"/>
  <c r="DW70" i="2"/>
  <c r="DW77" i="2"/>
  <c r="DW102" i="2"/>
  <c r="DW71" i="2"/>
  <c r="DW78" i="2"/>
  <c r="DW103" i="2"/>
  <c r="DW72" i="2"/>
  <c r="DW79" i="2"/>
  <c r="DW104" i="2"/>
  <c r="DW117" i="2"/>
  <c r="DW93" i="2"/>
  <c r="DW94" i="2"/>
  <c r="DW95" i="2"/>
  <c r="DW96" i="2"/>
  <c r="DW97" i="2"/>
  <c r="DW113" i="2"/>
  <c r="DX66" i="2"/>
  <c r="DX67" i="2"/>
  <c r="DX68" i="2"/>
  <c r="DX75" i="2"/>
  <c r="DX100" i="2"/>
  <c r="DX69" i="2"/>
  <c r="DX76" i="2"/>
  <c r="DX101" i="2"/>
  <c r="DX70" i="2"/>
  <c r="DX77" i="2"/>
  <c r="DX102" i="2"/>
  <c r="DX71" i="2"/>
  <c r="DX78" i="2"/>
  <c r="DX103" i="2"/>
  <c r="DX72" i="2"/>
  <c r="DX79" i="2"/>
  <c r="DX104" i="2"/>
  <c r="DX117" i="2"/>
  <c r="DX93" i="2"/>
  <c r="DX94" i="2"/>
  <c r="DX95" i="2"/>
  <c r="DX96" i="2"/>
  <c r="DX97" i="2"/>
  <c r="DX113" i="2"/>
  <c r="DY66" i="2"/>
  <c r="DY67" i="2"/>
  <c r="DY68" i="2"/>
  <c r="DY75" i="2"/>
  <c r="DY100" i="2"/>
  <c r="DY69" i="2"/>
  <c r="DY76" i="2"/>
  <c r="DY101" i="2"/>
  <c r="DY70" i="2"/>
  <c r="DY77" i="2"/>
  <c r="DY102" i="2"/>
  <c r="DY71" i="2"/>
  <c r="DY78" i="2"/>
  <c r="DY103" i="2"/>
  <c r="DY72" i="2"/>
  <c r="DY79" i="2"/>
  <c r="DY104" i="2"/>
  <c r="DY117" i="2"/>
  <c r="DY93" i="2"/>
  <c r="DY94" i="2"/>
  <c r="DY95" i="2"/>
  <c r="DY96" i="2"/>
  <c r="DY97" i="2"/>
  <c r="DY113" i="2"/>
  <c r="DZ66" i="2"/>
  <c r="DZ67" i="2"/>
  <c r="DZ68" i="2"/>
  <c r="DZ75" i="2"/>
  <c r="DZ100" i="2"/>
  <c r="DZ69" i="2"/>
  <c r="DZ76" i="2"/>
  <c r="DZ101" i="2"/>
  <c r="DZ70" i="2"/>
  <c r="DZ77" i="2"/>
  <c r="DZ102" i="2"/>
  <c r="DZ71" i="2"/>
  <c r="DZ78" i="2"/>
  <c r="DZ103" i="2"/>
  <c r="DZ72" i="2"/>
  <c r="DZ79" i="2"/>
  <c r="DZ104" i="2"/>
  <c r="DZ117" i="2"/>
  <c r="DZ93" i="2"/>
  <c r="DZ94" i="2"/>
  <c r="DZ95" i="2"/>
  <c r="DZ96" i="2"/>
  <c r="DZ97" i="2"/>
  <c r="DZ113" i="2"/>
  <c r="EA66" i="2"/>
  <c r="EA67" i="2"/>
  <c r="EA68" i="2"/>
  <c r="EA75" i="2"/>
  <c r="EA100" i="2"/>
  <c r="EA69" i="2"/>
  <c r="EA76" i="2"/>
  <c r="EA101" i="2"/>
  <c r="EA70" i="2"/>
  <c r="EA77" i="2"/>
  <c r="EA102" i="2"/>
  <c r="EA71" i="2"/>
  <c r="EA78" i="2"/>
  <c r="EA103" i="2"/>
  <c r="EA72" i="2"/>
  <c r="EA79" i="2"/>
  <c r="EA104" i="2"/>
  <c r="EA117" i="2"/>
  <c r="EA93" i="2"/>
  <c r="EA94" i="2"/>
  <c r="EA95" i="2"/>
  <c r="EA96" i="2"/>
  <c r="EA97" i="2"/>
  <c r="EA113" i="2"/>
  <c r="EB66" i="2"/>
  <c r="EB67" i="2"/>
  <c r="EB68" i="2"/>
  <c r="EB75" i="2"/>
  <c r="EB100" i="2"/>
  <c r="EB69" i="2"/>
  <c r="EB76" i="2"/>
  <c r="EB101" i="2"/>
  <c r="EB70" i="2"/>
  <c r="EB77" i="2"/>
  <c r="EB102" i="2"/>
  <c r="EB71" i="2"/>
  <c r="EB78" i="2"/>
  <c r="EB103" i="2"/>
  <c r="EB72" i="2"/>
  <c r="EB79" i="2"/>
  <c r="EB104" i="2"/>
  <c r="EB117" i="2"/>
  <c r="EB93" i="2"/>
  <c r="EB94" i="2"/>
  <c r="EB95" i="2"/>
  <c r="EB96" i="2"/>
  <c r="EB97" i="2"/>
  <c r="EB113" i="2"/>
  <c r="EC66" i="2"/>
  <c r="EC67" i="2"/>
  <c r="EC68" i="2"/>
  <c r="EC75" i="2"/>
  <c r="EC100" i="2"/>
  <c r="EC69" i="2"/>
  <c r="EC76" i="2"/>
  <c r="EC101" i="2"/>
  <c r="EC70" i="2"/>
  <c r="EC77" i="2"/>
  <c r="EC102" i="2"/>
  <c r="EC71" i="2"/>
  <c r="EC78" i="2"/>
  <c r="EC103" i="2"/>
  <c r="EC72" i="2"/>
  <c r="EC79" i="2"/>
  <c r="EC104" i="2"/>
  <c r="EC117" i="2"/>
  <c r="EC93" i="2"/>
  <c r="EC94" i="2"/>
  <c r="EC95" i="2"/>
  <c r="EC96" i="2"/>
  <c r="EC97" i="2"/>
  <c r="EC113" i="2"/>
  <c r="ED66" i="2"/>
  <c r="ED67" i="2"/>
  <c r="ED68" i="2"/>
  <c r="ED75" i="2"/>
  <c r="ED100" i="2"/>
  <c r="ED69" i="2"/>
  <c r="ED76" i="2"/>
  <c r="ED101" i="2"/>
  <c r="ED70" i="2"/>
  <c r="ED77" i="2"/>
  <c r="ED102" i="2"/>
  <c r="ED71" i="2"/>
  <c r="ED78" i="2"/>
  <c r="ED103" i="2"/>
  <c r="ED72" i="2"/>
  <c r="ED79" i="2"/>
  <c r="ED104" i="2"/>
  <c r="ED117" i="2"/>
  <c r="ED93" i="2"/>
  <c r="ED94" i="2"/>
  <c r="ED95" i="2"/>
  <c r="ED96" i="2"/>
  <c r="ED97" i="2"/>
  <c r="ED113" i="2"/>
  <c r="EE66" i="2"/>
  <c r="EE67" i="2"/>
  <c r="EE68" i="2"/>
  <c r="EE75" i="2"/>
  <c r="EE100" i="2"/>
  <c r="EE69" i="2"/>
  <c r="EE76" i="2"/>
  <c r="EE101" i="2"/>
  <c r="EE70" i="2"/>
  <c r="EE77" i="2"/>
  <c r="EE102" i="2"/>
  <c r="EE71" i="2"/>
  <c r="EE78" i="2"/>
  <c r="EE103" i="2"/>
  <c r="EE72" i="2"/>
  <c r="EE79" i="2"/>
  <c r="EE104" i="2"/>
  <c r="EE117" i="2"/>
  <c r="EE93" i="2"/>
  <c r="EE94" i="2"/>
  <c r="EE95" i="2"/>
  <c r="EE96" i="2"/>
  <c r="EE97" i="2"/>
  <c r="EE113" i="2"/>
  <c r="EF66" i="2"/>
  <c r="EF67" i="2"/>
  <c r="EF68" i="2"/>
  <c r="EF75" i="2"/>
  <c r="EF100" i="2"/>
  <c r="EF69" i="2"/>
  <c r="EF76" i="2"/>
  <c r="EF101" i="2"/>
  <c r="EF70" i="2"/>
  <c r="EF77" i="2"/>
  <c r="EF102" i="2"/>
  <c r="EF71" i="2"/>
  <c r="EF78" i="2"/>
  <c r="EF103" i="2"/>
  <c r="EF72" i="2"/>
  <c r="EF79" i="2"/>
  <c r="EF104" i="2"/>
  <c r="EF117" i="2"/>
  <c r="EF93" i="2"/>
  <c r="EF94" i="2"/>
  <c r="EF95" i="2"/>
  <c r="EF96" i="2"/>
  <c r="EF97" i="2"/>
  <c r="EF113" i="2"/>
  <c r="EG66" i="2"/>
  <c r="EG67" i="2"/>
  <c r="EG68" i="2"/>
  <c r="EG75" i="2"/>
  <c r="EG100" i="2"/>
  <c r="EG69" i="2"/>
  <c r="EG76" i="2"/>
  <c r="EG101" i="2"/>
  <c r="EG70" i="2"/>
  <c r="EG77" i="2"/>
  <c r="EG102" i="2"/>
  <c r="EG71" i="2"/>
  <c r="EG78" i="2"/>
  <c r="EG103" i="2"/>
  <c r="EG72" i="2"/>
  <c r="EG79" i="2"/>
  <c r="EG104" i="2"/>
  <c r="EG117" i="2"/>
  <c r="EG93" i="2"/>
  <c r="EG94" i="2"/>
  <c r="EG95" i="2"/>
  <c r="EG96" i="2"/>
  <c r="EG97" i="2"/>
  <c r="EG113" i="2"/>
  <c r="EH66" i="2"/>
  <c r="EH67" i="2"/>
  <c r="EH68" i="2"/>
  <c r="EH75" i="2"/>
  <c r="EH100" i="2"/>
  <c r="EH69" i="2"/>
  <c r="EH76" i="2"/>
  <c r="EH101" i="2"/>
  <c r="EH70" i="2"/>
  <c r="EH77" i="2"/>
  <c r="EH102" i="2"/>
  <c r="EH71" i="2"/>
  <c r="EH78" i="2"/>
  <c r="EH103" i="2"/>
  <c r="EH72" i="2"/>
  <c r="EH79" i="2"/>
  <c r="EH104" i="2"/>
  <c r="EH117" i="2"/>
  <c r="EH93" i="2"/>
  <c r="EH94" i="2"/>
  <c r="EH95" i="2"/>
  <c r="EH96" i="2"/>
  <c r="EH97" i="2"/>
  <c r="EH113" i="2"/>
  <c r="EI66" i="2"/>
  <c r="EI67" i="2"/>
  <c r="EI68" i="2"/>
  <c r="EI75" i="2"/>
  <c r="EI100" i="2"/>
  <c r="EI69" i="2"/>
  <c r="EI76" i="2"/>
  <c r="EI101" i="2"/>
  <c r="EI70" i="2"/>
  <c r="EI77" i="2"/>
  <c r="EI102" i="2"/>
  <c r="EI71" i="2"/>
  <c r="EI78" i="2"/>
  <c r="EI103" i="2"/>
  <c r="EI72" i="2"/>
  <c r="EI79" i="2"/>
  <c r="EI104" i="2"/>
  <c r="EI117" i="2"/>
  <c r="EI93" i="2"/>
  <c r="EI94" i="2"/>
  <c r="EI95" i="2"/>
  <c r="EI96" i="2"/>
  <c r="EI97" i="2"/>
  <c r="EI113" i="2"/>
  <c r="EJ66" i="2"/>
  <c r="EJ67" i="2"/>
  <c r="EJ68" i="2"/>
  <c r="EJ75" i="2"/>
  <c r="EJ100" i="2"/>
  <c r="EJ69" i="2"/>
  <c r="EJ76" i="2"/>
  <c r="EJ101" i="2"/>
  <c r="EJ70" i="2"/>
  <c r="EJ77" i="2"/>
  <c r="EJ102" i="2"/>
  <c r="EJ71" i="2"/>
  <c r="EJ78" i="2"/>
  <c r="EJ103" i="2"/>
  <c r="EJ72" i="2"/>
  <c r="EJ79" i="2"/>
  <c r="EJ104" i="2"/>
  <c r="EJ117" i="2"/>
  <c r="EJ93" i="2"/>
  <c r="EJ94" i="2"/>
  <c r="EJ95" i="2"/>
  <c r="EJ96" i="2"/>
  <c r="EJ97" i="2"/>
  <c r="EJ113" i="2"/>
  <c r="EK66" i="2"/>
  <c r="EK67" i="2"/>
  <c r="EK68" i="2"/>
  <c r="EK75" i="2"/>
  <c r="EK100" i="2"/>
  <c r="EK69" i="2"/>
  <c r="EK76" i="2"/>
  <c r="EK101" i="2"/>
  <c r="EK70" i="2"/>
  <c r="EK77" i="2"/>
  <c r="EK102" i="2"/>
  <c r="EK71" i="2"/>
  <c r="EK78" i="2"/>
  <c r="EK103" i="2"/>
  <c r="EK72" i="2"/>
  <c r="EK79" i="2"/>
  <c r="EK104" i="2"/>
  <c r="EK117" i="2"/>
  <c r="EK93" i="2"/>
  <c r="EK94" i="2"/>
  <c r="EK95" i="2"/>
  <c r="EK96" i="2"/>
  <c r="EK97" i="2"/>
  <c r="EK113" i="2"/>
  <c r="EL66" i="2"/>
  <c r="EL67" i="2"/>
  <c r="EL68" i="2"/>
  <c r="EL75" i="2"/>
  <c r="EL100" i="2"/>
  <c r="EL69" i="2"/>
  <c r="EL76" i="2"/>
  <c r="EL101" i="2"/>
  <c r="EL70" i="2"/>
  <c r="EL77" i="2"/>
  <c r="EL102" i="2"/>
  <c r="EL71" i="2"/>
  <c r="EL78" i="2"/>
  <c r="EL103" i="2"/>
  <c r="EL72" i="2"/>
  <c r="EL79" i="2"/>
  <c r="EL104" i="2"/>
  <c r="EL117" i="2"/>
  <c r="EL93" i="2"/>
  <c r="EL94" i="2"/>
  <c r="EL95" i="2"/>
  <c r="EL96" i="2"/>
  <c r="EL97" i="2"/>
  <c r="EL113" i="2"/>
  <c r="EM66" i="2"/>
  <c r="EM67" i="2"/>
  <c r="EM68" i="2"/>
  <c r="EM75" i="2"/>
  <c r="EM100" i="2"/>
  <c r="EM69" i="2"/>
  <c r="EM76" i="2"/>
  <c r="EM101" i="2"/>
  <c r="EM70" i="2"/>
  <c r="EM77" i="2"/>
  <c r="EM102" i="2"/>
  <c r="EM71" i="2"/>
  <c r="EM78" i="2"/>
  <c r="EM103" i="2"/>
  <c r="EM72" i="2"/>
  <c r="EM79" i="2"/>
  <c r="EM104" i="2"/>
  <c r="EM117" i="2"/>
  <c r="EM93" i="2"/>
  <c r="EM94" i="2"/>
  <c r="EM95" i="2"/>
  <c r="EM96" i="2"/>
  <c r="EM97" i="2"/>
  <c r="EM113" i="2"/>
  <c r="EN66" i="2"/>
  <c r="EN67" i="2"/>
  <c r="EN68" i="2"/>
  <c r="EN75" i="2"/>
  <c r="EN100" i="2"/>
  <c r="EN69" i="2"/>
  <c r="EN76" i="2"/>
  <c r="EN101" i="2"/>
  <c r="EN70" i="2"/>
  <c r="EN77" i="2"/>
  <c r="EN102" i="2"/>
  <c r="EN71" i="2"/>
  <c r="EN78" i="2"/>
  <c r="EN103" i="2"/>
  <c r="EN72" i="2"/>
  <c r="EN79" i="2"/>
  <c r="EN104" i="2"/>
  <c r="EN117" i="2"/>
  <c r="EN93" i="2"/>
  <c r="EN94" i="2"/>
  <c r="EN95" i="2"/>
  <c r="EN96" i="2"/>
  <c r="EN97" i="2"/>
  <c r="EN113" i="2"/>
  <c r="EO66" i="2"/>
  <c r="EO67" i="2"/>
  <c r="EO68" i="2"/>
  <c r="EO75" i="2"/>
  <c r="EO100" i="2"/>
  <c r="EO69" i="2"/>
  <c r="EO76" i="2"/>
  <c r="EO101" i="2"/>
  <c r="EO70" i="2"/>
  <c r="EO77" i="2"/>
  <c r="EO102" i="2"/>
  <c r="EO71" i="2"/>
  <c r="EO78" i="2"/>
  <c r="EO103" i="2"/>
  <c r="EO72" i="2"/>
  <c r="EO79" i="2"/>
  <c r="EO104" i="2"/>
  <c r="EO117" i="2"/>
  <c r="EO93" i="2"/>
  <c r="EO94" i="2"/>
  <c r="EO95" i="2"/>
  <c r="EO96" i="2"/>
  <c r="EO97" i="2"/>
  <c r="EO113" i="2"/>
  <c r="EP66" i="2"/>
  <c r="EP67" i="2"/>
  <c r="EP68" i="2"/>
  <c r="EP75" i="2"/>
  <c r="EP100" i="2"/>
  <c r="EP69" i="2"/>
  <c r="EP76" i="2"/>
  <c r="EP101" i="2"/>
  <c r="EP70" i="2"/>
  <c r="EP77" i="2"/>
  <c r="EP102" i="2"/>
  <c r="EP71" i="2"/>
  <c r="EP78" i="2"/>
  <c r="EP103" i="2"/>
  <c r="EP72" i="2"/>
  <c r="EP79" i="2"/>
  <c r="EP104" i="2"/>
  <c r="EP117" i="2"/>
  <c r="EP93" i="2"/>
  <c r="EP94" i="2"/>
  <c r="EP95" i="2"/>
  <c r="EP96" i="2"/>
  <c r="EP97" i="2"/>
  <c r="EP113" i="2"/>
  <c r="EQ66" i="2"/>
  <c r="EQ67" i="2"/>
  <c r="EQ68" i="2"/>
  <c r="EQ75" i="2"/>
  <c r="EQ100" i="2"/>
  <c r="EQ69" i="2"/>
  <c r="EQ76" i="2"/>
  <c r="EQ101" i="2"/>
  <c r="EQ70" i="2"/>
  <c r="EQ77" i="2"/>
  <c r="EQ102" i="2"/>
  <c r="EQ71" i="2"/>
  <c r="EQ78" i="2"/>
  <c r="EQ103" i="2"/>
  <c r="EQ72" i="2"/>
  <c r="EQ79" i="2"/>
  <c r="EQ104" i="2"/>
  <c r="EQ117" i="2"/>
  <c r="EQ93" i="2"/>
  <c r="EQ94" i="2"/>
  <c r="EQ95" i="2"/>
  <c r="EQ96" i="2"/>
  <c r="EQ97" i="2"/>
  <c r="EQ113" i="2"/>
  <c r="ER66" i="2"/>
  <c r="ER67" i="2"/>
  <c r="ER68" i="2"/>
  <c r="ER75" i="2"/>
  <c r="ER100" i="2"/>
  <c r="ER69" i="2"/>
  <c r="ER76" i="2"/>
  <c r="ER101" i="2"/>
  <c r="ER70" i="2"/>
  <c r="ER77" i="2"/>
  <c r="ER102" i="2"/>
  <c r="ER71" i="2"/>
  <c r="ER78" i="2"/>
  <c r="ER103" i="2"/>
  <c r="ER72" i="2"/>
  <c r="ER79" i="2"/>
  <c r="ER104" i="2"/>
  <c r="ER117" i="2"/>
  <c r="ER93" i="2"/>
  <c r="ER94" i="2"/>
  <c r="ER95" i="2"/>
  <c r="ER96" i="2"/>
  <c r="ER97" i="2"/>
  <c r="ER113" i="2"/>
  <c r="ES66" i="2"/>
  <c r="ES67" i="2"/>
  <c r="ES68" i="2"/>
  <c r="ES75" i="2"/>
  <c r="ES100" i="2"/>
  <c r="ES69" i="2"/>
  <c r="ES76" i="2"/>
  <c r="ES101" i="2"/>
  <c r="ES70" i="2"/>
  <c r="ES77" i="2"/>
  <c r="ES102" i="2"/>
  <c r="ES71" i="2"/>
  <c r="ES78" i="2"/>
  <c r="ES103" i="2"/>
  <c r="ES72" i="2"/>
  <c r="ES79" i="2"/>
  <c r="ES104" i="2"/>
  <c r="ES117" i="2"/>
  <c r="ES93" i="2"/>
  <c r="ES94" i="2"/>
  <c r="ES95" i="2"/>
  <c r="ES96" i="2"/>
  <c r="ES97" i="2"/>
  <c r="ES113" i="2"/>
  <c r="ET66" i="2"/>
  <c r="ET67" i="2"/>
  <c r="ET68" i="2"/>
  <c r="ET75" i="2"/>
  <c r="ET100" i="2"/>
  <c r="ET69" i="2"/>
  <c r="ET76" i="2"/>
  <c r="ET101" i="2"/>
  <c r="ET70" i="2"/>
  <c r="ET77" i="2"/>
  <c r="ET102" i="2"/>
  <c r="ET71" i="2"/>
  <c r="ET78" i="2"/>
  <c r="ET103" i="2"/>
  <c r="ET72" i="2"/>
  <c r="ET79" i="2"/>
  <c r="ET104" i="2"/>
  <c r="ET117" i="2"/>
  <c r="ET93" i="2"/>
  <c r="ET94" i="2"/>
  <c r="ET95" i="2"/>
  <c r="ET96" i="2"/>
  <c r="ET97" i="2"/>
  <c r="ET113" i="2"/>
  <c r="EU66" i="2"/>
  <c r="EU67" i="2"/>
  <c r="EU68" i="2"/>
  <c r="EU75" i="2"/>
  <c r="EU100" i="2"/>
  <c r="EU69" i="2"/>
  <c r="EU76" i="2"/>
  <c r="EU101" i="2"/>
  <c r="EU70" i="2"/>
  <c r="EU77" i="2"/>
  <c r="EU102" i="2"/>
  <c r="EU71" i="2"/>
  <c r="EU78" i="2"/>
  <c r="EU103" i="2"/>
  <c r="EU72" i="2"/>
  <c r="EU79" i="2"/>
  <c r="EU104" i="2"/>
  <c r="EU117" i="2"/>
  <c r="EU93" i="2"/>
  <c r="EU94" i="2"/>
  <c r="EU95" i="2"/>
  <c r="EU96" i="2"/>
  <c r="EU97" i="2"/>
  <c r="EU113" i="2"/>
  <c r="EV66" i="2"/>
  <c r="EV67" i="2"/>
  <c r="EV68" i="2"/>
  <c r="EV75" i="2"/>
  <c r="EV100" i="2"/>
  <c r="EV69" i="2"/>
  <c r="EV76" i="2"/>
  <c r="EV101" i="2"/>
  <c r="EV70" i="2"/>
  <c r="EV77" i="2"/>
  <c r="EV102" i="2"/>
  <c r="EV71" i="2"/>
  <c r="EV78" i="2"/>
  <c r="EV103" i="2"/>
  <c r="EV72" i="2"/>
  <c r="EV79" i="2"/>
  <c r="EV104" i="2"/>
  <c r="EV117" i="2"/>
  <c r="EV93" i="2"/>
  <c r="EV94" i="2"/>
  <c r="EV95" i="2"/>
  <c r="EV96" i="2"/>
  <c r="EV97" i="2"/>
  <c r="EV113" i="2"/>
  <c r="EW66" i="2"/>
  <c r="EW67" i="2"/>
  <c r="EW68" i="2"/>
  <c r="EW75" i="2"/>
  <c r="EW100" i="2"/>
  <c r="EW69" i="2"/>
  <c r="EW76" i="2"/>
  <c r="EW101" i="2"/>
  <c r="EW70" i="2"/>
  <c r="EW77" i="2"/>
  <c r="EW102" i="2"/>
  <c r="EW71" i="2"/>
  <c r="EW78" i="2"/>
  <c r="EW103" i="2"/>
  <c r="EW72" i="2"/>
  <c r="EW79" i="2"/>
  <c r="EW104" i="2"/>
  <c r="EW117" i="2"/>
  <c r="EW93" i="2"/>
  <c r="EW94" i="2"/>
  <c r="EW95" i="2"/>
  <c r="EW96" i="2"/>
  <c r="EW97" i="2"/>
  <c r="EW113" i="2"/>
  <c r="EX66" i="2"/>
  <c r="EX67" i="2"/>
  <c r="EX68" i="2"/>
  <c r="EX75" i="2"/>
  <c r="EX100" i="2"/>
  <c r="EX69" i="2"/>
  <c r="EX76" i="2"/>
  <c r="EX101" i="2"/>
  <c r="EX70" i="2"/>
  <c r="EX77" i="2"/>
  <c r="EX102" i="2"/>
  <c r="EX71" i="2"/>
  <c r="EX78" i="2"/>
  <c r="EX103" i="2"/>
  <c r="EX72" i="2"/>
  <c r="EX79" i="2"/>
  <c r="EX104" i="2"/>
  <c r="EX117" i="2"/>
  <c r="EX93" i="2"/>
  <c r="EX94" i="2"/>
  <c r="EX95" i="2"/>
  <c r="EX96" i="2"/>
  <c r="EX97" i="2"/>
  <c r="EX113" i="2"/>
  <c r="EY66" i="2"/>
  <c r="EY67" i="2"/>
  <c r="EY68" i="2"/>
  <c r="EY75" i="2"/>
  <c r="EY100" i="2"/>
  <c r="EY69" i="2"/>
  <c r="EY76" i="2"/>
  <c r="EY101" i="2"/>
  <c r="EY70" i="2"/>
  <c r="EY77" i="2"/>
  <c r="EY102" i="2"/>
  <c r="EY71" i="2"/>
  <c r="EY78" i="2"/>
  <c r="EY103" i="2"/>
  <c r="EY72" i="2"/>
  <c r="EY79" i="2"/>
  <c r="EY104" i="2"/>
  <c r="EY117" i="2"/>
  <c r="EY93" i="2"/>
  <c r="EY94" i="2"/>
  <c r="EY95" i="2"/>
  <c r="EY96" i="2"/>
  <c r="EY97" i="2"/>
  <c r="EY113" i="2"/>
  <c r="EZ66" i="2"/>
  <c r="EZ67" i="2"/>
  <c r="EZ68" i="2"/>
  <c r="EZ75" i="2"/>
  <c r="EZ100" i="2"/>
  <c r="EZ69" i="2"/>
  <c r="EZ76" i="2"/>
  <c r="EZ101" i="2"/>
  <c r="EZ70" i="2"/>
  <c r="EZ77" i="2"/>
  <c r="EZ102" i="2"/>
  <c r="EZ71" i="2"/>
  <c r="EZ78" i="2"/>
  <c r="EZ103" i="2"/>
  <c r="EZ72" i="2"/>
  <c r="EZ79" i="2"/>
  <c r="EZ104" i="2"/>
  <c r="EZ117" i="2"/>
  <c r="EZ93" i="2"/>
  <c r="EZ94" i="2"/>
  <c r="EZ95" i="2"/>
  <c r="EZ96" i="2"/>
  <c r="EZ97" i="2"/>
  <c r="EZ113" i="2"/>
  <c r="FA66" i="2"/>
  <c r="FA67" i="2"/>
  <c r="FA68" i="2"/>
  <c r="FA75" i="2"/>
  <c r="FA100" i="2"/>
  <c r="FA69" i="2"/>
  <c r="FA76" i="2"/>
  <c r="FA101" i="2"/>
  <c r="FA70" i="2"/>
  <c r="FA77" i="2"/>
  <c r="FA102" i="2"/>
  <c r="FA71" i="2"/>
  <c r="FA78" i="2"/>
  <c r="FA103" i="2"/>
  <c r="FA72" i="2"/>
  <c r="FA79" i="2"/>
  <c r="FA104" i="2"/>
  <c r="FA117" i="2"/>
  <c r="FA93" i="2"/>
  <c r="FA94" i="2"/>
  <c r="FA95" i="2"/>
  <c r="FA96" i="2"/>
  <c r="FA97" i="2"/>
  <c r="FA113" i="2"/>
  <c r="FB66" i="2"/>
  <c r="FB67" i="2"/>
  <c r="FB68" i="2"/>
  <c r="FB75" i="2"/>
  <c r="FB100" i="2"/>
  <c r="FB69" i="2"/>
  <c r="FB76" i="2"/>
  <c r="FB101" i="2"/>
  <c r="FB70" i="2"/>
  <c r="FB77" i="2"/>
  <c r="FB102" i="2"/>
  <c r="FB71" i="2"/>
  <c r="FB78" i="2"/>
  <c r="FB103" i="2"/>
  <c r="FB72" i="2"/>
  <c r="FB79" i="2"/>
  <c r="FB104" i="2"/>
  <c r="FB117" i="2"/>
  <c r="FB93" i="2"/>
  <c r="FB94" i="2"/>
  <c r="FB95" i="2"/>
  <c r="FB96" i="2"/>
  <c r="FB97" i="2"/>
  <c r="FB113" i="2"/>
  <c r="FC66" i="2"/>
  <c r="FC67" i="2"/>
  <c r="FC68" i="2"/>
  <c r="FC75" i="2"/>
  <c r="FC100" i="2"/>
  <c r="FC69" i="2"/>
  <c r="FC76" i="2"/>
  <c r="FC101" i="2"/>
  <c r="FC70" i="2"/>
  <c r="FC77" i="2"/>
  <c r="FC102" i="2"/>
  <c r="FC71" i="2"/>
  <c r="FC78" i="2"/>
  <c r="FC103" i="2"/>
  <c r="FC72" i="2"/>
  <c r="FC79" i="2"/>
  <c r="FC104" i="2"/>
  <c r="FC117" i="2"/>
  <c r="FC93" i="2"/>
  <c r="FC94" i="2"/>
  <c r="FC95" i="2"/>
  <c r="FC96" i="2"/>
  <c r="FC97" i="2"/>
  <c r="FC113" i="2"/>
  <c r="FD66" i="2"/>
  <c r="FD67" i="2"/>
  <c r="FD68" i="2"/>
  <c r="FD75" i="2"/>
  <c r="FD100" i="2"/>
  <c r="FD69" i="2"/>
  <c r="FD76" i="2"/>
  <c r="FD101" i="2"/>
  <c r="FD70" i="2"/>
  <c r="FD77" i="2"/>
  <c r="FD102" i="2"/>
  <c r="FD71" i="2"/>
  <c r="FD78" i="2"/>
  <c r="FD103" i="2"/>
  <c r="FD72" i="2"/>
  <c r="FD79" i="2"/>
  <c r="FD104" i="2"/>
  <c r="FD117" i="2"/>
  <c r="FD93" i="2"/>
  <c r="FD94" i="2"/>
  <c r="FD95" i="2"/>
  <c r="FD96" i="2"/>
  <c r="FD97" i="2"/>
  <c r="FD113" i="2"/>
  <c r="FE66" i="2"/>
  <c r="FE67" i="2"/>
  <c r="FE68" i="2"/>
  <c r="FE75" i="2"/>
  <c r="FE100" i="2"/>
  <c r="FE69" i="2"/>
  <c r="FE76" i="2"/>
  <c r="FE101" i="2"/>
  <c r="FE70" i="2"/>
  <c r="FE77" i="2"/>
  <c r="FE102" i="2"/>
  <c r="FE71" i="2"/>
  <c r="FE78" i="2"/>
  <c r="FE103" i="2"/>
  <c r="FE72" i="2"/>
  <c r="FE79" i="2"/>
  <c r="FE104" i="2"/>
  <c r="FE117" i="2"/>
  <c r="FE93" i="2"/>
  <c r="FE94" i="2"/>
  <c r="FE95" i="2"/>
  <c r="FE96" i="2"/>
  <c r="FE97" i="2"/>
  <c r="FE113" i="2"/>
  <c r="FF66" i="2"/>
  <c r="FF67" i="2"/>
  <c r="FF68" i="2"/>
  <c r="FF75" i="2"/>
  <c r="FF100" i="2"/>
  <c r="FF69" i="2"/>
  <c r="FF76" i="2"/>
  <c r="FF101" i="2"/>
  <c r="FF70" i="2"/>
  <c r="FF77" i="2"/>
  <c r="FF102" i="2"/>
  <c r="FF71" i="2"/>
  <c r="FF78" i="2"/>
  <c r="FF103" i="2"/>
  <c r="FF72" i="2"/>
  <c r="FF79" i="2"/>
  <c r="FF104" i="2"/>
  <c r="FF117" i="2"/>
  <c r="FF93" i="2"/>
  <c r="FF94" i="2"/>
  <c r="FF95" i="2"/>
  <c r="FF96" i="2"/>
  <c r="FF97" i="2"/>
  <c r="FF113" i="2"/>
  <c r="FG66" i="2"/>
  <c r="FG67" i="2"/>
  <c r="FG68" i="2"/>
  <c r="FG75" i="2"/>
  <c r="FG100" i="2"/>
  <c r="FG69" i="2"/>
  <c r="FG76" i="2"/>
  <c r="FG101" i="2"/>
  <c r="FG70" i="2"/>
  <c r="FG77" i="2"/>
  <c r="FG102" i="2"/>
  <c r="FG71" i="2"/>
  <c r="FG78" i="2"/>
  <c r="FG103" i="2"/>
  <c r="FG72" i="2"/>
  <c r="FG79" i="2"/>
  <c r="FG104" i="2"/>
  <c r="FG117" i="2"/>
  <c r="FG93" i="2"/>
  <c r="FG94" i="2"/>
  <c r="FG95" i="2"/>
  <c r="FG96" i="2"/>
  <c r="FG97" i="2"/>
  <c r="FG113" i="2"/>
  <c r="FH66" i="2"/>
  <c r="FH67" i="2"/>
  <c r="FH68" i="2"/>
  <c r="FH75" i="2"/>
  <c r="FH100" i="2"/>
  <c r="FH69" i="2"/>
  <c r="FH76" i="2"/>
  <c r="FH101" i="2"/>
  <c r="FH70" i="2"/>
  <c r="FH77" i="2"/>
  <c r="FH102" i="2"/>
  <c r="FH71" i="2"/>
  <c r="FH78" i="2"/>
  <c r="FH103" i="2"/>
  <c r="FH72" i="2"/>
  <c r="FH79" i="2"/>
  <c r="FH104" i="2"/>
  <c r="FH117" i="2"/>
  <c r="FH93" i="2"/>
  <c r="FH94" i="2"/>
  <c r="FH95" i="2"/>
  <c r="FH96" i="2"/>
  <c r="FH97" i="2"/>
  <c r="FH113" i="2"/>
  <c r="FI66" i="2"/>
  <c r="FI67" i="2"/>
  <c r="FI68" i="2"/>
  <c r="FI75" i="2"/>
  <c r="FI100" i="2"/>
  <c r="FI69" i="2"/>
  <c r="FI76" i="2"/>
  <c r="FI101" i="2"/>
  <c r="FI70" i="2"/>
  <c r="FI77" i="2"/>
  <c r="FI102" i="2"/>
  <c r="FI71" i="2"/>
  <c r="FI78" i="2"/>
  <c r="FI103" i="2"/>
  <c r="FI72" i="2"/>
  <c r="FI79" i="2"/>
  <c r="FI104" i="2"/>
  <c r="FI117" i="2"/>
  <c r="FI93" i="2"/>
  <c r="FI94" i="2"/>
  <c r="FI95" i="2"/>
  <c r="FI96" i="2"/>
  <c r="FI97" i="2"/>
  <c r="FI113" i="2"/>
  <c r="FJ66" i="2"/>
  <c r="FJ67" i="2"/>
  <c r="FJ68" i="2"/>
  <c r="FJ75" i="2"/>
  <c r="FJ100" i="2"/>
  <c r="FJ69" i="2"/>
  <c r="FJ76" i="2"/>
  <c r="FJ101" i="2"/>
  <c r="FJ70" i="2"/>
  <c r="FJ77" i="2"/>
  <c r="FJ102" i="2"/>
  <c r="FJ71" i="2"/>
  <c r="FJ78" i="2"/>
  <c r="FJ103" i="2"/>
  <c r="FJ72" i="2"/>
  <c r="FJ79" i="2"/>
  <c r="FJ104" i="2"/>
  <c r="FJ117" i="2"/>
  <c r="FJ93" i="2"/>
  <c r="FJ94" i="2"/>
  <c r="FJ95" i="2"/>
  <c r="FJ96" i="2"/>
  <c r="FJ97" i="2"/>
  <c r="FJ113" i="2"/>
  <c r="FK66" i="2"/>
  <c r="FK67" i="2"/>
  <c r="FK68" i="2"/>
  <c r="FK75" i="2"/>
  <c r="FK100" i="2"/>
  <c r="FK69" i="2"/>
  <c r="FK76" i="2"/>
  <c r="FK101" i="2"/>
  <c r="FK70" i="2"/>
  <c r="FK77" i="2"/>
  <c r="FK102" i="2"/>
  <c r="FK71" i="2"/>
  <c r="FK78" i="2"/>
  <c r="FK103" i="2"/>
  <c r="FK72" i="2"/>
  <c r="FK79" i="2"/>
  <c r="FK104" i="2"/>
  <c r="FK117" i="2"/>
  <c r="FK93" i="2"/>
  <c r="FK94" i="2"/>
  <c r="FK95" i="2"/>
  <c r="FK96" i="2"/>
  <c r="FK97" i="2"/>
  <c r="FK113" i="2"/>
  <c r="FL66" i="2"/>
  <c r="FL67" i="2"/>
  <c r="FL68" i="2"/>
  <c r="FL75" i="2"/>
  <c r="FL100" i="2"/>
  <c r="FL69" i="2"/>
  <c r="FL76" i="2"/>
  <c r="FL101" i="2"/>
  <c r="FL70" i="2"/>
  <c r="FL77" i="2"/>
  <c r="FL102" i="2"/>
  <c r="FL71" i="2"/>
  <c r="FL78" i="2"/>
  <c r="FL103" i="2"/>
  <c r="FL72" i="2"/>
  <c r="FL79" i="2"/>
  <c r="FL104" i="2"/>
  <c r="FL117" i="2"/>
  <c r="FL93" i="2"/>
  <c r="FL94" i="2"/>
  <c r="FL95" i="2"/>
  <c r="FL96" i="2"/>
  <c r="FL97" i="2"/>
  <c r="FL113" i="2"/>
  <c r="FM66" i="2"/>
  <c r="FM67" i="2"/>
  <c r="FM68" i="2"/>
  <c r="FM75" i="2"/>
  <c r="FM100" i="2"/>
  <c r="FM69" i="2"/>
  <c r="FM76" i="2"/>
  <c r="FM101" i="2"/>
  <c r="FM70" i="2"/>
  <c r="FM77" i="2"/>
  <c r="FM102" i="2"/>
  <c r="FM71" i="2"/>
  <c r="FM78" i="2"/>
  <c r="FM103" i="2"/>
  <c r="FM72" i="2"/>
  <c r="FM79" i="2"/>
  <c r="FM104" i="2"/>
  <c r="FM117" i="2"/>
  <c r="FM93" i="2"/>
  <c r="FM94" i="2"/>
  <c r="FM95" i="2"/>
  <c r="FM96" i="2"/>
  <c r="FM97" i="2"/>
  <c r="FM113" i="2"/>
  <c r="FN66" i="2"/>
  <c r="FN67" i="2"/>
  <c r="FN68" i="2"/>
  <c r="FN75" i="2"/>
  <c r="FN100" i="2"/>
  <c r="FN69" i="2"/>
  <c r="FN76" i="2"/>
  <c r="FN101" i="2"/>
  <c r="FN70" i="2"/>
  <c r="FN77" i="2"/>
  <c r="FN102" i="2"/>
  <c r="FN71" i="2"/>
  <c r="FN78" i="2"/>
  <c r="FN103" i="2"/>
  <c r="FN72" i="2"/>
  <c r="FN79" i="2"/>
  <c r="FN104" i="2"/>
  <c r="FN117" i="2"/>
  <c r="FN93" i="2"/>
  <c r="FN94" i="2"/>
  <c r="FN95" i="2"/>
  <c r="FN96" i="2"/>
  <c r="FN97" i="2"/>
  <c r="FN113" i="2"/>
  <c r="FO66" i="2"/>
  <c r="FO67" i="2"/>
  <c r="FO68" i="2"/>
  <c r="FO75" i="2"/>
  <c r="FO100" i="2"/>
  <c r="FO69" i="2"/>
  <c r="FO76" i="2"/>
  <c r="FO101" i="2"/>
  <c r="FO70" i="2"/>
  <c r="FO77" i="2"/>
  <c r="FO102" i="2"/>
  <c r="FO71" i="2"/>
  <c r="FO78" i="2"/>
  <c r="FO103" i="2"/>
  <c r="FO72" i="2"/>
  <c r="FO79" i="2"/>
  <c r="FO104" i="2"/>
  <c r="FO117" i="2"/>
  <c r="FO93" i="2"/>
  <c r="FO94" i="2"/>
  <c r="FO95" i="2"/>
  <c r="FO96" i="2"/>
  <c r="FO97" i="2"/>
  <c r="FO113" i="2"/>
  <c r="FP66" i="2"/>
  <c r="FP67" i="2"/>
  <c r="FP68" i="2"/>
  <c r="FP75" i="2"/>
  <c r="FP100" i="2"/>
  <c r="FP69" i="2"/>
  <c r="FP76" i="2"/>
  <c r="FP101" i="2"/>
  <c r="FP70" i="2"/>
  <c r="FP77" i="2"/>
  <c r="FP102" i="2"/>
  <c r="FP71" i="2"/>
  <c r="FP78" i="2"/>
  <c r="FP103" i="2"/>
  <c r="FP72" i="2"/>
  <c r="FP79" i="2"/>
  <c r="FP104" i="2"/>
  <c r="FP117" i="2"/>
  <c r="FP93" i="2"/>
  <c r="FP94" i="2"/>
  <c r="FP95" i="2"/>
  <c r="FP96" i="2"/>
  <c r="FP97" i="2"/>
  <c r="FP113" i="2"/>
  <c r="FQ66" i="2"/>
  <c r="FQ67" i="2"/>
  <c r="FQ68" i="2"/>
  <c r="FQ75" i="2"/>
  <c r="FQ100" i="2"/>
  <c r="FQ69" i="2"/>
  <c r="FQ76" i="2"/>
  <c r="FQ101" i="2"/>
  <c r="FQ70" i="2"/>
  <c r="FQ77" i="2"/>
  <c r="FQ102" i="2"/>
  <c r="FQ71" i="2"/>
  <c r="FQ78" i="2"/>
  <c r="FQ103" i="2"/>
  <c r="FQ72" i="2"/>
  <c r="FQ79" i="2"/>
  <c r="FQ104" i="2"/>
  <c r="FQ117" i="2"/>
  <c r="FQ93" i="2"/>
  <c r="FQ94" i="2"/>
  <c r="FQ95" i="2"/>
  <c r="FQ96" i="2"/>
  <c r="FQ97" i="2"/>
  <c r="FQ113" i="2"/>
  <c r="FR66" i="2"/>
  <c r="FR67" i="2"/>
  <c r="FR68" i="2"/>
  <c r="FR75" i="2"/>
  <c r="FR100" i="2"/>
  <c r="FR69" i="2"/>
  <c r="FR76" i="2"/>
  <c r="FR101" i="2"/>
  <c r="FR70" i="2"/>
  <c r="FR77" i="2"/>
  <c r="FR102" i="2"/>
  <c r="FR71" i="2"/>
  <c r="FR78" i="2"/>
  <c r="FR103" i="2"/>
  <c r="FR72" i="2"/>
  <c r="FR79" i="2"/>
  <c r="FR104" i="2"/>
  <c r="FR117" i="2"/>
  <c r="FR93" i="2"/>
  <c r="FR94" i="2"/>
  <c r="FR95" i="2"/>
  <c r="FR96" i="2"/>
  <c r="FR97" i="2"/>
  <c r="FR113" i="2"/>
  <c r="FS66" i="2"/>
  <c r="FS67" i="2"/>
  <c r="FS68" i="2"/>
  <c r="FS75" i="2"/>
  <c r="FS100" i="2"/>
  <c r="FS69" i="2"/>
  <c r="FS76" i="2"/>
  <c r="FS101" i="2"/>
  <c r="FS70" i="2"/>
  <c r="FS77" i="2"/>
  <c r="FS102" i="2"/>
  <c r="FS71" i="2"/>
  <c r="FS78" i="2"/>
  <c r="FS103" i="2"/>
  <c r="FS72" i="2"/>
  <c r="FS79" i="2"/>
  <c r="FS104" i="2"/>
  <c r="FS117" i="2"/>
  <c r="FS93" i="2"/>
  <c r="FS94" i="2"/>
  <c r="FS95" i="2"/>
  <c r="FS96" i="2"/>
  <c r="FS97" i="2"/>
  <c r="FS113" i="2"/>
  <c r="FT66" i="2"/>
  <c r="FT67" i="2"/>
  <c r="FT68" i="2"/>
  <c r="FT75" i="2"/>
  <c r="FT100" i="2"/>
  <c r="FT69" i="2"/>
  <c r="FT76" i="2"/>
  <c r="FT101" i="2"/>
  <c r="FT70" i="2"/>
  <c r="FT77" i="2"/>
  <c r="FT102" i="2"/>
  <c r="FT71" i="2"/>
  <c r="FT78" i="2"/>
  <c r="FT103" i="2"/>
  <c r="FT72" i="2"/>
  <c r="FT79" i="2"/>
  <c r="FT104" i="2"/>
  <c r="FT117" i="2"/>
  <c r="FT93" i="2"/>
  <c r="FT94" i="2"/>
  <c r="FT95" i="2"/>
  <c r="FT96" i="2"/>
  <c r="FT97" i="2"/>
  <c r="FT113" i="2"/>
  <c r="FU66" i="2"/>
  <c r="FU67" i="2"/>
  <c r="FU68" i="2"/>
  <c r="FU75" i="2"/>
  <c r="FU100" i="2"/>
  <c r="FU69" i="2"/>
  <c r="FU76" i="2"/>
  <c r="FU101" i="2"/>
  <c r="FU70" i="2"/>
  <c r="FU77" i="2"/>
  <c r="FU102" i="2"/>
  <c r="FU71" i="2"/>
  <c r="FU78" i="2"/>
  <c r="FU103" i="2"/>
  <c r="FU72" i="2"/>
  <c r="FU79" i="2"/>
  <c r="FU104" i="2"/>
  <c r="FU117" i="2"/>
  <c r="FU93" i="2"/>
  <c r="FU94" i="2"/>
  <c r="FU95" i="2"/>
  <c r="FU96" i="2"/>
  <c r="FU97" i="2"/>
  <c r="FU113" i="2"/>
  <c r="FV66" i="2"/>
  <c r="FV67" i="2"/>
  <c r="FV68" i="2"/>
  <c r="FV75" i="2"/>
  <c r="FV100" i="2"/>
  <c r="FV69" i="2"/>
  <c r="FV76" i="2"/>
  <c r="FV101" i="2"/>
  <c r="FV70" i="2"/>
  <c r="FV77" i="2"/>
  <c r="FV102" i="2"/>
  <c r="FV71" i="2"/>
  <c r="FV78" i="2"/>
  <c r="FV103" i="2"/>
  <c r="FV72" i="2"/>
  <c r="FV79" i="2"/>
  <c r="FV104" i="2"/>
  <c r="FV117" i="2"/>
  <c r="FV93" i="2"/>
  <c r="FV94" i="2"/>
  <c r="FV95" i="2"/>
  <c r="FV96" i="2"/>
  <c r="FV97" i="2"/>
  <c r="FV113" i="2"/>
  <c r="FW66" i="2"/>
  <c r="FW67" i="2"/>
  <c r="FW68" i="2"/>
  <c r="FW75" i="2"/>
  <c r="FW100" i="2"/>
  <c r="FW69" i="2"/>
  <c r="FW76" i="2"/>
  <c r="FW101" i="2"/>
  <c r="FW70" i="2"/>
  <c r="FW77" i="2"/>
  <c r="FW102" i="2"/>
  <c r="FW71" i="2"/>
  <c r="FW78" i="2"/>
  <c r="FW103" i="2"/>
  <c r="FW72" i="2"/>
  <c r="FW79" i="2"/>
  <c r="FW104" i="2"/>
  <c r="FW117" i="2"/>
  <c r="FW93" i="2"/>
  <c r="FW94" i="2"/>
  <c r="FW95" i="2"/>
  <c r="FW96" i="2"/>
  <c r="FW97" i="2"/>
  <c r="FW113" i="2"/>
  <c r="FX66" i="2"/>
  <c r="FX67" i="2"/>
  <c r="FX68" i="2"/>
  <c r="FX75" i="2"/>
  <c r="FX100" i="2"/>
  <c r="FX69" i="2"/>
  <c r="FX76" i="2"/>
  <c r="FX101" i="2"/>
  <c r="FX70" i="2"/>
  <c r="FX77" i="2"/>
  <c r="FX102" i="2"/>
  <c r="FX71" i="2"/>
  <c r="FX78" i="2"/>
  <c r="FX103" i="2"/>
  <c r="FX72" i="2"/>
  <c r="FX79" i="2"/>
  <c r="FX104" i="2"/>
  <c r="FX117" i="2"/>
  <c r="FX93" i="2"/>
  <c r="FX94" i="2"/>
  <c r="FX95" i="2"/>
  <c r="FX96" i="2"/>
  <c r="FX97" i="2"/>
  <c r="FX113" i="2"/>
  <c r="FY66" i="2"/>
  <c r="FY67" i="2"/>
  <c r="FY68" i="2"/>
  <c r="FY75" i="2"/>
  <c r="FY100" i="2"/>
  <c r="FY69" i="2"/>
  <c r="FY76" i="2"/>
  <c r="FY101" i="2"/>
  <c r="FY70" i="2"/>
  <c r="FY77" i="2"/>
  <c r="FY102" i="2"/>
  <c r="FY71" i="2"/>
  <c r="FY78" i="2"/>
  <c r="FY103" i="2"/>
  <c r="FY72" i="2"/>
  <c r="FY79" i="2"/>
  <c r="FY104" i="2"/>
  <c r="FY117" i="2"/>
  <c r="FY93" i="2"/>
  <c r="FY94" i="2"/>
  <c r="FY95" i="2"/>
  <c r="FY96" i="2"/>
  <c r="FY97" i="2"/>
  <c r="FY113" i="2"/>
  <c r="FZ66" i="2"/>
  <c r="FZ67" i="2"/>
  <c r="FZ68" i="2"/>
  <c r="FZ75" i="2"/>
  <c r="FZ100" i="2"/>
  <c r="FZ69" i="2"/>
  <c r="FZ76" i="2"/>
  <c r="FZ101" i="2"/>
  <c r="FZ70" i="2"/>
  <c r="FZ77" i="2"/>
  <c r="FZ102" i="2"/>
  <c r="FZ71" i="2"/>
  <c r="FZ78" i="2"/>
  <c r="FZ103" i="2"/>
  <c r="FZ72" i="2"/>
  <c r="FZ79" i="2"/>
  <c r="FZ104" i="2"/>
  <c r="FZ117" i="2"/>
  <c r="FZ93" i="2"/>
  <c r="FZ94" i="2"/>
  <c r="FZ95" i="2"/>
  <c r="FZ96" i="2"/>
  <c r="FZ97" i="2"/>
  <c r="FZ113" i="2"/>
  <c r="GA66" i="2"/>
  <c r="GA67" i="2"/>
  <c r="GA68" i="2"/>
  <c r="GA75" i="2"/>
  <c r="GA100" i="2"/>
  <c r="GA69" i="2"/>
  <c r="GA76" i="2"/>
  <c r="GA101" i="2"/>
  <c r="GA70" i="2"/>
  <c r="GA77" i="2"/>
  <c r="GA102" i="2"/>
  <c r="GA71" i="2"/>
  <c r="GA78" i="2"/>
  <c r="GA103" i="2"/>
  <c r="GA72" i="2"/>
  <c r="GA79" i="2"/>
  <c r="GA104" i="2"/>
  <c r="GA117" i="2"/>
  <c r="GA93" i="2"/>
  <c r="GA94" i="2"/>
  <c r="GA95" i="2"/>
  <c r="GA96" i="2"/>
  <c r="GA97" i="2"/>
  <c r="GA113" i="2"/>
  <c r="GB66" i="2"/>
  <c r="GB67" i="2"/>
  <c r="GB68" i="2"/>
  <c r="GB75" i="2"/>
  <c r="GB100" i="2"/>
  <c r="GB69" i="2"/>
  <c r="GB76" i="2"/>
  <c r="GB101" i="2"/>
  <c r="GB70" i="2"/>
  <c r="GB77" i="2"/>
  <c r="GB102" i="2"/>
  <c r="GB71" i="2"/>
  <c r="GB78" i="2"/>
  <c r="GB103" i="2"/>
  <c r="GB72" i="2"/>
  <c r="GB79" i="2"/>
  <c r="GB104" i="2"/>
  <c r="GB117" i="2"/>
  <c r="GB93" i="2"/>
  <c r="GB94" i="2"/>
  <c r="GB95" i="2"/>
  <c r="GB96" i="2"/>
  <c r="GB97" i="2"/>
  <c r="GB113" i="2"/>
  <c r="GC66" i="2"/>
  <c r="GC67" i="2"/>
  <c r="GC68" i="2"/>
  <c r="GC75" i="2"/>
  <c r="GC100" i="2"/>
  <c r="GC69" i="2"/>
  <c r="GC76" i="2"/>
  <c r="GC101" i="2"/>
  <c r="GC70" i="2"/>
  <c r="GC77" i="2"/>
  <c r="GC102" i="2"/>
  <c r="GC71" i="2"/>
  <c r="GC78" i="2"/>
  <c r="GC103" i="2"/>
  <c r="GC72" i="2"/>
  <c r="GC79" i="2"/>
  <c r="GC104" i="2"/>
  <c r="GC117" i="2"/>
  <c r="GC93" i="2"/>
  <c r="GC94" i="2"/>
  <c r="GC95" i="2"/>
  <c r="GC96" i="2"/>
  <c r="GC97" i="2"/>
  <c r="GC113" i="2"/>
  <c r="GD66" i="2"/>
  <c r="GD67" i="2"/>
  <c r="GD68" i="2"/>
  <c r="GD75" i="2"/>
  <c r="GD100" i="2"/>
  <c r="GD69" i="2"/>
  <c r="GD76" i="2"/>
  <c r="GD101" i="2"/>
  <c r="GD70" i="2"/>
  <c r="GD77" i="2"/>
  <c r="GD102" i="2"/>
  <c r="GD71" i="2"/>
  <c r="GD78" i="2"/>
  <c r="GD103" i="2"/>
  <c r="GD72" i="2"/>
  <c r="GD79" i="2"/>
  <c r="GD104" i="2"/>
  <c r="GD117" i="2"/>
  <c r="GD93" i="2"/>
  <c r="GD94" i="2"/>
  <c r="GD95" i="2"/>
  <c r="GD96" i="2"/>
  <c r="GD97" i="2"/>
  <c r="GD113" i="2"/>
  <c r="GE66" i="2"/>
  <c r="GE67" i="2"/>
  <c r="GE68" i="2"/>
  <c r="GE75" i="2"/>
  <c r="GE100" i="2"/>
  <c r="GE69" i="2"/>
  <c r="GE76" i="2"/>
  <c r="GE101" i="2"/>
  <c r="GE70" i="2"/>
  <c r="GE77" i="2"/>
  <c r="GE102" i="2"/>
  <c r="GE71" i="2"/>
  <c r="GE78" i="2"/>
  <c r="GE103" i="2"/>
  <c r="GE72" i="2"/>
  <c r="GE79" i="2"/>
  <c r="GE104" i="2"/>
  <c r="GE117" i="2"/>
  <c r="GE93" i="2"/>
  <c r="GE94" i="2"/>
  <c r="GE95" i="2"/>
  <c r="GE96" i="2"/>
  <c r="GE97" i="2"/>
  <c r="GE113" i="2"/>
  <c r="GF66" i="2"/>
  <c r="GF67" i="2"/>
  <c r="GF68" i="2"/>
  <c r="GF75" i="2"/>
  <c r="GF100" i="2"/>
  <c r="GF69" i="2"/>
  <c r="GF76" i="2"/>
  <c r="GF101" i="2"/>
  <c r="GF70" i="2"/>
  <c r="GF77" i="2"/>
  <c r="GF102" i="2"/>
  <c r="GF71" i="2"/>
  <c r="GF78" i="2"/>
  <c r="GF103" i="2"/>
  <c r="GF72" i="2"/>
  <c r="GF79" i="2"/>
  <c r="GF104" i="2"/>
  <c r="GF117" i="2"/>
  <c r="GF93" i="2"/>
  <c r="GF94" i="2"/>
  <c r="GF95" i="2"/>
  <c r="GF96" i="2"/>
  <c r="GF97" i="2"/>
  <c r="GF113" i="2"/>
  <c r="GG66" i="2"/>
  <c r="GG67" i="2"/>
  <c r="GG68" i="2"/>
  <c r="GG75" i="2"/>
  <c r="GG100" i="2"/>
  <c r="GG69" i="2"/>
  <c r="GG76" i="2"/>
  <c r="GG101" i="2"/>
  <c r="GG70" i="2"/>
  <c r="GG77" i="2"/>
  <c r="GG102" i="2"/>
  <c r="GG71" i="2"/>
  <c r="GG78" i="2"/>
  <c r="GG103" i="2"/>
  <c r="GG72" i="2"/>
  <c r="GG79" i="2"/>
  <c r="GG104" i="2"/>
  <c r="GG117" i="2"/>
  <c r="GG93" i="2"/>
  <c r="GG94" i="2"/>
  <c r="GG95" i="2"/>
  <c r="GG96" i="2"/>
  <c r="GG97" i="2"/>
  <c r="GG113" i="2"/>
  <c r="GH66" i="2"/>
  <c r="GH67" i="2"/>
  <c r="GH68" i="2"/>
  <c r="GH75" i="2"/>
  <c r="GH100" i="2"/>
  <c r="GH69" i="2"/>
  <c r="GH76" i="2"/>
  <c r="GH101" i="2"/>
  <c r="GH70" i="2"/>
  <c r="GH77" i="2"/>
  <c r="GH102" i="2"/>
  <c r="GH71" i="2"/>
  <c r="GH78" i="2"/>
  <c r="GH103" i="2"/>
  <c r="GH72" i="2"/>
  <c r="GH79" i="2"/>
  <c r="GH104" i="2"/>
  <c r="GH117" i="2"/>
  <c r="GH93" i="2"/>
  <c r="GH94" i="2"/>
  <c r="GH95" i="2"/>
  <c r="GH96" i="2"/>
  <c r="GH97" i="2"/>
  <c r="GH113" i="2"/>
  <c r="GI66" i="2"/>
  <c r="GI67" i="2"/>
  <c r="GI68" i="2"/>
  <c r="GI75" i="2"/>
  <c r="GI100" i="2"/>
  <c r="GI69" i="2"/>
  <c r="GI76" i="2"/>
  <c r="GI101" i="2"/>
  <c r="GI70" i="2"/>
  <c r="GI77" i="2"/>
  <c r="GI102" i="2"/>
  <c r="GI71" i="2"/>
  <c r="GI78" i="2"/>
  <c r="GI103" i="2"/>
  <c r="GI72" i="2"/>
  <c r="GI79" i="2"/>
  <c r="GI104" i="2"/>
  <c r="GI117" i="2"/>
  <c r="GI93" i="2"/>
  <c r="GI94" i="2"/>
  <c r="GI95" i="2"/>
  <c r="GI96" i="2"/>
  <c r="GI97" i="2"/>
  <c r="GI113" i="2"/>
  <c r="GJ66" i="2"/>
  <c r="GJ67" i="2"/>
  <c r="GJ68" i="2"/>
  <c r="GJ75" i="2"/>
  <c r="GJ100" i="2"/>
  <c r="GJ69" i="2"/>
  <c r="GJ76" i="2"/>
  <c r="GJ101" i="2"/>
  <c r="GJ70" i="2"/>
  <c r="GJ77" i="2"/>
  <c r="GJ102" i="2"/>
  <c r="GJ71" i="2"/>
  <c r="GJ78" i="2"/>
  <c r="GJ103" i="2"/>
  <c r="GJ72" i="2"/>
  <c r="GJ79" i="2"/>
  <c r="GJ104" i="2"/>
  <c r="GJ117" i="2"/>
  <c r="GJ93" i="2"/>
  <c r="GJ94" i="2"/>
  <c r="GJ95" i="2"/>
  <c r="GJ96" i="2"/>
  <c r="GJ97" i="2"/>
  <c r="GJ113" i="2"/>
  <c r="GK66" i="2"/>
  <c r="GK67" i="2"/>
  <c r="GK68" i="2"/>
  <c r="GK75" i="2"/>
  <c r="GK100" i="2"/>
  <c r="GK69" i="2"/>
  <c r="GK76" i="2"/>
  <c r="GK101" i="2"/>
  <c r="GK70" i="2"/>
  <c r="GK77" i="2"/>
  <c r="GK102" i="2"/>
  <c r="GK71" i="2"/>
  <c r="GK78" i="2"/>
  <c r="GK103" i="2"/>
  <c r="GK72" i="2"/>
  <c r="GK79" i="2"/>
  <c r="GK104" i="2"/>
  <c r="GK117" i="2"/>
  <c r="GK93" i="2"/>
  <c r="GK94" i="2"/>
  <c r="GK95" i="2"/>
  <c r="GK96" i="2"/>
  <c r="GK97" i="2"/>
  <c r="GK113" i="2"/>
  <c r="GL66" i="2"/>
  <c r="GL67" i="2"/>
  <c r="GL68" i="2"/>
  <c r="GL75" i="2"/>
  <c r="GL100" i="2"/>
  <c r="GL69" i="2"/>
  <c r="GL76" i="2"/>
  <c r="GL101" i="2"/>
  <c r="GL70" i="2"/>
  <c r="GL77" i="2"/>
  <c r="GL102" i="2"/>
  <c r="GL71" i="2"/>
  <c r="GL78" i="2"/>
  <c r="GL103" i="2"/>
  <c r="GL72" i="2"/>
  <c r="GL79" i="2"/>
  <c r="GL104" i="2"/>
  <c r="GL117" i="2"/>
  <c r="GL93" i="2"/>
  <c r="GL94" i="2"/>
  <c r="GL95" i="2"/>
  <c r="GL96" i="2"/>
  <c r="GL97" i="2"/>
  <c r="GL113" i="2"/>
  <c r="GM66" i="2"/>
  <c r="GM67" i="2"/>
  <c r="GM68" i="2"/>
  <c r="GM75" i="2"/>
  <c r="GM100" i="2"/>
  <c r="GM69" i="2"/>
  <c r="GM76" i="2"/>
  <c r="GM101" i="2"/>
  <c r="GM70" i="2"/>
  <c r="GM77" i="2"/>
  <c r="GM102" i="2"/>
  <c r="GM71" i="2"/>
  <c r="GM78" i="2"/>
  <c r="GM103" i="2"/>
  <c r="GM72" i="2"/>
  <c r="GM79" i="2"/>
  <c r="GM104" i="2"/>
  <c r="GM117" i="2"/>
  <c r="GM93" i="2"/>
  <c r="GM94" i="2"/>
  <c r="GM95" i="2"/>
  <c r="GM96" i="2"/>
  <c r="GM97" i="2"/>
  <c r="GM113" i="2"/>
  <c r="GN66" i="2"/>
  <c r="GN67" i="2"/>
  <c r="GN68" i="2"/>
  <c r="GN75" i="2"/>
  <c r="GN100" i="2"/>
  <c r="GN69" i="2"/>
  <c r="GN76" i="2"/>
  <c r="GN101" i="2"/>
  <c r="GN70" i="2"/>
  <c r="GN77" i="2"/>
  <c r="GN102" i="2"/>
  <c r="GN71" i="2"/>
  <c r="GN78" i="2"/>
  <c r="GN103" i="2"/>
  <c r="GN72" i="2"/>
  <c r="GN79" i="2"/>
  <c r="GN104" i="2"/>
  <c r="GN117" i="2"/>
  <c r="GN93" i="2"/>
  <c r="GN94" i="2"/>
  <c r="GN95" i="2"/>
  <c r="GN96" i="2"/>
  <c r="GN97" i="2"/>
  <c r="GN113" i="2"/>
  <c r="GO66" i="2"/>
  <c r="GO67" i="2"/>
  <c r="GO68" i="2"/>
  <c r="GO75" i="2"/>
  <c r="GO100" i="2"/>
  <c r="GO69" i="2"/>
  <c r="GO76" i="2"/>
  <c r="GO101" i="2"/>
  <c r="GO70" i="2"/>
  <c r="GO77" i="2"/>
  <c r="GO102" i="2"/>
  <c r="GO71" i="2"/>
  <c r="GO78" i="2"/>
  <c r="GO103" i="2"/>
  <c r="GO72" i="2"/>
  <c r="GO79" i="2"/>
  <c r="GO104" i="2"/>
  <c r="GO117" i="2"/>
  <c r="GO93" i="2"/>
  <c r="GO94" i="2"/>
  <c r="GO95" i="2"/>
  <c r="GO96" i="2"/>
  <c r="GO97" i="2"/>
  <c r="GO113" i="2"/>
  <c r="GP66" i="2"/>
  <c r="GP67" i="2"/>
  <c r="GP68" i="2"/>
  <c r="GP75" i="2"/>
  <c r="GP100" i="2"/>
  <c r="GP69" i="2"/>
  <c r="GP76" i="2"/>
  <c r="GP101" i="2"/>
  <c r="GP70" i="2"/>
  <c r="GP77" i="2"/>
  <c r="GP102" i="2"/>
  <c r="GP71" i="2"/>
  <c r="GP78" i="2"/>
  <c r="GP103" i="2"/>
  <c r="GP72" i="2"/>
  <c r="GP79" i="2"/>
  <c r="GP104" i="2"/>
  <c r="GP117" i="2"/>
  <c r="GP93" i="2"/>
  <c r="GP94" i="2"/>
  <c r="GP95" i="2"/>
  <c r="GP96" i="2"/>
  <c r="GP97" i="2"/>
  <c r="GP113" i="2"/>
  <c r="GQ66" i="2"/>
  <c r="GQ67" i="2"/>
  <c r="GQ68" i="2"/>
  <c r="GQ75" i="2"/>
  <c r="GQ100" i="2"/>
  <c r="GQ69" i="2"/>
  <c r="GQ76" i="2"/>
  <c r="GQ101" i="2"/>
  <c r="GQ70" i="2"/>
  <c r="GQ77" i="2"/>
  <c r="GQ102" i="2"/>
  <c r="GQ71" i="2"/>
  <c r="GQ78" i="2"/>
  <c r="GQ103" i="2"/>
  <c r="GQ72" i="2"/>
  <c r="GQ79" i="2"/>
  <c r="GQ104" i="2"/>
  <c r="GQ117" i="2"/>
  <c r="GQ93" i="2"/>
  <c r="GQ94" i="2"/>
  <c r="GQ95" i="2"/>
  <c r="GQ96" i="2"/>
  <c r="GQ97" i="2"/>
  <c r="GQ113" i="2"/>
  <c r="GR66" i="2"/>
  <c r="GR67" i="2"/>
  <c r="GR68" i="2"/>
  <c r="GR75" i="2"/>
  <c r="GR100" i="2"/>
  <c r="GR69" i="2"/>
  <c r="GR76" i="2"/>
  <c r="GR101" i="2"/>
  <c r="GR70" i="2"/>
  <c r="GR77" i="2"/>
  <c r="GR102" i="2"/>
  <c r="GR71" i="2"/>
  <c r="GR78" i="2"/>
  <c r="GR103" i="2"/>
  <c r="GR72" i="2"/>
  <c r="GR79" i="2"/>
  <c r="GR104" i="2"/>
  <c r="GR117" i="2"/>
  <c r="GR93" i="2"/>
  <c r="GR94" i="2"/>
  <c r="GR95" i="2"/>
  <c r="GR96" i="2"/>
  <c r="GR97" i="2"/>
  <c r="GR113" i="2"/>
  <c r="GS66" i="2"/>
  <c r="GS67" i="2"/>
  <c r="GS68" i="2"/>
  <c r="GS75" i="2"/>
  <c r="GS100" i="2"/>
  <c r="GS69" i="2"/>
  <c r="GS76" i="2"/>
  <c r="GS101" i="2"/>
  <c r="GS70" i="2"/>
  <c r="GS77" i="2"/>
  <c r="GS102" i="2"/>
  <c r="GS71" i="2"/>
  <c r="GS78" i="2"/>
  <c r="GS103" i="2"/>
  <c r="GS72" i="2"/>
  <c r="GS79" i="2"/>
  <c r="GS104" i="2"/>
  <c r="GS117" i="2"/>
  <c r="GS93" i="2"/>
  <c r="GS94" i="2"/>
  <c r="GS95" i="2"/>
  <c r="GS96" i="2"/>
  <c r="GS97" i="2"/>
  <c r="GS113" i="2"/>
  <c r="GT66" i="2"/>
  <c r="GT67" i="2"/>
  <c r="GT68" i="2"/>
  <c r="GT75" i="2"/>
  <c r="GT100" i="2"/>
  <c r="GT69" i="2"/>
  <c r="GT76" i="2"/>
  <c r="GT101" i="2"/>
  <c r="GT70" i="2"/>
  <c r="GT77" i="2"/>
  <c r="GT102" i="2"/>
  <c r="GT71" i="2"/>
  <c r="GT78" i="2"/>
  <c r="GT103" i="2"/>
  <c r="GT72" i="2"/>
  <c r="GT79" i="2"/>
  <c r="GT104" i="2"/>
  <c r="GT117" i="2"/>
  <c r="GT93" i="2"/>
  <c r="GT94" i="2"/>
  <c r="GT95" i="2"/>
  <c r="GT96" i="2"/>
  <c r="GT97" i="2"/>
  <c r="GT113" i="2"/>
  <c r="GU66" i="2"/>
  <c r="GU67" i="2"/>
  <c r="GU68" i="2"/>
  <c r="GU75" i="2"/>
  <c r="GU100" i="2"/>
  <c r="GU69" i="2"/>
  <c r="GU76" i="2"/>
  <c r="GU101" i="2"/>
  <c r="GU70" i="2"/>
  <c r="GU77" i="2"/>
  <c r="GU102" i="2"/>
  <c r="GU71" i="2"/>
  <c r="GU78" i="2"/>
  <c r="GU103" i="2"/>
  <c r="GU72" i="2"/>
  <c r="GU79" i="2"/>
  <c r="GU104" i="2"/>
  <c r="GU117" i="2"/>
  <c r="GU93" i="2"/>
  <c r="GU94" i="2"/>
  <c r="GU95" i="2"/>
  <c r="GU96" i="2"/>
  <c r="GU97" i="2"/>
  <c r="GU113" i="2"/>
  <c r="GV66" i="2"/>
  <c r="GV67" i="2"/>
  <c r="GV68" i="2"/>
  <c r="GV75" i="2"/>
  <c r="GV100" i="2"/>
  <c r="GV69" i="2"/>
  <c r="GV76" i="2"/>
  <c r="GV101" i="2"/>
  <c r="GV70" i="2"/>
  <c r="GV77" i="2"/>
  <c r="GV102" i="2"/>
  <c r="GV71" i="2"/>
  <c r="GV78" i="2"/>
  <c r="GV103" i="2"/>
  <c r="GV72" i="2"/>
  <c r="GV79" i="2"/>
  <c r="GV104" i="2"/>
  <c r="GV117" i="2"/>
  <c r="GV93" i="2"/>
  <c r="GV94" i="2"/>
  <c r="GV95" i="2"/>
  <c r="GV96" i="2"/>
  <c r="GV97" i="2"/>
  <c r="GV113" i="2"/>
  <c r="GW66" i="2"/>
  <c r="GW67" i="2"/>
  <c r="GW68" i="2"/>
  <c r="GW75" i="2"/>
  <c r="GW100" i="2"/>
  <c r="GW69" i="2"/>
  <c r="GW76" i="2"/>
  <c r="GW101" i="2"/>
  <c r="GW70" i="2"/>
  <c r="GW77" i="2"/>
  <c r="GW102" i="2"/>
  <c r="GW71" i="2"/>
  <c r="GW78" i="2"/>
  <c r="GW103" i="2"/>
  <c r="GW72" i="2"/>
  <c r="GW79" i="2"/>
  <c r="GW104" i="2"/>
  <c r="GW117" i="2"/>
  <c r="GW93" i="2"/>
  <c r="GW94" i="2"/>
  <c r="GW95" i="2"/>
  <c r="GW96" i="2"/>
  <c r="GW97" i="2"/>
  <c r="GW113" i="2"/>
  <c r="GX66" i="2"/>
  <c r="GX67" i="2"/>
  <c r="GX68" i="2"/>
  <c r="GX75" i="2"/>
  <c r="GX100" i="2"/>
  <c r="GX69" i="2"/>
  <c r="GX76" i="2"/>
  <c r="GX101" i="2"/>
  <c r="GX70" i="2"/>
  <c r="GX77" i="2"/>
  <c r="GX102" i="2"/>
  <c r="GX71" i="2"/>
  <c r="GX78" i="2"/>
  <c r="GX103" i="2"/>
  <c r="GX72" i="2"/>
  <c r="GX79" i="2"/>
  <c r="GX104" i="2"/>
  <c r="GX117" i="2"/>
  <c r="GX93" i="2"/>
  <c r="GX94" i="2"/>
  <c r="GX95" i="2"/>
  <c r="GX96" i="2"/>
  <c r="GX97" i="2"/>
  <c r="GX113" i="2"/>
  <c r="GY66" i="2"/>
  <c r="GY67" i="2"/>
  <c r="GY68" i="2"/>
  <c r="GY75" i="2"/>
  <c r="GY100" i="2"/>
  <c r="GY69" i="2"/>
  <c r="GY76" i="2"/>
  <c r="GY101" i="2"/>
  <c r="GY70" i="2"/>
  <c r="GY77" i="2"/>
  <c r="GY102" i="2"/>
  <c r="GY71" i="2"/>
  <c r="GY78" i="2"/>
  <c r="GY103" i="2"/>
  <c r="GY72" i="2"/>
  <c r="GY79" i="2"/>
  <c r="GY104" i="2"/>
  <c r="GY117" i="2"/>
  <c r="GY93" i="2"/>
  <c r="GY94" i="2"/>
  <c r="GY95" i="2"/>
  <c r="GY96" i="2"/>
  <c r="GY97" i="2"/>
  <c r="GY113" i="2"/>
  <c r="GZ66" i="2"/>
  <c r="GZ67" i="2"/>
  <c r="GZ68" i="2"/>
  <c r="GZ75" i="2"/>
  <c r="GZ100" i="2"/>
  <c r="GZ69" i="2"/>
  <c r="GZ76" i="2"/>
  <c r="GZ101" i="2"/>
  <c r="GZ70" i="2"/>
  <c r="GZ77" i="2"/>
  <c r="GZ102" i="2"/>
  <c r="GZ71" i="2"/>
  <c r="GZ78" i="2"/>
  <c r="GZ103" i="2"/>
  <c r="GZ72" i="2"/>
  <c r="GZ79" i="2"/>
  <c r="GZ104" i="2"/>
  <c r="GZ117" i="2"/>
  <c r="GZ93" i="2"/>
  <c r="GZ94" i="2"/>
  <c r="GZ95" i="2"/>
  <c r="GZ96" i="2"/>
  <c r="GZ97" i="2"/>
  <c r="GZ113" i="2"/>
  <c r="HA66" i="2"/>
  <c r="HA67" i="2"/>
  <c r="HA68" i="2"/>
  <c r="HA75" i="2"/>
  <c r="HA100" i="2"/>
  <c r="HA69" i="2"/>
  <c r="HA76" i="2"/>
  <c r="HA101" i="2"/>
  <c r="HA70" i="2"/>
  <c r="HA77" i="2"/>
  <c r="HA102" i="2"/>
  <c r="HA71" i="2"/>
  <c r="HA78" i="2"/>
  <c r="HA103" i="2"/>
  <c r="HA72" i="2"/>
  <c r="HA79" i="2"/>
  <c r="HA104" i="2"/>
  <c r="HA117" i="2"/>
  <c r="HA93" i="2"/>
  <c r="HA94" i="2"/>
  <c r="HA95" i="2"/>
  <c r="HA96" i="2"/>
  <c r="HA97" i="2"/>
  <c r="HA113" i="2"/>
  <c r="HB66" i="2"/>
  <c r="HB67" i="2"/>
  <c r="HB68" i="2"/>
  <c r="HB75" i="2"/>
  <c r="HB100" i="2"/>
  <c r="HB69" i="2"/>
  <c r="HB76" i="2"/>
  <c r="HB101" i="2"/>
  <c r="HB70" i="2"/>
  <c r="HB77" i="2"/>
  <c r="HB102" i="2"/>
  <c r="HB71" i="2"/>
  <c r="HB78" i="2"/>
  <c r="HB103" i="2"/>
  <c r="HB72" i="2"/>
  <c r="HB79" i="2"/>
  <c r="HB104" i="2"/>
  <c r="HB117" i="2"/>
  <c r="HB93" i="2"/>
  <c r="HB94" i="2"/>
  <c r="HB95" i="2"/>
  <c r="HB96" i="2"/>
  <c r="HB97" i="2"/>
  <c r="HB113" i="2"/>
  <c r="HC66" i="2"/>
  <c r="HC67" i="2"/>
  <c r="HC68" i="2"/>
  <c r="HC75" i="2"/>
  <c r="HC100" i="2"/>
  <c r="HC69" i="2"/>
  <c r="HC76" i="2"/>
  <c r="HC101" i="2"/>
  <c r="HC70" i="2"/>
  <c r="HC77" i="2"/>
  <c r="HC102" i="2"/>
  <c r="HC71" i="2"/>
  <c r="HC78" i="2"/>
  <c r="HC103" i="2"/>
  <c r="HC72" i="2"/>
  <c r="HC79" i="2"/>
  <c r="HC104" i="2"/>
  <c r="HC117" i="2"/>
  <c r="HC93" i="2"/>
  <c r="HC94" i="2"/>
  <c r="HC95" i="2"/>
  <c r="HC96" i="2"/>
  <c r="HC97" i="2"/>
  <c r="HC113" i="2"/>
  <c r="HD66" i="2"/>
  <c r="HD67" i="2"/>
  <c r="HD68" i="2"/>
  <c r="HD75" i="2"/>
  <c r="HD100" i="2"/>
  <c r="HD69" i="2"/>
  <c r="HD76" i="2"/>
  <c r="HD101" i="2"/>
  <c r="HD70" i="2"/>
  <c r="HD77" i="2"/>
  <c r="HD102" i="2"/>
  <c r="HD71" i="2"/>
  <c r="HD78" i="2"/>
  <c r="HD103" i="2"/>
  <c r="HD72" i="2"/>
  <c r="HD79" i="2"/>
  <c r="HD104" i="2"/>
  <c r="HD117" i="2"/>
  <c r="HD93" i="2"/>
  <c r="HD94" i="2"/>
  <c r="HD95" i="2"/>
  <c r="HD96" i="2"/>
  <c r="HD97" i="2"/>
  <c r="HD113" i="2"/>
  <c r="HE66" i="2"/>
  <c r="HE67" i="2"/>
  <c r="HE68" i="2"/>
  <c r="HE75" i="2"/>
  <c r="HE100" i="2"/>
  <c r="HE69" i="2"/>
  <c r="HE76" i="2"/>
  <c r="HE101" i="2"/>
  <c r="HE70" i="2"/>
  <c r="HE77" i="2"/>
  <c r="HE102" i="2"/>
  <c r="HE71" i="2"/>
  <c r="HE78" i="2"/>
  <c r="HE103" i="2"/>
  <c r="HE72" i="2"/>
  <c r="HE79" i="2"/>
  <c r="HE104" i="2"/>
  <c r="HE117" i="2"/>
  <c r="HE93" i="2"/>
  <c r="HE94" i="2"/>
  <c r="HE95" i="2"/>
  <c r="HE96" i="2"/>
  <c r="HE97" i="2"/>
  <c r="HE113" i="2"/>
  <c r="HF66" i="2"/>
  <c r="HF67" i="2"/>
  <c r="HF68" i="2"/>
  <c r="HF75" i="2"/>
  <c r="HF100" i="2"/>
  <c r="HF69" i="2"/>
  <c r="HF76" i="2"/>
  <c r="HF101" i="2"/>
  <c r="HF70" i="2"/>
  <c r="HF77" i="2"/>
  <c r="HF102" i="2"/>
  <c r="HF71" i="2"/>
  <c r="HF78" i="2"/>
  <c r="HF103" i="2"/>
  <c r="HF72" i="2"/>
  <c r="HF79" i="2"/>
  <c r="HF104" i="2"/>
  <c r="HF117" i="2"/>
  <c r="HF93" i="2"/>
  <c r="HF94" i="2"/>
  <c r="HF95" i="2"/>
  <c r="HF96" i="2"/>
  <c r="HF97" i="2"/>
  <c r="HF113" i="2"/>
  <c r="HG66" i="2"/>
  <c r="HG67" i="2"/>
  <c r="HG68" i="2"/>
  <c r="HG75" i="2"/>
  <c r="HG100" i="2"/>
  <c r="HG69" i="2"/>
  <c r="HG76" i="2"/>
  <c r="HG101" i="2"/>
  <c r="HG70" i="2"/>
  <c r="HG77" i="2"/>
  <c r="HG102" i="2"/>
  <c r="HG71" i="2"/>
  <c r="HG78" i="2"/>
  <c r="HG103" i="2"/>
  <c r="HG72" i="2"/>
  <c r="HG79" i="2"/>
  <c r="HG104" i="2"/>
  <c r="HG117" i="2"/>
  <c r="HG93" i="2"/>
  <c r="HG94" i="2"/>
  <c r="HG95" i="2"/>
  <c r="HG96" i="2"/>
  <c r="HG97" i="2"/>
  <c r="HG113" i="2"/>
  <c r="HH66" i="2"/>
  <c r="HH67" i="2"/>
  <c r="HH68" i="2"/>
  <c r="HH75" i="2"/>
  <c r="HH100" i="2"/>
  <c r="HH69" i="2"/>
  <c r="HH76" i="2"/>
  <c r="HH101" i="2"/>
  <c r="HH70" i="2"/>
  <c r="HH77" i="2"/>
  <c r="HH102" i="2"/>
  <c r="HH71" i="2"/>
  <c r="HH78" i="2"/>
  <c r="HH103" i="2"/>
  <c r="HH72" i="2"/>
  <c r="HH79" i="2"/>
  <c r="HH104" i="2"/>
  <c r="HH117" i="2"/>
  <c r="HH93" i="2"/>
  <c r="HH94" i="2"/>
  <c r="HH95" i="2"/>
  <c r="HH96" i="2"/>
  <c r="HH97" i="2"/>
  <c r="HH113" i="2"/>
  <c r="HI66" i="2"/>
  <c r="HI67" i="2"/>
  <c r="HI68" i="2"/>
  <c r="HI75" i="2"/>
  <c r="HI100" i="2"/>
  <c r="HI69" i="2"/>
  <c r="HI76" i="2"/>
  <c r="HI101" i="2"/>
  <c r="HI70" i="2"/>
  <c r="HI77" i="2"/>
  <c r="HI102" i="2"/>
  <c r="HI71" i="2"/>
  <c r="HI78" i="2"/>
  <c r="HI103" i="2"/>
  <c r="HI72" i="2"/>
  <c r="HI79" i="2"/>
  <c r="HI104" i="2"/>
  <c r="HI117" i="2"/>
  <c r="HI93" i="2"/>
  <c r="HI94" i="2"/>
  <c r="HI95" i="2"/>
  <c r="HI96" i="2"/>
  <c r="HI97" i="2"/>
  <c r="HI113" i="2"/>
  <c r="HJ66" i="2"/>
  <c r="HJ67" i="2"/>
  <c r="HJ68" i="2"/>
  <c r="HJ75" i="2"/>
  <c r="HJ100" i="2"/>
  <c r="HJ69" i="2"/>
  <c r="HJ76" i="2"/>
  <c r="HJ101" i="2"/>
  <c r="HJ70" i="2"/>
  <c r="HJ77" i="2"/>
  <c r="HJ102" i="2"/>
  <c r="HJ71" i="2"/>
  <c r="HJ78" i="2"/>
  <c r="HJ103" i="2"/>
  <c r="HJ72" i="2"/>
  <c r="HJ79" i="2"/>
  <c r="HJ104" i="2"/>
  <c r="HJ117" i="2"/>
  <c r="HJ93" i="2"/>
  <c r="HJ94" i="2"/>
  <c r="HJ95" i="2"/>
  <c r="HJ96" i="2"/>
  <c r="HJ97" i="2"/>
  <c r="HJ113" i="2"/>
  <c r="HK66" i="2"/>
  <c r="HK67" i="2"/>
  <c r="HK68" i="2"/>
  <c r="HK75" i="2"/>
  <c r="HK100" i="2"/>
  <c r="HK69" i="2"/>
  <c r="HK76" i="2"/>
  <c r="HK101" i="2"/>
  <c r="HK70" i="2"/>
  <c r="HK77" i="2"/>
  <c r="HK102" i="2"/>
  <c r="HK71" i="2"/>
  <c r="HK78" i="2"/>
  <c r="HK103" i="2"/>
  <c r="HK72" i="2"/>
  <c r="HK79" i="2"/>
  <c r="HK104" i="2"/>
  <c r="HK117" i="2"/>
  <c r="HK93" i="2"/>
  <c r="HK94" i="2"/>
  <c r="HK95" i="2"/>
  <c r="HK96" i="2"/>
  <c r="HK97" i="2"/>
  <c r="HK113" i="2"/>
  <c r="HL66" i="2"/>
  <c r="HL67" i="2"/>
  <c r="HL68" i="2"/>
  <c r="HL75" i="2"/>
  <c r="HL100" i="2"/>
  <c r="HL69" i="2"/>
  <c r="HL76" i="2"/>
  <c r="HL101" i="2"/>
  <c r="HL70" i="2"/>
  <c r="HL77" i="2"/>
  <c r="HL102" i="2"/>
  <c r="HL71" i="2"/>
  <c r="HL78" i="2"/>
  <c r="HL103" i="2"/>
  <c r="HL72" i="2"/>
  <c r="HL79" i="2"/>
  <c r="HL104" i="2"/>
  <c r="HL117" i="2"/>
  <c r="HL93" i="2"/>
  <c r="HL94" i="2"/>
  <c r="HL95" i="2"/>
  <c r="HL96" i="2"/>
  <c r="HL97" i="2"/>
  <c r="HL113" i="2"/>
  <c r="HM66" i="2"/>
  <c r="HM67" i="2"/>
  <c r="HM68" i="2"/>
  <c r="HM75" i="2"/>
  <c r="HM100" i="2"/>
  <c r="HM69" i="2"/>
  <c r="HM76" i="2"/>
  <c r="HM101" i="2"/>
  <c r="HM70" i="2"/>
  <c r="HM77" i="2"/>
  <c r="HM102" i="2"/>
  <c r="HM71" i="2"/>
  <c r="HM78" i="2"/>
  <c r="HM103" i="2"/>
  <c r="HM72" i="2"/>
  <c r="HM79" i="2"/>
  <c r="HM104" i="2"/>
  <c r="HM117" i="2"/>
  <c r="HM93" i="2"/>
  <c r="HM94" i="2"/>
  <c r="HM95" i="2"/>
  <c r="HM96" i="2"/>
  <c r="HM97" i="2"/>
  <c r="HM113" i="2"/>
  <c r="HN66" i="2"/>
  <c r="HN67" i="2"/>
  <c r="HN68" i="2"/>
  <c r="HN75" i="2"/>
  <c r="HN100" i="2"/>
  <c r="HN69" i="2"/>
  <c r="HN76" i="2"/>
  <c r="HN101" i="2"/>
  <c r="HN70" i="2"/>
  <c r="HN77" i="2"/>
  <c r="HN102" i="2"/>
  <c r="HN71" i="2"/>
  <c r="HN78" i="2"/>
  <c r="HN103" i="2"/>
  <c r="HN72" i="2"/>
  <c r="HN79" i="2"/>
  <c r="HN104" i="2"/>
  <c r="HN117" i="2"/>
  <c r="HN93" i="2"/>
  <c r="HN94" i="2"/>
  <c r="HN95" i="2"/>
  <c r="HN96" i="2"/>
  <c r="HN97" i="2"/>
  <c r="HN113" i="2"/>
  <c r="HO66" i="2"/>
  <c r="HO67" i="2"/>
  <c r="HO68" i="2"/>
  <c r="HO75" i="2"/>
  <c r="HO100" i="2"/>
  <c r="HO69" i="2"/>
  <c r="HO76" i="2"/>
  <c r="HO101" i="2"/>
  <c r="HO70" i="2"/>
  <c r="HO77" i="2"/>
  <c r="HO102" i="2"/>
  <c r="HO71" i="2"/>
  <c r="HO78" i="2"/>
  <c r="HO103" i="2"/>
  <c r="HO72" i="2"/>
  <c r="HO79" i="2"/>
  <c r="HO104" i="2"/>
  <c r="HO117" i="2"/>
  <c r="HO93" i="2"/>
  <c r="HO94" i="2"/>
  <c r="HO95" i="2"/>
  <c r="HO96" i="2"/>
  <c r="HO97" i="2"/>
  <c r="HO113" i="2"/>
  <c r="HP66" i="2"/>
  <c r="HP67" i="2"/>
  <c r="HP68" i="2"/>
  <c r="HP75" i="2"/>
  <c r="HP100" i="2"/>
  <c r="HP69" i="2"/>
  <c r="HP76" i="2"/>
  <c r="HP101" i="2"/>
  <c r="HP70" i="2"/>
  <c r="HP77" i="2"/>
  <c r="HP102" i="2"/>
  <c r="HP71" i="2"/>
  <c r="HP78" i="2"/>
  <c r="HP103" i="2"/>
  <c r="HP72" i="2"/>
  <c r="HP79" i="2"/>
  <c r="HP104" i="2"/>
  <c r="HP117" i="2"/>
  <c r="HP93" i="2"/>
  <c r="HP94" i="2"/>
  <c r="HP95" i="2"/>
  <c r="HP96" i="2"/>
  <c r="HP97" i="2"/>
  <c r="HP113" i="2"/>
  <c r="HQ66" i="2"/>
  <c r="HQ67" i="2"/>
  <c r="HQ68" i="2"/>
  <c r="HQ75" i="2"/>
  <c r="HQ100" i="2"/>
  <c r="HQ69" i="2"/>
  <c r="HQ76" i="2"/>
  <c r="HQ101" i="2"/>
  <c r="HQ70" i="2"/>
  <c r="HQ77" i="2"/>
  <c r="HQ102" i="2"/>
  <c r="HQ71" i="2"/>
  <c r="HQ78" i="2"/>
  <c r="HQ103" i="2"/>
  <c r="HQ72" i="2"/>
  <c r="HQ79" i="2"/>
  <c r="HQ104" i="2"/>
  <c r="HQ117" i="2"/>
  <c r="HQ93" i="2"/>
  <c r="HQ94" i="2"/>
  <c r="HQ95" i="2"/>
  <c r="HQ96" i="2"/>
  <c r="HQ97" i="2"/>
  <c r="HQ113" i="2"/>
  <c r="HR66" i="2"/>
  <c r="HR67" i="2"/>
  <c r="HR68" i="2"/>
  <c r="HR75" i="2"/>
  <c r="HR100" i="2"/>
  <c r="HR69" i="2"/>
  <c r="HR76" i="2"/>
  <c r="HR101" i="2"/>
  <c r="HR70" i="2"/>
  <c r="HR77" i="2"/>
  <c r="HR102" i="2"/>
  <c r="HR71" i="2"/>
  <c r="HR78" i="2"/>
  <c r="HR103" i="2"/>
  <c r="HR72" i="2"/>
  <c r="HR79" i="2"/>
  <c r="HR104" i="2"/>
  <c r="HR117" i="2"/>
  <c r="HR93" i="2"/>
  <c r="HR94" i="2"/>
  <c r="HR95" i="2"/>
  <c r="HR96" i="2"/>
  <c r="HR97" i="2"/>
  <c r="HR113" i="2"/>
  <c r="HS66" i="2"/>
  <c r="HS67" i="2"/>
  <c r="HS68" i="2"/>
  <c r="HS75" i="2"/>
  <c r="HS100" i="2"/>
  <c r="HS69" i="2"/>
  <c r="HS76" i="2"/>
  <c r="HS101" i="2"/>
  <c r="HS70" i="2"/>
  <c r="HS77" i="2"/>
  <c r="HS102" i="2"/>
  <c r="HS71" i="2"/>
  <c r="HS78" i="2"/>
  <c r="HS103" i="2"/>
  <c r="HS72" i="2"/>
  <c r="HS79" i="2"/>
  <c r="HS104" i="2"/>
  <c r="HS117" i="2"/>
  <c r="HS93" i="2"/>
  <c r="HS94" i="2"/>
  <c r="HS95" i="2"/>
  <c r="HS96" i="2"/>
  <c r="HS97" i="2"/>
  <c r="HS113" i="2"/>
  <c r="HT66" i="2"/>
  <c r="HT67" i="2"/>
  <c r="HT68" i="2"/>
  <c r="HT75" i="2"/>
  <c r="HT100" i="2"/>
  <c r="HT69" i="2"/>
  <c r="HT76" i="2"/>
  <c r="HT101" i="2"/>
  <c r="HT70" i="2"/>
  <c r="HT77" i="2"/>
  <c r="HT102" i="2"/>
  <c r="HT71" i="2"/>
  <c r="HT78" i="2"/>
  <c r="HT103" i="2"/>
  <c r="HT72" i="2"/>
  <c r="HT79" i="2"/>
  <c r="HT104" i="2"/>
  <c r="HT117" i="2"/>
  <c r="HT93" i="2"/>
  <c r="HT94" i="2"/>
  <c r="HT95" i="2"/>
  <c r="HT96" i="2"/>
  <c r="HT97" i="2"/>
  <c r="HT113" i="2"/>
  <c r="HU66" i="2"/>
  <c r="HU67" i="2"/>
  <c r="HU68" i="2"/>
  <c r="HU75" i="2"/>
  <c r="HU100" i="2"/>
  <c r="HU69" i="2"/>
  <c r="HU76" i="2"/>
  <c r="HU101" i="2"/>
  <c r="HU70" i="2"/>
  <c r="HU77" i="2"/>
  <c r="HU102" i="2"/>
  <c r="HU71" i="2"/>
  <c r="HU78" i="2"/>
  <c r="HU103" i="2"/>
  <c r="HU72" i="2"/>
  <c r="HU79" i="2"/>
  <c r="HU104" i="2"/>
  <c r="HU117" i="2"/>
  <c r="HU93" i="2"/>
  <c r="HU94" i="2"/>
  <c r="HU95" i="2"/>
  <c r="HU96" i="2"/>
  <c r="HU97" i="2"/>
  <c r="HU113" i="2"/>
  <c r="HV66" i="2"/>
  <c r="HV67" i="2"/>
  <c r="HV68" i="2"/>
  <c r="HV75" i="2"/>
  <c r="HV100" i="2"/>
  <c r="HV69" i="2"/>
  <c r="HV76" i="2"/>
  <c r="HV101" i="2"/>
  <c r="HV70" i="2"/>
  <c r="HV77" i="2"/>
  <c r="HV102" i="2"/>
  <c r="HV71" i="2"/>
  <c r="HV78" i="2"/>
  <c r="HV103" i="2"/>
  <c r="HV72" i="2"/>
  <c r="HV79" i="2"/>
  <c r="HV104" i="2"/>
  <c r="HV117" i="2"/>
  <c r="HV93" i="2"/>
  <c r="HV94" i="2"/>
  <c r="HV95" i="2"/>
  <c r="HV96" i="2"/>
  <c r="HV97" i="2"/>
  <c r="HV113" i="2"/>
  <c r="HW66" i="2"/>
  <c r="HW67" i="2"/>
  <c r="HW68" i="2"/>
  <c r="HW75" i="2"/>
  <c r="HW100" i="2"/>
  <c r="HW69" i="2"/>
  <c r="HW76" i="2"/>
  <c r="HW101" i="2"/>
  <c r="HW70" i="2"/>
  <c r="HW77" i="2"/>
  <c r="HW102" i="2"/>
  <c r="HW71" i="2"/>
  <c r="HW78" i="2"/>
  <c r="HW103" i="2"/>
  <c r="HW72" i="2"/>
  <c r="HW79" i="2"/>
  <c r="HW104" i="2"/>
  <c r="HW117" i="2"/>
  <c r="HW93" i="2"/>
  <c r="HW94" i="2"/>
  <c r="HW95" i="2"/>
  <c r="HW96" i="2"/>
  <c r="HW97" i="2"/>
  <c r="HW113" i="2"/>
  <c r="HX66" i="2"/>
  <c r="HX67" i="2"/>
  <c r="HX68" i="2"/>
  <c r="HX75" i="2"/>
  <c r="HX100" i="2"/>
  <c r="HX69" i="2"/>
  <c r="HX76" i="2"/>
  <c r="HX101" i="2"/>
  <c r="HX70" i="2"/>
  <c r="HX77" i="2"/>
  <c r="HX102" i="2"/>
  <c r="HX71" i="2"/>
  <c r="HX78" i="2"/>
  <c r="HX103" i="2"/>
  <c r="HX72" i="2"/>
  <c r="HX79" i="2"/>
  <c r="HX104" i="2"/>
  <c r="HX117" i="2"/>
  <c r="HX93" i="2"/>
  <c r="HX94" i="2"/>
  <c r="HX95" i="2"/>
  <c r="HX96" i="2"/>
  <c r="HX97" i="2"/>
  <c r="HX113" i="2"/>
  <c r="HY66" i="2"/>
  <c r="HY67" i="2"/>
  <c r="HY68" i="2"/>
  <c r="HY75" i="2"/>
  <c r="HY100" i="2"/>
  <c r="HY69" i="2"/>
  <c r="HY76" i="2"/>
  <c r="HY101" i="2"/>
  <c r="HY70" i="2"/>
  <c r="HY77" i="2"/>
  <c r="HY102" i="2"/>
  <c r="HY71" i="2"/>
  <c r="HY78" i="2"/>
  <c r="HY103" i="2"/>
  <c r="HY72" i="2"/>
  <c r="HY79" i="2"/>
  <c r="HY104" i="2"/>
  <c r="HY117" i="2"/>
  <c r="HY93" i="2"/>
  <c r="HY94" i="2"/>
  <c r="HY95" i="2"/>
  <c r="HY96" i="2"/>
  <c r="HY97" i="2"/>
  <c r="HY113" i="2"/>
  <c r="HZ66" i="2"/>
  <c r="HZ67" i="2"/>
  <c r="HZ68" i="2"/>
  <c r="HZ75" i="2"/>
  <c r="HZ100" i="2"/>
  <c r="HZ69" i="2"/>
  <c r="HZ76" i="2"/>
  <c r="HZ101" i="2"/>
  <c r="HZ70" i="2"/>
  <c r="HZ77" i="2"/>
  <c r="HZ102" i="2"/>
  <c r="HZ71" i="2"/>
  <c r="HZ78" i="2"/>
  <c r="HZ103" i="2"/>
  <c r="HZ72" i="2"/>
  <c r="HZ79" i="2"/>
  <c r="HZ104" i="2"/>
  <c r="HZ117" i="2"/>
  <c r="HZ93" i="2"/>
  <c r="HZ94" i="2"/>
  <c r="HZ95" i="2"/>
  <c r="HZ96" i="2"/>
  <c r="HZ97" i="2"/>
  <c r="HZ113" i="2"/>
  <c r="IA66" i="2"/>
  <c r="IA67" i="2"/>
  <c r="IA68" i="2"/>
  <c r="IA75" i="2"/>
  <c r="IA100" i="2"/>
  <c r="IA69" i="2"/>
  <c r="IA76" i="2"/>
  <c r="IA101" i="2"/>
  <c r="IA70" i="2"/>
  <c r="IA77" i="2"/>
  <c r="IA102" i="2"/>
  <c r="IA71" i="2"/>
  <c r="IA78" i="2"/>
  <c r="IA103" i="2"/>
  <c r="IA72" i="2"/>
  <c r="IA79" i="2"/>
  <c r="IA104" i="2"/>
  <c r="IA117" i="2"/>
  <c r="IA93" i="2"/>
  <c r="IA94" i="2"/>
  <c r="IA95" i="2"/>
  <c r="IA96" i="2"/>
  <c r="IA97" i="2"/>
  <c r="IA113" i="2"/>
  <c r="IB66" i="2"/>
  <c r="IB67" i="2"/>
  <c r="IB68" i="2"/>
  <c r="IB75" i="2"/>
  <c r="IB100" i="2"/>
  <c r="IB69" i="2"/>
  <c r="IB76" i="2"/>
  <c r="IB101" i="2"/>
  <c r="IB70" i="2"/>
  <c r="IB77" i="2"/>
  <c r="IB102" i="2"/>
  <c r="IB71" i="2"/>
  <c r="IB78" i="2"/>
  <c r="IB103" i="2"/>
  <c r="IB72" i="2"/>
  <c r="IB79" i="2"/>
  <c r="IB104" i="2"/>
  <c r="IB117" i="2"/>
  <c r="IB93" i="2"/>
  <c r="IB94" i="2"/>
  <c r="IB95" i="2"/>
  <c r="IB96" i="2"/>
  <c r="IB97" i="2"/>
  <c r="IB113" i="2"/>
  <c r="IC66" i="2"/>
  <c r="IC67" i="2"/>
  <c r="IC68" i="2"/>
  <c r="IC75" i="2"/>
  <c r="IC100" i="2"/>
  <c r="IC69" i="2"/>
  <c r="IC76" i="2"/>
  <c r="IC101" i="2"/>
  <c r="IC70" i="2"/>
  <c r="IC77" i="2"/>
  <c r="IC102" i="2"/>
  <c r="IC71" i="2"/>
  <c r="IC78" i="2"/>
  <c r="IC103" i="2"/>
  <c r="IC72" i="2"/>
  <c r="IC79" i="2"/>
  <c r="IC104" i="2"/>
  <c r="IC117" i="2"/>
  <c r="IC93" i="2"/>
  <c r="IC94" i="2"/>
  <c r="IC95" i="2"/>
  <c r="IC96" i="2"/>
  <c r="IC97" i="2"/>
  <c r="IC113" i="2"/>
  <c r="ID66" i="2"/>
  <c r="ID67" i="2"/>
  <c r="ID68" i="2"/>
  <c r="ID75" i="2"/>
  <c r="ID100" i="2"/>
  <c r="ID69" i="2"/>
  <c r="ID76" i="2"/>
  <c r="ID101" i="2"/>
  <c r="ID70" i="2"/>
  <c r="ID77" i="2"/>
  <c r="ID102" i="2"/>
  <c r="ID71" i="2"/>
  <c r="ID78" i="2"/>
  <c r="ID103" i="2"/>
  <c r="ID72" i="2"/>
  <c r="ID79" i="2"/>
  <c r="ID104" i="2"/>
  <c r="ID117" i="2"/>
  <c r="ID93" i="2"/>
  <c r="ID94" i="2"/>
  <c r="ID95" i="2"/>
  <c r="ID96" i="2"/>
  <c r="ID97" i="2"/>
  <c r="ID113" i="2"/>
  <c r="IE66" i="2"/>
  <c r="IE67" i="2"/>
  <c r="IE68" i="2"/>
  <c r="IE75" i="2"/>
  <c r="IE100" i="2"/>
  <c r="IE69" i="2"/>
  <c r="IE76" i="2"/>
  <c r="IE101" i="2"/>
  <c r="IE70" i="2"/>
  <c r="IE77" i="2"/>
  <c r="IE102" i="2"/>
  <c r="IE71" i="2"/>
  <c r="IE78" i="2"/>
  <c r="IE103" i="2"/>
  <c r="IE72" i="2"/>
  <c r="IE79" i="2"/>
  <c r="IE104" i="2"/>
  <c r="IE117" i="2"/>
  <c r="IE93" i="2"/>
  <c r="IE94" i="2"/>
  <c r="IE95" i="2"/>
  <c r="IE96" i="2"/>
  <c r="IE97" i="2"/>
  <c r="IE113" i="2"/>
  <c r="IF66" i="2"/>
  <c r="IF67" i="2"/>
  <c r="IF68" i="2"/>
  <c r="IF75" i="2"/>
  <c r="IF100" i="2"/>
  <c r="IF69" i="2"/>
  <c r="IF76" i="2"/>
  <c r="IF101" i="2"/>
  <c r="IF70" i="2"/>
  <c r="IF77" i="2"/>
  <c r="IF102" i="2"/>
  <c r="IF71" i="2"/>
  <c r="IF78" i="2"/>
  <c r="IF103" i="2"/>
  <c r="IF72" i="2"/>
  <c r="IF79" i="2"/>
  <c r="IF104" i="2"/>
  <c r="IF117" i="2"/>
  <c r="IF93" i="2"/>
  <c r="IF94" i="2"/>
  <c r="IF95" i="2"/>
  <c r="IF96" i="2"/>
  <c r="IF97" i="2"/>
  <c r="IF113" i="2"/>
  <c r="IG66" i="2"/>
  <c r="IG67" i="2"/>
  <c r="IG68" i="2"/>
  <c r="IG75" i="2"/>
  <c r="IG100" i="2"/>
  <c r="IG69" i="2"/>
  <c r="IG76" i="2"/>
  <c r="IG101" i="2"/>
  <c r="IG70" i="2"/>
  <c r="IG77" i="2"/>
  <c r="IG102" i="2"/>
  <c r="IG71" i="2"/>
  <c r="IG78" i="2"/>
  <c r="IG103" i="2"/>
  <c r="IG72" i="2"/>
  <c r="IG79" i="2"/>
  <c r="IG104" i="2"/>
  <c r="IG117" i="2"/>
  <c r="IG93" i="2"/>
  <c r="IG94" i="2"/>
  <c r="IG95" i="2"/>
  <c r="IG96" i="2"/>
  <c r="IG97" i="2"/>
  <c r="IG113" i="2"/>
  <c r="IH66" i="2"/>
  <c r="IH67" i="2"/>
  <c r="IH68" i="2"/>
  <c r="IH75" i="2"/>
  <c r="IH100" i="2"/>
  <c r="IH69" i="2"/>
  <c r="IH76" i="2"/>
  <c r="IH101" i="2"/>
  <c r="IH70" i="2"/>
  <c r="IH77" i="2"/>
  <c r="IH102" i="2"/>
  <c r="IH71" i="2"/>
  <c r="IH78" i="2"/>
  <c r="IH103" i="2"/>
  <c r="IH72" i="2"/>
  <c r="IH79" i="2"/>
  <c r="IH104" i="2"/>
  <c r="IH117" i="2"/>
  <c r="IH93" i="2"/>
  <c r="IH94" i="2"/>
  <c r="IH95" i="2"/>
  <c r="IH96" i="2"/>
  <c r="IH97" i="2"/>
  <c r="IH113" i="2"/>
  <c r="II66" i="2"/>
  <c r="II67" i="2"/>
  <c r="II68" i="2"/>
  <c r="II75" i="2"/>
  <c r="II100" i="2"/>
  <c r="II69" i="2"/>
  <c r="II76" i="2"/>
  <c r="II101" i="2"/>
  <c r="II70" i="2"/>
  <c r="II77" i="2"/>
  <c r="II102" i="2"/>
  <c r="II71" i="2"/>
  <c r="II78" i="2"/>
  <c r="II103" i="2"/>
  <c r="II72" i="2"/>
  <c r="II79" i="2"/>
  <c r="II104" i="2"/>
  <c r="II117" i="2"/>
  <c r="II93" i="2"/>
  <c r="II94" i="2"/>
  <c r="II95" i="2"/>
  <c r="II96" i="2"/>
  <c r="II97" i="2"/>
  <c r="II113" i="2"/>
  <c r="IJ66" i="2"/>
  <c r="IJ67" i="2"/>
  <c r="IJ68" i="2"/>
  <c r="IJ75" i="2"/>
  <c r="IJ100" i="2"/>
  <c r="IJ69" i="2"/>
  <c r="IJ76" i="2"/>
  <c r="IJ101" i="2"/>
  <c r="IJ70" i="2"/>
  <c r="IJ77" i="2"/>
  <c r="IJ102" i="2"/>
  <c r="IJ71" i="2"/>
  <c r="IJ78" i="2"/>
  <c r="IJ103" i="2"/>
  <c r="IJ72" i="2"/>
  <c r="IJ79" i="2"/>
  <c r="IJ104" i="2"/>
  <c r="IJ117" i="2"/>
  <c r="IJ93" i="2"/>
  <c r="IJ94" i="2"/>
  <c r="IJ95" i="2"/>
  <c r="IJ96" i="2"/>
  <c r="IJ97" i="2"/>
  <c r="IJ113" i="2"/>
  <c r="IK66" i="2"/>
  <c r="IK67" i="2"/>
  <c r="IK68" i="2"/>
  <c r="IK75" i="2"/>
  <c r="IK100" i="2"/>
  <c r="IK69" i="2"/>
  <c r="IK76" i="2"/>
  <c r="IK101" i="2"/>
  <c r="IK70" i="2"/>
  <c r="IK77" i="2"/>
  <c r="IK102" i="2"/>
  <c r="IK71" i="2"/>
  <c r="IK78" i="2"/>
  <c r="IK103" i="2"/>
  <c r="IK72" i="2"/>
  <c r="IK79" i="2"/>
  <c r="IK104" i="2"/>
  <c r="IK117" i="2"/>
  <c r="IK93" i="2"/>
  <c r="IK94" i="2"/>
  <c r="IK95" i="2"/>
  <c r="IK96" i="2"/>
  <c r="IK97" i="2"/>
  <c r="IK113" i="2"/>
  <c r="IL66" i="2"/>
  <c r="IL67" i="2"/>
  <c r="IL68" i="2"/>
  <c r="IL75" i="2"/>
  <c r="IL100" i="2"/>
  <c r="IL69" i="2"/>
  <c r="IL76" i="2"/>
  <c r="IL101" i="2"/>
  <c r="IL70" i="2"/>
  <c r="IL77" i="2"/>
  <c r="IL102" i="2"/>
  <c r="IL71" i="2"/>
  <c r="IL78" i="2"/>
  <c r="IL103" i="2"/>
  <c r="IL72" i="2"/>
  <c r="IL79" i="2"/>
  <c r="IL104" i="2"/>
  <c r="IL117" i="2"/>
  <c r="IL93" i="2"/>
  <c r="IL94" i="2"/>
  <c r="IL95" i="2"/>
  <c r="IL96" i="2"/>
  <c r="IL97" i="2"/>
  <c r="IL113" i="2"/>
  <c r="IM66" i="2"/>
  <c r="IM67" i="2"/>
  <c r="IM68" i="2"/>
  <c r="IM75" i="2"/>
  <c r="IM100" i="2"/>
  <c r="IM69" i="2"/>
  <c r="IM76" i="2"/>
  <c r="IM101" i="2"/>
  <c r="IM70" i="2"/>
  <c r="IM77" i="2"/>
  <c r="IM102" i="2"/>
  <c r="IM71" i="2"/>
  <c r="IM78" i="2"/>
  <c r="IM103" i="2"/>
  <c r="IM72" i="2"/>
  <c r="IM79" i="2"/>
  <c r="IM104" i="2"/>
  <c r="IM117" i="2"/>
  <c r="IM93" i="2"/>
  <c r="IM94" i="2"/>
  <c r="IM95" i="2"/>
  <c r="IM96" i="2"/>
  <c r="IM97" i="2"/>
  <c r="IM113" i="2"/>
  <c r="IN66" i="2"/>
  <c r="IN67" i="2"/>
  <c r="IN68" i="2"/>
  <c r="IN75" i="2"/>
  <c r="IN100" i="2"/>
  <c r="IN69" i="2"/>
  <c r="IN76" i="2"/>
  <c r="IN101" i="2"/>
  <c r="IN70" i="2"/>
  <c r="IN77" i="2"/>
  <c r="IN102" i="2"/>
  <c r="IN71" i="2"/>
  <c r="IN78" i="2"/>
  <c r="IN103" i="2"/>
  <c r="IN72" i="2"/>
  <c r="IN79" i="2"/>
  <c r="IN104" i="2"/>
  <c r="IN117" i="2"/>
  <c r="IN93" i="2"/>
  <c r="IN94" i="2"/>
  <c r="IN95" i="2"/>
  <c r="IN96" i="2"/>
  <c r="IN97" i="2"/>
  <c r="IN113" i="2"/>
  <c r="IO66" i="2"/>
  <c r="IO67" i="2"/>
  <c r="IO68" i="2"/>
  <c r="IO75" i="2"/>
  <c r="IO100" i="2"/>
  <c r="IO69" i="2"/>
  <c r="IO76" i="2"/>
  <c r="IO101" i="2"/>
  <c r="IO70" i="2"/>
  <c r="IO77" i="2"/>
  <c r="IO102" i="2"/>
  <c r="IO71" i="2"/>
  <c r="IO78" i="2"/>
  <c r="IO103" i="2"/>
  <c r="IO72" i="2"/>
  <c r="IO79" i="2"/>
  <c r="IO104" i="2"/>
  <c r="IO117" i="2"/>
  <c r="IO93" i="2"/>
  <c r="IO94" i="2"/>
  <c r="IO95" i="2"/>
  <c r="IO96" i="2"/>
  <c r="IO97" i="2"/>
  <c r="IO113" i="2"/>
  <c r="IP66" i="2"/>
  <c r="IP67" i="2"/>
  <c r="IP68" i="2"/>
  <c r="IP75" i="2"/>
  <c r="IP100" i="2"/>
  <c r="IP69" i="2"/>
  <c r="IP76" i="2"/>
  <c r="IP101" i="2"/>
  <c r="IP70" i="2"/>
  <c r="IP77" i="2"/>
  <c r="IP102" i="2"/>
  <c r="IP71" i="2"/>
  <c r="IP78" i="2"/>
  <c r="IP103" i="2"/>
  <c r="IP72" i="2"/>
  <c r="IP79" i="2"/>
  <c r="IP104" i="2"/>
  <c r="IP117" i="2"/>
  <c r="IP93" i="2"/>
  <c r="IP94" i="2"/>
  <c r="IP95" i="2"/>
  <c r="IP96" i="2"/>
  <c r="IP97" i="2"/>
  <c r="IP113" i="2"/>
  <c r="IQ66" i="2"/>
  <c r="IQ67" i="2"/>
  <c r="IQ68" i="2"/>
  <c r="IQ75" i="2"/>
  <c r="IQ100" i="2"/>
  <c r="IQ69" i="2"/>
  <c r="IQ76" i="2"/>
  <c r="IQ101" i="2"/>
  <c r="IQ70" i="2"/>
  <c r="IQ77" i="2"/>
  <c r="IQ102" i="2"/>
  <c r="IQ71" i="2"/>
  <c r="IQ78" i="2"/>
  <c r="IQ103" i="2"/>
  <c r="IQ72" i="2"/>
  <c r="IQ79" i="2"/>
  <c r="IQ104" i="2"/>
  <c r="IQ117" i="2"/>
  <c r="IQ93" i="2"/>
  <c r="IQ94" i="2"/>
  <c r="IQ95" i="2"/>
  <c r="IQ96" i="2"/>
  <c r="IQ97" i="2"/>
  <c r="IQ113" i="2"/>
  <c r="IR66" i="2"/>
  <c r="IR67" i="2"/>
  <c r="IR68" i="2"/>
  <c r="IR75" i="2"/>
  <c r="IR100" i="2"/>
  <c r="IR69" i="2"/>
  <c r="IR76" i="2"/>
  <c r="IR101" i="2"/>
  <c r="IR70" i="2"/>
  <c r="IR77" i="2"/>
  <c r="IR102" i="2"/>
  <c r="IR71" i="2"/>
  <c r="IR78" i="2"/>
  <c r="IR103" i="2"/>
  <c r="IR72" i="2"/>
  <c r="IR79" i="2"/>
  <c r="IR104" i="2"/>
  <c r="IR117" i="2"/>
  <c r="IR93" i="2"/>
  <c r="IR94" i="2"/>
  <c r="IR95" i="2"/>
  <c r="IR96" i="2"/>
  <c r="IR97" i="2"/>
  <c r="IR113" i="2"/>
  <c r="IS66" i="2"/>
  <c r="IS67" i="2"/>
  <c r="IS68" i="2"/>
  <c r="IS75" i="2"/>
  <c r="IS100" i="2"/>
  <c r="IS69" i="2"/>
  <c r="IS76" i="2"/>
  <c r="IS101" i="2"/>
  <c r="IS70" i="2"/>
  <c r="IS77" i="2"/>
  <c r="IS102" i="2"/>
  <c r="IS71" i="2"/>
  <c r="IS78" i="2"/>
  <c r="IS103" i="2"/>
  <c r="IS72" i="2"/>
  <c r="IS79" i="2"/>
  <c r="IS104" i="2"/>
  <c r="IS117" i="2"/>
  <c r="IS93" i="2"/>
  <c r="IS94" i="2"/>
  <c r="IS95" i="2"/>
  <c r="IS96" i="2"/>
  <c r="IS97" i="2"/>
  <c r="IS113" i="2"/>
  <c r="IT66" i="2"/>
  <c r="IT67" i="2"/>
  <c r="IT68" i="2"/>
  <c r="IT75" i="2"/>
  <c r="IT100" i="2"/>
  <c r="IT69" i="2"/>
  <c r="IT76" i="2"/>
  <c r="IT101" i="2"/>
  <c r="IT70" i="2"/>
  <c r="IT77" i="2"/>
  <c r="IT102" i="2"/>
  <c r="IT71" i="2"/>
  <c r="IT78" i="2"/>
  <c r="IT103" i="2"/>
  <c r="IT72" i="2"/>
  <c r="IT79" i="2"/>
  <c r="IT104" i="2"/>
  <c r="IT117" i="2"/>
  <c r="IT93" i="2"/>
  <c r="IT94" i="2"/>
  <c r="IT95" i="2"/>
  <c r="IT96" i="2"/>
  <c r="IT97" i="2"/>
  <c r="IT113" i="2"/>
  <c r="IU66" i="2"/>
  <c r="IU67" i="2"/>
  <c r="IU68" i="2"/>
  <c r="IU75" i="2"/>
  <c r="IU100" i="2"/>
  <c r="IU69" i="2"/>
  <c r="IU76" i="2"/>
  <c r="IU101" i="2"/>
  <c r="IU70" i="2"/>
  <c r="IU77" i="2"/>
  <c r="IU102" i="2"/>
  <c r="IU71" i="2"/>
  <c r="IU78" i="2"/>
  <c r="IU103" i="2"/>
  <c r="IU72" i="2"/>
  <c r="IU79" i="2"/>
  <c r="IU104" i="2"/>
  <c r="IU117" i="2"/>
  <c r="IU93" i="2"/>
  <c r="IU94" i="2"/>
  <c r="IU95" i="2"/>
  <c r="IU96" i="2"/>
  <c r="IU97" i="2"/>
  <c r="IU113" i="2"/>
  <c r="IV66" i="2"/>
  <c r="IV67" i="2"/>
  <c r="IV68" i="2"/>
  <c r="IV75" i="2"/>
  <c r="IV100" i="2"/>
  <c r="IV69" i="2"/>
  <c r="IV76" i="2"/>
  <c r="IV101" i="2"/>
  <c r="IV70" i="2"/>
  <c r="IV77" i="2"/>
  <c r="IV102" i="2"/>
  <c r="IV71" i="2"/>
  <c r="IV78" i="2"/>
  <c r="IV103" i="2"/>
  <c r="IV72" i="2"/>
  <c r="IV79" i="2"/>
  <c r="IV104" i="2"/>
  <c r="IV117" i="2"/>
  <c r="IV93" i="2"/>
  <c r="IV94" i="2"/>
  <c r="IV95" i="2"/>
  <c r="IV96" i="2"/>
  <c r="IV97" i="2"/>
  <c r="IV113" i="2"/>
  <c r="IW66" i="2"/>
  <c r="IW67" i="2"/>
  <c r="IW68" i="2"/>
  <c r="IW75" i="2"/>
  <c r="IW100" i="2"/>
  <c r="IW69" i="2"/>
  <c r="IW76" i="2"/>
  <c r="IW101" i="2"/>
  <c r="IW70" i="2"/>
  <c r="IW77" i="2"/>
  <c r="IW102" i="2"/>
  <c r="IW71" i="2"/>
  <c r="IW78" i="2"/>
  <c r="IW103" i="2"/>
  <c r="IW72" i="2"/>
  <c r="IW79" i="2"/>
  <c r="IW104" i="2"/>
  <c r="IW117" i="2"/>
  <c r="IW93" i="2"/>
  <c r="IW94" i="2"/>
  <c r="IW95" i="2"/>
  <c r="IW96" i="2"/>
  <c r="IW97" i="2"/>
  <c r="IW113" i="2"/>
  <c r="IX66" i="2"/>
  <c r="IX67" i="2"/>
  <c r="IX68" i="2"/>
  <c r="IX75" i="2"/>
  <c r="IX100" i="2"/>
  <c r="IX69" i="2"/>
  <c r="IX76" i="2"/>
  <c r="IX101" i="2"/>
  <c r="IX70" i="2"/>
  <c r="IX77" i="2"/>
  <c r="IX102" i="2"/>
  <c r="IX71" i="2"/>
  <c r="IX78" i="2"/>
  <c r="IX103" i="2"/>
  <c r="IX72" i="2"/>
  <c r="IX79" i="2"/>
  <c r="IX104" i="2"/>
  <c r="IX117" i="2"/>
  <c r="IX93" i="2"/>
  <c r="IX94" i="2"/>
  <c r="IX95" i="2"/>
  <c r="IX96" i="2"/>
  <c r="IX97" i="2"/>
  <c r="IX113" i="2"/>
  <c r="IY66" i="2"/>
  <c r="IY67" i="2"/>
  <c r="IY68" i="2"/>
  <c r="IY75" i="2"/>
  <c r="IY100" i="2"/>
  <c r="IY69" i="2"/>
  <c r="IY76" i="2"/>
  <c r="IY101" i="2"/>
  <c r="IY70" i="2"/>
  <c r="IY77" i="2"/>
  <c r="IY102" i="2"/>
  <c r="IY71" i="2"/>
  <c r="IY78" i="2"/>
  <c r="IY103" i="2"/>
  <c r="IY72" i="2"/>
  <c r="IY79" i="2"/>
  <c r="IY104" i="2"/>
  <c r="IY117" i="2"/>
  <c r="IY93" i="2"/>
  <c r="IY94" i="2"/>
  <c r="IY95" i="2"/>
  <c r="IY96" i="2"/>
  <c r="IY97" i="2"/>
  <c r="IY113" i="2"/>
  <c r="IZ66" i="2"/>
  <c r="IZ67" i="2"/>
  <c r="IZ68" i="2"/>
  <c r="IZ75" i="2"/>
  <c r="IZ100" i="2"/>
  <c r="IZ69" i="2"/>
  <c r="IZ76" i="2"/>
  <c r="IZ101" i="2"/>
  <c r="IZ70" i="2"/>
  <c r="IZ77" i="2"/>
  <c r="IZ102" i="2"/>
  <c r="IZ71" i="2"/>
  <c r="IZ78" i="2"/>
  <c r="IZ103" i="2"/>
  <c r="IZ72" i="2"/>
  <c r="IZ79" i="2"/>
  <c r="IZ104" i="2"/>
  <c r="IZ117" i="2"/>
  <c r="IZ93" i="2"/>
  <c r="IZ94" i="2"/>
  <c r="IZ95" i="2"/>
  <c r="IZ96" i="2"/>
  <c r="IZ97" i="2"/>
  <c r="IZ113" i="2"/>
  <c r="JA66" i="2"/>
  <c r="JA67" i="2"/>
  <c r="JA68" i="2"/>
  <c r="JA75" i="2"/>
  <c r="JA100" i="2"/>
  <c r="JA69" i="2"/>
  <c r="JA76" i="2"/>
  <c r="JA101" i="2"/>
  <c r="JA70" i="2"/>
  <c r="JA77" i="2"/>
  <c r="JA102" i="2"/>
  <c r="JA71" i="2"/>
  <c r="JA78" i="2"/>
  <c r="JA103" i="2"/>
  <c r="JA72" i="2"/>
  <c r="JA79" i="2"/>
  <c r="JA104" i="2"/>
  <c r="JA117" i="2"/>
  <c r="JA93" i="2"/>
  <c r="JA94" i="2"/>
  <c r="JA95" i="2"/>
  <c r="JA96" i="2"/>
  <c r="JA97" i="2"/>
  <c r="JA113" i="2"/>
  <c r="JB66" i="2"/>
  <c r="JB67" i="2"/>
  <c r="JB68" i="2"/>
  <c r="JB75" i="2"/>
  <c r="JB100" i="2"/>
  <c r="JB69" i="2"/>
  <c r="JB76" i="2"/>
  <c r="JB101" i="2"/>
  <c r="JB70" i="2"/>
  <c r="JB77" i="2"/>
  <c r="JB102" i="2"/>
  <c r="JB71" i="2"/>
  <c r="JB78" i="2"/>
  <c r="JB103" i="2"/>
  <c r="JB72" i="2"/>
  <c r="JB79" i="2"/>
  <c r="JB104" i="2"/>
  <c r="JB117" i="2"/>
  <c r="JB93" i="2"/>
  <c r="JB94" i="2"/>
  <c r="JB95" i="2"/>
  <c r="JB96" i="2"/>
  <c r="JB97" i="2"/>
  <c r="JB113" i="2"/>
  <c r="JC66" i="2"/>
  <c r="JC67" i="2"/>
  <c r="JC68" i="2"/>
  <c r="JC75" i="2"/>
  <c r="JC100" i="2"/>
  <c r="JC69" i="2"/>
  <c r="JC76" i="2"/>
  <c r="JC101" i="2"/>
  <c r="JC70" i="2"/>
  <c r="JC77" i="2"/>
  <c r="JC102" i="2"/>
  <c r="JC71" i="2"/>
  <c r="JC78" i="2"/>
  <c r="JC103" i="2"/>
  <c r="JC72" i="2"/>
  <c r="JC79" i="2"/>
  <c r="JC104" i="2"/>
  <c r="JC117" i="2"/>
  <c r="JC93" i="2"/>
  <c r="JC94" i="2"/>
  <c r="JC95" i="2"/>
  <c r="JC96" i="2"/>
  <c r="JC97" i="2"/>
  <c r="JC113" i="2"/>
  <c r="JD66" i="2"/>
  <c r="JD67" i="2"/>
  <c r="JD68" i="2"/>
  <c r="JD75" i="2"/>
  <c r="JD100" i="2"/>
  <c r="JD69" i="2"/>
  <c r="JD76" i="2"/>
  <c r="JD101" i="2"/>
  <c r="JD70" i="2"/>
  <c r="JD77" i="2"/>
  <c r="JD102" i="2"/>
  <c r="JD71" i="2"/>
  <c r="JD78" i="2"/>
  <c r="JD103" i="2"/>
  <c r="JD72" i="2"/>
  <c r="JD79" i="2"/>
  <c r="JD104" i="2"/>
  <c r="JD117" i="2"/>
  <c r="JD93" i="2"/>
  <c r="JD94" i="2"/>
  <c r="JD95" i="2"/>
  <c r="JD96" i="2"/>
  <c r="JD97" i="2"/>
  <c r="JD113" i="2"/>
  <c r="JE66" i="2"/>
  <c r="JE67" i="2"/>
  <c r="JE68" i="2"/>
  <c r="JE75" i="2"/>
  <c r="JE100" i="2"/>
  <c r="JE69" i="2"/>
  <c r="JE76" i="2"/>
  <c r="JE101" i="2"/>
  <c r="JE70" i="2"/>
  <c r="JE77" i="2"/>
  <c r="JE102" i="2"/>
  <c r="JE71" i="2"/>
  <c r="JE78" i="2"/>
  <c r="JE103" i="2"/>
  <c r="JE72" i="2"/>
  <c r="JE79" i="2"/>
  <c r="JE104" i="2"/>
  <c r="JE117" i="2"/>
  <c r="JE93" i="2"/>
  <c r="JE94" i="2"/>
  <c r="JE95" i="2"/>
  <c r="JE96" i="2"/>
  <c r="JE97" i="2"/>
  <c r="JE113" i="2"/>
  <c r="JF66" i="2"/>
  <c r="JF67" i="2"/>
  <c r="JF68" i="2"/>
  <c r="JF75" i="2"/>
  <c r="JF100" i="2"/>
  <c r="JF69" i="2"/>
  <c r="JF76" i="2"/>
  <c r="JF101" i="2"/>
  <c r="JF70" i="2"/>
  <c r="JF77" i="2"/>
  <c r="JF102" i="2"/>
  <c r="JF71" i="2"/>
  <c r="JF78" i="2"/>
  <c r="JF103" i="2"/>
  <c r="JF72" i="2"/>
  <c r="JF79" i="2"/>
  <c r="JF104" i="2"/>
  <c r="JF117" i="2"/>
  <c r="JF93" i="2"/>
  <c r="JF94" i="2"/>
  <c r="JF95" i="2"/>
  <c r="JF96" i="2"/>
  <c r="JF97" i="2"/>
  <c r="JF113" i="2"/>
  <c r="JG66" i="2"/>
  <c r="JG67" i="2"/>
  <c r="JG68" i="2"/>
  <c r="JG75" i="2"/>
  <c r="JG100" i="2"/>
  <c r="JG69" i="2"/>
  <c r="JG76" i="2"/>
  <c r="JG101" i="2"/>
  <c r="JG70" i="2"/>
  <c r="JG77" i="2"/>
  <c r="JG102" i="2"/>
  <c r="JG71" i="2"/>
  <c r="JG78" i="2"/>
  <c r="JG103" i="2"/>
  <c r="JG72" i="2"/>
  <c r="JG79" i="2"/>
  <c r="JG104" i="2"/>
  <c r="JG117" i="2"/>
  <c r="JG93" i="2"/>
  <c r="JG94" i="2"/>
  <c r="JG95" i="2"/>
  <c r="JG96" i="2"/>
  <c r="JG97" i="2"/>
  <c r="JG113" i="2"/>
  <c r="JH66" i="2"/>
  <c r="JH67" i="2"/>
  <c r="JH68" i="2"/>
  <c r="JH75" i="2"/>
  <c r="JH100" i="2"/>
  <c r="JH69" i="2"/>
  <c r="JH76" i="2"/>
  <c r="JH101" i="2"/>
  <c r="JH70" i="2"/>
  <c r="JH77" i="2"/>
  <c r="JH102" i="2"/>
  <c r="JH71" i="2"/>
  <c r="JH78" i="2"/>
  <c r="JH103" i="2"/>
  <c r="JH72" i="2"/>
  <c r="JH79" i="2"/>
  <c r="JH104" i="2"/>
  <c r="JH117" i="2"/>
  <c r="JH93" i="2"/>
  <c r="JH94" i="2"/>
  <c r="JH95" i="2"/>
  <c r="JH96" i="2"/>
  <c r="JH97" i="2"/>
  <c r="JH113" i="2"/>
  <c r="JI66" i="2"/>
  <c r="JI67" i="2"/>
  <c r="JI68" i="2"/>
  <c r="JI75" i="2"/>
  <c r="JI100" i="2"/>
  <c r="JI69" i="2"/>
  <c r="JI76" i="2"/>
  <c r="JI101" i="2"/>
  <c r="JI70" i="2"/>
  <c r="JI77" i="2"/>
  <c r="JI102" i="2"/>
  <c r="JI71" i="2"/>
  <c r="JI78" i="2"/>
  <c r="JI103" i="2"/>
  <c r="JI72" i="2"/>
  <c r="JI79" i="2"/>
  <c r="JI104" i="2"/>
  <c r="JI117" i="2"/>
  <c r="JI93" i="2"/>
  <c r="JI94" i="2"/>
  <c r="JI95" i="2"/>
  <c r="JI96" i="2"/>
  <c r="JI97" i="2"/>
  <c r="JI113" i="2"/>
  <c r="JJ66" i="2"/>
  <c r="JJ67" i="2"/>
  <c r="JJ68" i="2"/>
  <c r="JJ75" i="2"/>
  <c r="JJ100" i="2"/>
  <c r="JJ69" i="2"/>
  <c r="JJ76" i="2"/>
  <c r="JJ101" i="2"/>
  <c r="JJ70" i="2"/>
  <c r="JJ77" i="2"/>
  <c r="JJ102" i="2"/>
  <c r="JJ71" i="2"/>
  <c r="JJ78" i="2"/>
  <c r="JJ103" i="2"/>
  <c r="JJ72" i="2"/>
  <c r="JJ79" i="2"/>
  <c r="JJ104" i="2"/>
  <c r="JJ117" i="2"/>
  <c r="JJ93" i="2"/>
  <c r="JJ94" i="2"/>
  <c r="JJ95" i="2"/>
  <c r="JJ96" i="2"/>
  <c r="JJ97" i="2"/>
  <c r="JJ113" i="2"/>
  <c r="JK66" i="2"/>
  <c r="JK67" i="2"/>
  <c r="JK68" i="2"/>
  <c r="JK75" i="2"/>
  <c r="JK100" i="2"/>
  <c r="JK69" i="2"/>
  <c r="JK76" i="2"/>
  <c r="JK101" i="2"/>
  <c r="JK70" i="2"/>
  <c r="JK77" i="2"/>
  <c r="JK102" i="2"/>
  <c r="JK71" i="2"/>
  <c r="JK78" i="2"/>
  <c r="JK103" i="2"/>
  <c r="JK72" i="2"/>
  <c r="JK79" i="2"/>
  <c r="JK104" i="2"/>
  <c r="JK117" i="2"/>
  <c r="JK93" i="2"/>
  <c r="JK94" i="2"/>
  <c r="JK95" i="2"/>
  <c r="JK96" i="2"/>
  <c r="JK97" i="2"/>
  <c r="JK113" i="2"/>
  <c r="JL66" i="2"/>
  <c r="JL67" i="2"/>
  <c r="JL68" i="2"/>
  <c r="JL75" i="2"/>
  <c r="JL100" i="2"/>
  <c r="JL69" i="2"/>
  <c r="JL76" i="2"/>
  <c r="JL101" i="2"/>
  <c r="JL70" i="2"/>
  <c r="JL77" i="2"/>
  <c r="JL102" i="2"/>
  <c r="JL71" i="2"/>
  <c r="JL78" i="2"/>
  <c r="JL103" i="2"/>
  <c r="JL72" i="2"/>
  <c r="JL79" i="2"/>
  <c r="JL104" i="2"/>
  <c r="JL117" i="2"/>
  <c r="JL93" i="2"/>
  <c r="JL94" i="2"/>
  <c r="JL95" i="2"/>
  <c r="JL96" i="2"/>
  <c r="JL97" i="2"/>
  <c r="JL113" i="2"/>
  <c r="JM66" i="2"/>
  <c r="JM67" i="2"/>
  <c r="JM68" i="2"/>
  <c r="JM75" i="2"/>
  <c r="JM100" i="2"/>
  <c r="JM69" i="2"/>
  <c r="JM76" i="2"/>
  <c r="JM101" i="2"/>
  <c r="JM70" i="2"/>
  <c r="JM77" i="2"/>
  <c r="JM102" i="2"/>
  <c r="JM71" i="2"/>
  <c r="JM78" i="2"/>
  <c r="JM103" i="2"/>
  <c r="JM72" i="2"/>
  <c r="JM79" i="2"/>
  <c r="JM104" i="2"/>
  <c r="JM117" i="2"/>
  <c r="JM93" i="2"/>
  <c r="JM94" i="2"/>
  <c r="JM95" i="2"/>
  <c r="JM96" i="2"/>
  <c r="JM97" i="2"/>
  <c r="JM113" i="2"/>
  <c r="JN66" i="2"/>
  <c r="JN67" i="2"/>
  <c r="JN68" i="2"/>
  <c r="JN75" i="2"/>
  <c r="JN100" i="2"/>
  <c r="JN69" i="2"/>
  <c r="JN76" i="2"/>
  <c r="JN101" i="2"/>
  <c r="JN70" i="2"/>
  <c r="JN77" i="2"/>
  <c r="JN102" i="2"/>
  <c r="JN71" i="2"/>
  <c r="JN78" i="2"/>
  <c r="JN103" i="2"/>
  <c r="JN72" i="2"/>
  <c r="JN79" i="2"/>
  <c r="JN104" i="2"/>
  <c r="JN117" i="2"/>
  <c r="JN93" i="2"/>
  <c r="JN94" i="2"/>
  <c r="JN95" i="2"/>
  <c r="JN96" i="2"/>
  <c r="JN97" i="2"/>
  <c r="JN113" i="2"/>
  <c r="JO66" i="2"/>
  <c r="JO67" i="2"/>
  <c r="JO68" i="2"/>
  <c r="JO75" i="2"/>
  <c r="JO100" i="2"/>
  <c r="JO69" i="2"/>
  <c r="JO76" i="2"/>
  <c r="JO101" i="2"/>
  <c r="JO70" i="2"/>
  <c r="JO77" i="2"/>
  <c r="JO102" i="2"/>
  <c r="JO71" i="2"/>
  <c r="JO78" i="2"/>
  <c r="JO103" i="2"/>
  <c r="JO72" i="2"/>
  <c r="JO79" i="2"/>
  <c r="JO104" i="2"/>
  <c r="JO117" i="2"/>
  <c r="JO93" i="2"/>
  <c r="JO94" i="2"/>
  <c r="JO95" i="2"/>
  <c r="JO96" i="2"/>
  <c r="JO97" i="2"/>
  <c r="JO113" i="2"/>
  <c r="JP66" i="2"/>
  <c r="JP67" i="2"/>
  <c r="JP68" i="2"/>
  <c r="JP75" i="2"/>
  <c r="JP100" i="2"/>
  <c r="JP69" i="2"/>
  <c r="JP76" i="2"/>
  <c r="JP101" i="2"/>
  <c r="JP70" i="2"/>
  <c r="JP77" i="2"/>
  <c r="JP102" i="2"/>
  <c r="JP71" i="2"/>
  <c r="JP78" i="2"/>
  <c r="JP103" i="2"/>
  <c r="JP72" i="2"/>
  <c r="JP79" i="2"/>
  <c r="JP104" i="2"/>
  <c r="JP117" i="2"/>
  <c r="JP93" i="2"/>
  <c r="JP94" i="2"/>
  <c r="JP95" i="2"/>
  <c r="JP96" i="2"/>
  <c r="JP97" i="2"/>
  <c r="JP113" i="2"/>
  <c r="JQ66" i="2"/>
  <c r="JQ67" i="2"/>
  <c r="JQ68" i="2"/>
  <c r="JQ75" i="2"/>
  <c r="JQ100" i="2"/>
  <c r="JQ69" i="2"/>
  <c r="JQ76" i="2"/>
  <c r="JQ101" i="2"/>
  <c r="JQ70" i="2"/>
  <c r="JQ77" i="2"/>
  <c r="JQ102" i="2"/>
  <c r="JQ71" i="2"/>
  <c r="JQ78" i="2"/>
  <c r="JQ103" i="2"/>
  <c r="JQ72" i="2"/>
  <c r="JQ79" i="2"/>
  <c r="JQ104" i="2"/>
  <c r="JQ117" i="2"/>
  <c r="JQ93" i="2"/>
  <c r="JQ94" i="2"/>
  <c r="JQ95" i="2"/>
  <c r="JQ96" i="2"/>
  <c r="JQ97" i="2"/>
  <c r="JQ113" i="2"/>
  <c r="JR66" i="2"/>
  <c r="JR67" i="2"/>
  <c r="JR68" i="2"/>
  <c r="JR75" i="2"/>
  <c r="JR100" i="2"/>
  <c r="JR69" i="2"/>
  <c r="JR76" i="2"/>
  <c r="JR101" i="2"/>
  <c r="JR70" i="2"/>
  <c r="JR77" i="2"/>
  <c r="JR102" i="2"/>
  <c r="JR71" i="2"/>
  <c r="JR78" i="2"/>
  <c r="JR103" i="2"/>
  <c r="JR72" i="2"/>
  <c r="JR79" i="2"/>
  <c r="JR104" i="2"/>
  <c r="JR117" i="2"/>
  <c r="JR93" i="2"/>
  <c r="JR94" i="2"/>
  <c r="JR95" i="2"/>
  <c r="JR96" i="2"/>
  <c r="JR97" i="2"/>
  <c r="JR113" i="2"/>
  <c r="JS66" i="2"/>
  <c r="JS67" i="2"/>
  <c r="JS68" i="2"/>
  <c r="JS75" i="2"/>
  <c r="JS100" i="2"/>
  <c r="JS69" i="2"/>
  <c r="JS76" i="2"/>
  <c r="JS101" i="2"/>
  <c r="JS70" i="2"/>
  <c r="JS77" i="2"/>
  <c r="JS102" i="2"/>
  <c r="JS71" i="2"/>
  <c r="JS78" i="2"/>
  <c r="JS103" i="2"/>
  <c r="JS72" i="2"/>
  <c r="JS79" i="2"/>
  <c r="JS104" i="2"/>
  <c r="JS117" i="2"/>
  <c r="JS93" i="2"/>
  <c r="JS94" i="2"/>
  <c r="JS95" i="2"/>
  <c r="JS96" i="2"/>
  <c r="JS97" i="2"/>
  <c r="JS113" i="2"/>
  <c r="JT66" i="2"/>
  <c r="JT67" i="2"/>
  <c r="JT68" i="2"/>
  <c r="JT75" i="2"/>
  <c r="JT100" i="2"/>
  <c r="JT69" i="2"/>
  <c r="JT76" i="2"/>
  <c r="JT101" i="2"/>
  <c r="JT70" i="2"/>
  <c r="JT77" i="2"/>
  <c r="JT102" i="2"/>
  <c r="JT71" i="2"/>
  <c r="JT78" i="2"/>
  <c r="JT103" i="2"/>
  <c r="JT72" i="2"/>
  <c r="JT79" i="2"/>
  <c r="JT104" i="2"/>
  <c r="JT117" i="2"/>
  <c r="JT93" i="2"/>
  <c r="JT94" i="2"/>
  <c r="JT95" i="2"/>
  <c r="JT96" i="2"/>
  <c r="JT97" i="2"/>
  <c r="JT113" i="2"/>
  <c r="JU66" i="2"/>
  <c r="JU67" i="2"/>
  <c r="JU68" i="2"/>
  <c r="JU75" i="2"/>
  <c r="JU100" i="2"/>
  <c r="JU69" i="2"/>
  <c r="JU76" i="2"/>
  <c r="JU101" i="2"/>
  <c r="JU70" i="2"/>
  <c r="JU77" i="2"/>
  <c r="JU102" i="2"/>
  <c r="JU71" i="2"/>
  <c r="JU78" i="2"/>
  <c r="JU103" i="2"/>
  <c r="JU72" i="2"/>
  <c r="JU79" i="2"/>
  <c r="JU104" i="2"/>
  <c r="JU117" i="2"/>
  <c r="JU93" i="2"/>
  <c r="JU94" i="2"/>
  <c r="JU95" i="2"/>
  <c r="JU96" i="2"/>
  <c r="JU97" i="2"/>
  <c r="JU113" i="2"/>
  <c r="JV66" i="2"/>
  <c r="JV67" i="2"/>
  <c r="JV68" i="2"/>
  <c r="JV75" i="2"/>
  <c r="JV100" i="2"/>
  <c r="JV69" i="2"/>
  <c r="JV76" i="2"/>
  <c r="JV101" i="2"/>
  <c r="JV70" i="2"/>
  <c r="JV77" i="2"/>
  <c r="JV102" i="2"/>
  <c r="JV71" i="2"/>
  <c r="JV78" i="2"/>
  <c r="JV103" i="2"/>
  <c r="JV72" i="2"/>
  <c r="JV79" i="2"/>
  <c r="JV104" i="2"/>
  <c r="JV117" i="2"/>
  <c r="JV93" i="2"/>
  <c r="JV94" i="2"/>
  <c r="JV95" i="2"/>
  <c r="JV96" i="2"/>
  <c r="JV97" i="2"/>
  <c r="JV113" i="2"/>
  <c r="JW66" i="2"/>
  <c r="JW67" i="2"/>
  <c r="JW68" i="2"/>
  <c r="JW75" i="2"/>
  <c r="JW100" i="2"/>
  <c r="JW69" i="2"/>
  <c r="JW76" i="2"/>
  <c r="JW101" i="2"/>
  <c r="JW70" i="2"/>
  <c r="JW77" i="2"/>
  <c r="JW102" i="2"/>
  <c r="JW71" i="2"/>
  <c r="JW78" i="2"/>
  <c r="JW103" i="2"/>
  <c r="JW72" i="2"/>
  <c r="JW79" i="2"/>
  <c r="JW104" i="2"/>
  <c r="JW117" i="2"/>
  <c r="JW93" i="2"/>
  <c r="JW94" i="2"/>
  <c r="JW95" i="2"/>
  <c r="JW96" i="2"/>
  <c r="JW97" i="2"/>
  <c r="JW113" i="2"/>
  <c r="JX66" i="2"/>
  <c r="JX67" i="2"/>
  <c r="JX68" i="2"/>
  <c r="JX75" i="2"/>
  <c r="JX100" i="2"/>
  <c r="JX69" i="2"/>
  <c r="JX76" i="2"/>
  <c r="JX101" i="2"/>
  <c r="JX70" i="2"/>
  <c r="JX77" i="2"/>
  <c r="JX102" i="2"/>
  <c r="JX71" i="2"/>
  <c r="JX78" i="2"/>
  <c r="JX103" i="2"/>
  <c r="JX72" i="2"/>
  <c r="JX79" i="2"/>
  <c r="JX104" i="2"/>
  <c r="JX117" i="2"/>
  <c r="JX93" i="2"/>
  <c r="JX94" i="2"/>
  <c r="JX95" i="2"/>
  <c r="JX96" i="2"/>
  <c r="JX97" i="2"/>
  <c r="JX113" i="2"/>
  <c r="JY66" i="2"/>
  <c r="JY67" i="2"/>
  <c r="JY68" i="2"/>
  <c r="JY75" i="2"/>
  <c r="JY100" i="2"/>
  <c r="JY69" i="2"/>
  <c r="JY76" i="2"/>
  <c r="JY101" i="2"/>
  <c r="JY70" i="2"/>
  <c r="JY77" i="2"/>
  <c r="JY102" i="2"/>
  <c r="JY71" i="2"/>
  <c r="JY78" i="2"/>
  <c r="JY103" i="2"/>
  <c r="JY72" i="2"/>
  <c r="JY79" i="2"/>
  <c r="JY104" i="2"/>
  <c r="JY117" i="2"/>
  <c r="JY93" i="2"/>
  <c r="JY94" i="2"/>
  <c r="JY95" i="2"/>
  <c r="JY96" i="2"/>
  <c r="JY97" i="2"/>
  <c r="JY113" i="2"/>
  <c r="JZ66" i="2"/>
  <c r="JZ67" i="2"/>
  <c r="JZ68" i="2"/>
  <c r="JZ75" i="2"/>
  <c r="JZ100" i="2"/>
  <c r="JZ69" i="2"/>
  <c r="JZ76" i="2"/>
  <c r="JZ101" i="2"/>
  <c r="JZ70" i="2"/>
  <c r="JZ77" i="2"/>
  <c r="JZ102" i="2"/>
  <c r="JZ71" i="2"/>
  <c r="JZ78" i="2"/>
  <c r="JZ103" i="2"/>
  <c r="JZ72" i="2"/>
  <c r="JZ79" i="2"/>
  <c r="JZ104" i="2"/>
  <c r="JZ117" i="2"/>
  <c r="JZ93" i="2"/>
  <c r="JZ94" i="2"/>
  <c r="JZ95" i="2"/>
  <c r="JZ96" i="2"/>
  <c r="JZ97" i="2"/>
  <c r="JZ113" i="2"/>
  <c r="KA66" i="2"/>
  <c r="KA67" i="2"/>
  <c r="KA68" i="2"/>
  <c r="KA75" i="2"/>
  <c r="KA100" i="2"/>
  <c r="KA69" i="2"/>
  <c r="KA76" i="2"/>
  <c r="KA101" i="2"/>
  <c r="KA70" i="2"/>
  <c r="KA77" i="2"/>
  <c r="KA102" i="2"/>
  <c r="KA71" i="2"/>
  <c r="KA78" i="2"/>
  <c r="KA103" i="2"/>
  <c r="KA72" i="2"/>
  <c r="KA79" i="2"/>
  <c r="KA104" i="2"/>
  <c r="KA117" i="2"/>
  <c r="KA93" i="2"/>
  <c r="KA94" i="2"/>
  <c r="KA95" i="2"/>
  <c r="KA96" i="2"/>
  <c r="KA97" i="2"/>
  <c r="KA113" i="2"/>
  <c r="KB66" i="2"/>
  <c r="KB67" i="2"/>
  <c r="KB68" i="2"/>
  <c r="KB75" i="2"/>
  <c r="KB100" i="2"/>
  <c r="KB69" i="2"/>
  <c r="KB76" i="2"/>
  <c r="KB101" i="2"/>
  <c r="KB70" i="2"/>
  <c r="KB77" i="2"/>
  <c r="KB102" i="2"/>
  <c r="KB71" i="2"/>
  <c r="KB78" i="2"/>
  <c r="KB103" i="2"/>
  <c r="KB72" i="2"/>
  <c r="KB79" i="2"/>
  <c r="KB104" i="2"/>
  <c r="KB117" i="2"/>
  <c r="KB93" i="2"/>
  <c r="KB94" i="2"/>
  <c r="KB95" i="2"/>
  <c r="KB96" i="2"/>
  <c r="KB97" i="2"/>
  <c r="KB113" i="2"/>
  <c r="KC66" i="2"/>
  <c r="KC67" i="2"/>
  <c r="KC68" i="2"/>
  <c r="KC75" i="2"/>
  <c r="KC100" i="2"/>
  <c r="KC69" i="2"/>
  <c r="KC76" i="2"/>
  <c r="KC101" i="2"/>
  <c r="KC70" i="2"/>
  <c r="KC77" i="2"/>
  <c r="KC102" i="2"/>
  <c r="KC71" i="2"/>
  <c r="KC78" i="2"/>
  <c r="KC103" i="2"/>
  <c r="KC72" i="2"/>
  <c r="KC79" i="2"/>
  <c r="KC104" i="2"/>
  <c r="KC117" i="2"/>
  <c r="KC93" i="2"/>
  <c r="KC94" i="2"/>
  <c r="KC95" i="2"/>
  <c r="KC96" i="2"/>
  <c r="KC97" i="2"/>
  <c r="KC113" i="2"/>
  <c r="KD66" i="2"/>
  <c r="KD67" i="2"/>
  <c r="KD68" i="2"/>
  <c r="KD75" i="2"/>
  <c r="KD100" i="2"/>
  <c r="KD69" i="2"/>
  <c r="KD76" i="2"/>
  <c r="KD101" i="2"/>
  <c r="KD70" i="2"/>
  <c r="KD77" i="2"/>
  <c r="KD102" i="2"/>
  <c r="KD71" i="2"/>
  <c r="KD78" i="2"/>
  <c r="KD103" i="2"/>
  <c r="KD72" i="2"/>
  <c r="KD79" i="2"/>
  <c r="KD104" i="2"/>
  <c r="KD117" i="2"/>
  <c r="KD93" i="2"/>
  <c r="KD94" i="2"/>
  <c r="KD95" i="2"/>
  <c r="KD96" i="2"/>
  <c r="KD97" i="2"/>
  <c r="KD113" i="2"/>
  <c r="KE66" i="2"/>
  <c r="KE67" i="2"/>
  <c r="KE68" i="2"/>
  <c r="KE75" i="2"/>
  <c r="KE100" i="2"/>
  <c r="KE69" i="2"/>
  <c r="KE76" i="2"/>
  <c r="KE101" i="2"/>
  <c r="KE70" i="2"/>
  <c r="KE77" i="2"/>
  <c r="KE102" i="2"/>
  <c r="KE71" i="2"/>
  <c r="KE78" i="2"/>
  <c r="KE103" i="2"/>
  <c r="KE72" i="2"/>
  <c r="KE79" i="2"/>
  <c r="KE104" i="2"/>
  <c r="KE117" i="2"/>
  <c r="KE93" i="2"/>
  <c r="KE94" i="2"/>
  <c r="KE95" i="2"/>
  <c r="KE96" i="2"/>
  <c r="KE97" i="2"/>
  <c r="KE113" i="2"/>
  <c r="KF66" i="2"/>
  <c r="KF67" i="2"/>
  <c r="KF68" i="2"/>
  <c r="KF75" i="2"/>
  <c r="KF100" i="2"/>
  <c r="KF69" i="2"/>
  <c r="KF76" i="2"/>
  <c r="KF101" i="2"/>
  <c r="KF70" i="2"/>
  <c r="KF77" i="2"/>
  <c r="KF102" i="2"/>
  <c r="KF71" i="2"/>
  <c r="KF78" i="2"/>
  <c r="KF103" i="2"/>
  <c r="KF72" i="2"/>
  <c r="KF79" i="2"/>
  <c r="KF104" i="2"/>
  <c r="KF117" i="2"/>
  <c r="KF93" i="2"/>
  <c r="KF94" i="2"/>
  <c r="KF95" i="2"/>
  <c r="KF96" i="2"/>
  <c r="KF97" i="2"/>
  <c r="KF113" i="2"/>
  <c r="KG66" i="2"/>
  <c r="KG67" i="2"/>
  <c r="KG68" i="2"/>
  <c r="KG75" i="2"/>
  <c r="KG100" i="2"/>
  <c r="KG69" i="2"/>
  <c r="KG76" i="2"/>
  <c r="KG101" i="2"/>
  <c r="KG70" i="2"/>
  <c r="KG77" i="2"/>
  <c r="KG102" i="2"/>
  <c r="KG71" i="2"/>
  <c r="KG78" i="2"/>
  <c r="KG103" i="2"/>
  <c r="KG72" i="2"/>
  <c r="KG79" i="2"/>
  <c r="KG104" i="2"/>
  <c r="KG117" i="2"/>
  <c r="KG93" i="2"/>
  <c r="KG94" i="2"/>
  <c r="KG95" i="2"/>
  <c r="KG96" i="2"/>
  <c r="KG97" i="2"/>
  <c r="KG113" i="2"/>
  <c r="KH66" i="2"/>
  <c r="KH67" i="2"/>
  <c r="KH68" i="2"/>
  <c r="KH75" i="2"/>
  <c r="KH100" i="2"/>
  <c r="KH69" i="2"/>
  <c r="KH76" i="2"/>
  <c r="KH101" i="2"/>
  <c r="KH70" i="2"/>
  <c r="KH77" i="2"/>
  <c r="KH102" i="2"/>
  <c r="KH71" i="2"/>
  <c r="KH78" i="2"/>
  <c r="KH103" i="2"/>
  <c r="KH72" i="2"/>
  <c r="KH79" i="2"/>
  <c r="KH104" i="2"/>
  <c r="KH117" i="2"/>
  <c r="KH93" i="2"/>
  <c r="KH94" i="2"/>
  <c r="KH95" i="2"/>
  <c r="KH96" i="2"/>
  <c r="KH97" i="2"/>
  <c r="KH113" i="2"/>
  <c r="KI66" i="2"/>
  <c r="KI67" i="2"/>
  <c r="KI68" i="2"/>
  <c r="KI75" i="2"/>
  <c r="KI100" i="2"/>
  <c r="KI69" i="2"/>
  <c r="KI76" i="2"/>
  <c r="KI101" i="2"/>
  <c r="KI70" i="2"/>
  <c r="KI77" i="2"/>
  <c r="KI102" i="2"/>
  <c r="KI71" i="2"/>
  <c r="KI78" i="2"/>
  <c r="KI103" i="2"/>
  <c r="KI72" i="2"/>
  <c r="KI79" i="2"/>
  <c r="KI104" i="2"/>
  <c r="KI117" i="2"/>
  <c r="KI93" i="2"/>
  <c r="KI94" i="2"/>
  <c r="KI95" i="2"/>
  <c r="KI96" i="2"/>
  <c r="KI97" i="2"/>
  <c r="KI113" i="2"/>
  <c r="KJ66" i="2"/>
  <c r="KJ67" i="2"/>
  <c r="KJ68" i="2"/>
  <c r="KJ75" i="2"/>
  <c r="KJ100" i="2"/>
  <c r="KJ69" i="2"/>
  <c r="KJ76" i="2"/>
  <c r="KJ101" i="2"/>
  <c r="KJ70" i="2"/>
  <c r="KJ77" i="2"/>
  <c r="KJ102" i="2"/>
  <c r="KJ71" i="2"/>
  <c r="KJ78" i="2"/>
  <c r="KJ103" i="2"/>
  <c r="KJ72" i="2"/>
  <c r="KJ79" i="2"/>
  <c r="KJ104" i="2"/>
  <c r="KJ117" i="2"/>
  <c r="KJ93" i="2"/>
  <c r="KJ94" i="2"/>
  <c r="KJ95" i="2"/>
  <c r="KJ96" i="2"/>
  <c r="KJ97" i="2"/>
  <c r="KJ113" i="2"/>
  <c r="KK66" i="2"/>
  <c r="KK67" i="2"/>
  <c r="KK68" i="2"/>
  <c r="KK75" i="2"/>
  <c r="KK100" i="2"/>
  <c r="KK69" i="2"/>
  <c r="KK76" i="2"/>
  <c r="KK101" i="2"/>
  <c r="KK70" i="2"/>
  <c r="KK77" i="2"/>
  <c r="KK102" i="2"/>
  <c r="KK71" i="2"/>
  <c r="KK78" i="2"/>
  <c r="KK103" i="2"/>
  <c r="KK72" i="2"/>
  <c r="KK79" i="2"/>
  <c r="KK104" i="2"/>
  <c r="KK117" i="2"/>
  <c r="KK93" i="2"/>
  <c r="KK94" i="2"/>
  <c r="KK95" i="2"/>
  <c r="KK96" i="2"/>
  <c r="KK97" i="2"/>
  <c r="KK113" i="2"/>
  <c r="KL66" i="2"/>
  <c r="KL67" i="2"/>
  <c r="KL68" i="2"/>
  <c r="KL75" i="2"/>
  <c r="KL100" i="2"/>
  <c r="KL69" i="2"/>
  <c r="KL76" i="2"/>
  <c r="KL101" i="2"/>
  <c r="KL70" i="2"/>
  <c r="KL77" i="2"/>
  <c r="KL102" i="2"/>
  <c r="KL71" i="2"/>
  <c r="KL78" i="2"/>
  <c r="KL103" i="2"/>
  <c r="KL72" i="2"/>
  <c r="KL79" i="2"/>
  <c r="KL104" i="2"/>
  <c r="KL117" i="2"/>
  <c r="KL93" i="2"/>
  <c r="KL94" i="2"/>
  <c r="KL95" i="2"/>
  <c r="KL96" i="2"/>
  <c r="KL97" i="2"/>
  <c r="KL113" i="2"/>
  <c r="KM66" i="2"/>
  <c r="KM67" i="2"/>
  <c r="KM68" i="2"/>
  <c r="KM75" i="2"/>
  <c r="KM100" i="2"/>
  <c r="KM69" i="2"/>
  <c r="KM76" i="2"/>
  <c r="KM101" i="2"/>
  <c r="KM70" i="2"/>
  <c r="KM77" i="2"/>
  <c r="KM102" i="2"/>
  <c r="KM71" i="2"/>
  <c r="KM78" i="2"/>
  <c r="KM103" i="2"/>
  <c r="KM72" i="2"/>
  <c r="KM79" i="2"/>
  <c r="KM104" i="2"/>
  <c r="KM117" i="2"/>
  <c r="KM93" i="2"/>
  <c r="KM94" i="2"/>
  <c r="KM95" i="2"/>
  <c r="KM96" i="2"/>
  <c r="KM97" i="2"/>
  <c r="KM113" i="2"/>
  <c r="KN66" i="2"/>
  <c r="KN67" i="2"/>
  <c r="KN68" i="2"/>
  <c r="KN75" i="2"/>
  <c r="KN100" i="2"/>
  <c r="KN69" i="2"/>
  <c r="KN76" i="2"/>
  <c r="KN101" i="2"/>
  <c r="KN70" i="2"/>
  <c r="KN77" i="2"/>
  <c r="KN102" i="2"/>
  <c r="KN71" i="2"/>
  <c r="KN78" i="2"/>
  <c r="KN103" i="2"/>
  <c r="KN72" i="2"/>
  <c r="KN79" i="2"/>
  <c r="KN104" i="2"/>
  <c r="KN117" i="2"/>
  <c r="KN93" i="2"/>
  <c r="KN94" i="2"/>
  <c r="KN95" i="2"/>
  <c r="KN96" i="2"/>
  <c r="KN97" i="2"/>
  <c r="KN113" i="2"/>
  <c r="KO66" i="2"/>
  <c r="KO67" i="2"/>
  <c r="KO68" i="2"/>
  <c r="KO75" i="2"/>
  <c r="KO100" i="2"/>
  <c r="KO69" i="2"/>
  <c r="KO76" i="2"/>
  <c r="KO101" i="2"/>
  <c r="KO70" i="2"/>
  <c r="KO77" i="2"/>
  <c r="KO102" i="2"/>
  <c r="KO71" i="2"/>
  <c r="KO78" i="2"/>
  <c r="KO103" i="2"/>
  <c r="KO72" i="2"/>
  <c r="KO79" i="2"/>
  <c r="KO104" i="2"/>
  <c r="KO117" i="2"/>
  <c r="KO93" i="2"/>
  <c r="KO94" i="2"/>
  <c r="KO95" i="2"/>
  <c r="KO96" i="2"/>
  <c r="KO97" i="2"/>
  <c r="KO113" i="2"/>
  <c r="KP66" i="2"/>
  <c r="KP67" i="2"/>
  <c r="KP68" i="2"/>
  <c r="KP75" i="2"/>
  <c r="KP100" i="2"/>
  <c r="KP69" i="2"/>
  <c r="KP76" i="2"/>
  <c r="KP101" i="2"/>
  <c r="KP70" i="2"/>
  <c r="KP77" i="2"/>
  <c r="KP102" i="2"/>
  <c r="KP71" i="2"/>
  <c r="KP78" i="2"/>
  <c r="KP103" i="2"/>
  <c r="KP72" i="2"/>
  <c r="KP79" i="2"/>
  <c r="KP104" i="2"/>
  <c r="KP117" i="2"/>
  <c r="KP93" i="2"/>
  <c r="KP94" i="2"/>
  <c r="KP95" i="2"/>
  <c r="KP96" i="2"/>
  <c r="KP97" i="2"/>
  <c r="KP113" i="2"/>
  <c r="KQ66" i="2"/>
  <c r="KQ67" i="2"/>
  <c r="KQ68" i="2"/>
  <c r="KQ75" i="2"/>
  <c r="KQ100" i="2"/>
  <c r="KQ69" i="2"/>
  <c r="KQ76" i="2"/>
  <c r="KQ101" i="2"/>
  <c r="KQ70" i="2"/>
  <c r="KQ77" i="2"/>
  <c r="KQ102" i="2"/>
  <c r="KQ71" i="2"/>
  <c r="KQ78" i="2"/>
  <c r="KQ103" i="2"/>
  <c r="KQ72" i="2"/>
  <c r="KQ79" i="2"/>
  <c r="KQ104" i="2"/>
  <c r="KQ117" i="2"/>
  <c r="KQ93" i="2"/>
  <c r="KQ94" i="2"/>
  <c r="KQ95" i="2"/>
  <c r="KQ96" i="2"/>
  <c r="KQ97" i="2"/>
  <c r="KQ113" i="2"/>
  <c r="KR66" i="2"/>
  <c r="KR67" i="2"/>
  <c r="KR68" i="2"/>
  <c r="KR75" i="2"/>
  <c r="KR100" i="2"/>
  <c r="KR69" i="2"/>
  <c r="KR76" i="2"/>
  <c r="KR101" i="2"/>
  <c r="KR70" i="2"/>
  <c r="KR77" i="2"/>
  <c r="KR102" i="2"/>
  <c r="KR71" i="2"/>
  <c r="KR78" i="2"/>
  <c r="KR103" i="2"/>
  <c r="KR72" i="2"/>
  <c r="KR79" i="2"/>
  <c r="KR104" i="2"/>
  <c r="KR117" i="2"/>
  <c r="KR93" i="2"/>
  <c r="KR94" i="2"/>
  <c r="KR95" i="2"/>
  <c r="KR96" i="2"/>
  <c r="KR97" i="2"/>
  <c r="KR113" i="2"/>
  <c r="KS66" i="2"/>
  <c r="KS67" i="2"/>
  <c r="KS68" i="2"/>
  <c r="KS75" i="2"/>
  <c r="KS100" i="2"/>
  <c r="KS69" i="2"/>
  <c r="KS76" i="2"/>
  <c r="KS101" i="2"/>
  <c r="KS70" i="2"/>
  <c r="KS77" i="2"/>
  <c r="KS102" i="2"/>
  <c r="KS71" i="2"/>
  <c r="KS78" i="2"/>
  <c r="KS103" i="2"/>
  <c r="KS72" i="2"/>
  <c r="KS79" i="2"/>
  <c r="KS104" i="2"/>
  <c r="KS117" i="2"/>
  <c r="KS93" i="2"/>
  <c r="KS94" i="2"/>
  <c r="KS95" i="2"/>
  <c r="KS96" i="2"/>
  <c r="KS97" i="2"/>
  <c r="KS113" i="2"/>
  <c r="KT66" i="2"/>
  <c r="KT67" i="2"/>
  <c r="KT68" i="2"/>
  <c r="KT75" i="2"/>
  <c r="KT100" i="2"/>
  <c r="KT69" i="2"/>
  <c r="KT76" i="2"/>
  <c r="KT101" i="2"/>
  <c r="KT70" i="2"/>
  <c r="KT77" i="2"/>
  <c r="KT102" i="2"/>
  <c r="KT71" i="2"/>
  <c r="KT78" i="2"/>
  <c r="KT103" i="2"/>
  <c r="KT72" i="2"/>
  <c r="KT79" i="2"/>
  <c r="KT104" i="2"/>
  <c r="KT117" i="2"/>
  <c r="KT93" i="2"/>
  <c r="KT94" i="2"/>
  <c r="KT95" i="2"/>
  <c r="KT96" i="2"/>
  <c r="KT97" i="2"/>
  <c r="KT113" i="2"/>
  <c r="KU66" i="2"/>
  <c r="KU67" i="2"/>
  <c r="KU68" i="2"/>
  <c r="KU75" i="2"/>
  <c r="KU100" i="2"/>
  <c r="KU69" i="2"/>
  <c r="KU76" i="2"/>
  <c r="KU101" i="2"/>
  <c r="KU70" i="2"/>
  <c r="KU77" i="2"/>
  <c r="KU102" i="2"/>
  <c r="KU71" i="2"/>
  <c r="KU78" i="2"/>
  <c r="KU103" i="2"/>
  <c r="KU72" i="2"/>
  <c r="KU79" i="2"/>
  <c r="KU104" i="2"/>
  <c r="KU117" i="2"/>
  <c r="KU93" i="2"/>
  <c r="KU94" i="2"/>
  <c r="KU95" i="2"/>
  <c r="KU96" i="2"/>
  <c r="KU97" i="2"/>
  <c r="KU113" i="2"/>
  <c r="KV66" i="2"/>
  <c r="KV67" i="2"/>
  <c r="KV68" i="2"/>
  <c r="KV75" i="2"/>
  <c r="KV100" i="2"/>
  <c r="KV69" i="2"/>
  <c r="KV76" i="2"/>
  <c r="KV101" i="2"/>
  <c r="KV70" i="2"/>
  <c r="KV77" i="2"/>
  <c r="KV102" i="2"/>
  <c r="KV71" i="2"/>
  <c r="KV78" i="2"/>
  <c r="KV103" i="2"/>
  <c r="KV72" i="2"/>
  <c r="KV79" i="2"/>
  <c r="KV104" i="2"/>
  <c r="KV117" i="2"/>
  <c r="KV93" i="2"/>
  <c r="KV94" i="2"/>
  <c r="KV95" i="2"/>
  <c r="KV96" i="2"/>
  <c r="KV97" i="2"/>
  <c r="KV113" i="2"/>
  <c r="KW66" i="2"/>
  <c r="KW67" i="2"/>
  <c r="KW68" i="2"/>
  <c r="KW75" i="2"/>
  <c r="KW100" i="2"/>
  <c r="KW69" i="2"/>
  <c r="KW76" i="2"/>
  <c r="KW101" i="2"/>
  <c r="KW70" i="2"/>
  <c r="KW77" i="2"/>
  <c r="KW102" i="2"/>
  <c r="KW71" i="2"/>
  <c r="KW78" i="2"/>
  <c r="KW103" i="2"/>
  <c r="KW72" i="2"/>
  <c r="KW79" i="2"/>
  <c r="KW104" i="2"/>
  <c r="KW117" i="2"/>
  <c r="KW93" i="2"/>
  <c r="KW94" i="2"/>
  <c r="KW95" i="2"/>
  <c r="KW96" i="2"/>
  <c r="KW97" i="2"/>
  <c r="KW113" i="2"/>
  <c r="KX66" i="2"/>
  <c r="KX67" i="2"/>
  <c r="KX68" i="2"/>
  <c r="KX75" i="2"/>
  <c r="KX100" i="2"/>
  <c r="KX69" i="2"/>
  <c r="KX76" i="2"/>
  <c r="KX101" i="2"/>
  <c r="KX70" i="2"/>
  <c r="KX77" i="2"/>
  <c r="KX102" i="2"/>
  <c r="KX71" i="2"/>
  <c r="KX78" i="2"/>
  <c r="KX103" i="2"/>
  <c r="KX72" i="2"/>
  <c r="KX79" i="2"/>
  <c r="KX104" i="2"/>
  <c r="KX117" i="2"/>
  <c r="KX93" i="2"/>
  <c r="KX94" i="2"/>
  <c r="KX95" i="2"/>
  <c r="KX96" i="2"/>
  <c r="KX97" i="2"/>
  <c r="KX113" i="2"/>
  <c r="KY66" i="2"/>
  <c r="KY67" i="2"/>
  <c r="KY68" i="2"/>
  <c r="KY75" i="2"/>
  <c r="KY100" i="2"/>
  <c r="KY69" i="2"/>
  <c r="KY76" i="2"/>
  <c r="KY101" i="2"/>
  <c r="KY70" i="2"/>
  <c r="KY77" i="2"/>
  <c r="KY102" i="2"/>
  <c r="KY71" i="2"/>
  <c r="KY78" i="2"/>
  <c r="KY103" i="2"/>
  <c r="KY72" i="2"/>
  <c r="KY79" i="2"/>
  <c r="KY104" i="2"/>
  <c r="KY117" i="2"/>
  <c r="KY93" i="2"/>
  <c r="KY94" i="2"/>
  <c r="KY95" i="2"/>
  <c r="KY96" i="2"/>
  <c r="KY97" i="2"/>
  <c r="KY113" i="2"/>
  <c r="KZ66" i="2"/>
  <c r="KZ67" i="2"/>
  <c r="KZ68" i="2"/>
  <c r="KZ75" i="2"/>
  <c r="KZ100" i="2"/>
  <c r="KZ69" i="2"/>
  <c r="KZ76" i="2"/>
  <c r="KZ101" i="2"/>
  <c r="KZ70" i="2"/>
  <c r="KZ77" i="2"/>
  <c r="KZ102" i="2"/>
  <c r="KZ71" i="2"/>
  <c r="KZ78" i="2"/>
  <c r="KZ103" i="2"/>
  <c r="KZ72" i="2"/>
  <c r="KZ79" i="2"/>
  <c r="KZ104" i="2"/>
  <c r="KZ117" i="2"/>
  <c r="KZ93" i="2"/>
  <c r="KZ94" i="2"/>
  <c r="KZ95" i="2"/>
  <c r="KZ96" i="2"/>
  <c r="KZ97" i="2"/>
  <c r="KZ113" i="2"/>
  <c r="LA66" i="2"/>
  <c r="LA67" i="2"/>
  <c r="LA68" i="2"/>
  <c r="LA75" i="2"/>
  <c r="LA100" i="2"/>
  <c r="LA69" i="2"/>
  <c r="LA76" i="2"/>
  <c r="LA101" i="2"/>
  <c r="LA70" i="2"/>
  <c r="LA77" i="2"/>
  <c r="LA102" i="2"/>
  <c r="LA71" i="2"/>
  <c r="LA78" i="2"/>
  <c r="LA103" i="2"/>
  <c r="LA72" i="2"/>
  <c r="LA79" i="2"/>
  <c r="LA104" i="2"/>
  <c r="LA117" i="2"/>
  <c r="LA93" i="2"/>
  <c r="LA94" i="2"/>
  <c r="LA95" i="2"/>
  <c r="LA96" i="2"/>
  <c r="LA97" i="2"/>
  <c r="LA113" i="2"/>
  <c r="LB66" i="2"/>
  <c r="LB67" i="2"/>
  <c r="LB68" i="2"/>
  <c r="LB75" i="2"/>
  <c r="LB100" i="2"/>
  <c r="LB69" i="2"/>
  <c r="LB76" i="2"/>
  <c r="LB101" i="2"/>
  <c r="LB70" i="2"/>
  <c r="LB77" i="2"/>
  <c r="LB102" i="2"/>
  <c r="LB71" i="2"/>
  <c r="LB78" i="2"/>
  <c r="LB103" i="2"/>
  <c r="LB72" i="2"/>
  <c r="LB79" i="2"/>
  <c r="LB104" i="2"/>
  <c r="LB117" i="2"/>
  <c r="LB93" i="2"/>
  <c r="LB94" i="2"/>
  <c r="LB95" i="2"/>
  <c r="LB96" i="2"/>
  <c r="LB97" i="2"/>
  <c r="LB113" i="2"/>
  <c r="LC66" i="2"/>
  <c r="LC67" i="2"/>
  <c r="LC68" i="2"/>
  <c r="LC75" i="2"/>
  <c r="LC100" i="2"/>
  <c r="LC69" i="2"/>
  <c r="LC76" i="2"/>
  <c r="LC101" i="2"/>
  <c r="LC70" i="2"/>
  <c r="LC77" i="2"/>
  <c r="LC102" i="2"/>
  <c r="LC71" i="2"/>
  <c r="LC78" i="2"/>
  <c r="LC103" i="2"/>
  <c r="LC72" i="2"/>
  <c r="LC79" i="2"/>
  <c r="LC104" i="2"/>
  <c r="LC117" i="2"/>
  <c r="LC93" i="2"/>
  <c r="LC94" i="2"/>
  <c r="LC95" i="2"/>
  <c r="LC96" i="2"/>
  <c r="LC97" i="2"/>
  <c r="LC113" i="2"/>
  <c r="LD66" i="2"/>
  <c r="LD67" i="2"/>
  <c r="LD68" i="2"/>
  <c r="LD75" i="2"/>
  <c r="LD100" i="2"/>
  <c r="LD69" i="2"/>
  <c r="LD76" i="2"/>
  <c r="LD101" i="2"/>
  <c r="LD70" i="2"/>
  <c r="LD77" i="2"/>
  <c r="LD102" i="2"/>
  <c r="LD71" i="2"/>
  <c r="LD78" i="2"/>
  <c r="LD103" i="2"/>
  <c r="LD72" i="2"/>
  <c r="LD79" i="2"/>
  <c r="LD104" i="2"/>
  <c r="LD117" i="2"/>
  <c r="LD93" i="2"/>
  <c r="LD94" i="2"/>
  <c r="LD95" i="2"/>
  <c r="LD96" i="2"/>
  <c r="LD97" i="2"/>
  <c r="LD113" i="2"/>
  <c r="LE66" i="2"/>
  <c r="LE67" i="2"/>
  <c r="LE68" i="2"/>
  <c r="LE75" i="2"/>
  <c r="LE100" i="2"/>
  <c r="LE69" i="2"/>
  <c r="LE76" i="2"/>
  <c r="LE101" i="2"/>
  <c r="LE70" i="2"/>
  <c r="LE77" i="2"/>
  <c r="LE102" i="2"/>
  <c r="LE71" i="2"/>
  <c r="LE78" i="2"/>
  <c r="LE103" i="2"/>
  <c r="LE72" i="2"/>
  <c r="LE79" i="2"/>
  <c r="LE104" i="2"/>
  <c r="LE117" i="2"/>
  <c r="LE93" i="2"/>
  <c r="LE94" i="2"/>
  <c r="LE95" i="2"/>
  <c r="LE96" i="2"/>
  <c r="LE97" i="2"/>
  <c r="LE113" i="2"/>
  <c r="LF66" i="2"/>
  <c r="LF67" i="2"/>
  <c r="LF68" i="2"/>
  <c r="LF75" i="2"/>
  <c r="LF100" i="2"/>
  <c r="LF69" i="2"/>
  <c r="LF76" i="2"/>
  <c r="LF101" i="2"/>
  <c r="LF70" i="2"/>
  <c r="LF77" i="2"/>
  <c r="LF102" i="2"/>
  <c r="LF71" i="2"/>
  <c r="LF78" i="2"/>
  <c r="LF103" i="2"/>
  <c r="LF72" i="2"/>
  <c r="LF79" i="2"/>
  <c r="LF104" i="2"/>
  <c r="LF117" i="2"/>
  <c r="LF93" i="2"/>
  <c r="LF94" i="2"/>
  <c r="LF95" i="2"/>
  <c r="LF96" i="2"/>
  <c r="LF97" i="2"/>
  <c r="LF113" i="2"/>
  <c r="LG66" i="2"/>
  <c r="LG67" i="2"/>
  <c r="LG68" i="2"/>
  <c r="LG75" i="2"/>
  <c r="LG100" i="2"/>
  <c r="LG69" i="2"/>
  <c r="LG76" i="2"/>
  <c r="LG101" i="2"/>
  <c r="LG70" i="2"/>
  <c r="LG77" i="2"/>
  <c r="LG102" i="2"/>
  <c r="LG71" i="2"/>
  <c r="LG78" i="2"/>
  <c r="LG103" i="2"/>
  <c r="LG72" i="2"/>
  <c r="LG79" i="2"/>
  <c r="LG104" i="2"/>
  <c r="LG117" i="2"/>
  <c r="LG93" i="2"/>
  <c r="LG94" i="2"/>
  <c r="LG95" i="2"/>
  <c r="LG96" i="2"/>
  <c r="LG97" i="2"/>
  <c r="LG113" i="2"/>
  <c r="LH66" i="2"/>
  <c r="LH67" i="2"/>
  <c r="LH68" i="2"/>
  <c r="LH75" i="2"/>
  <c r="LH100" i="2"/>
  <c r="LH69" i="2"/>
  <c r="LH76" i="2"/>
  <c r="LH101" i="2"/>
  <c r="LH70" i="2"/>
  <c r="LH77" i="2"/>
  <c r="LH102" i="2"/>
  <c r="LH71" i="2"/>
  <c r="LH78" i="2"/>
  <c r="LH103" i="2"/>
  <c r="LH72" i="2"/>
  <c r="LH79" i="2"/>
  <c r="LH104" i="2"/>
  <c r="LH117" i="2"/>
  <c r="LH93" i="2"/>
  <c r="LH94" i="2"/>
  <c r="LH95" i="2"/>
  <c r="LH96" i="2"/>
  <c r="LH97" i="2"/>
  <c r="LH113" i="2"/>
  <c r="LI66" i="2"/>
  <c r="LI67" i="2"/>
  <c r="LI68" i="2"/>
  <c r="LI75" i="2"/>
  <c r="LI100" i="2"/>
  <c r="LI69" i="2"/>
  <c r="LI76" i="2"/>
  <c r="LI101" i="2"/>
  <c r="LI70" i="2"/>
  <c r="LI77" i="2"/>
  <c r="LI102" i="2"/>
  <c r="LI71" i="2"/>
  <c r="LI78" i="2"/>
  <c r="LI103" i="2"/>
  <c r="LI72" i="2"/>
  <c r="LI79" i="2"/>
  <c r="LI104" i="2"/>
  <c r="LI117" i="2"/>
  <c r="LI93" i="2"/>
  <c r="LI94" i="2"/>
  <c r="LI95" i="2"/>
  <c r="LI96" i="2"/>
  <c r="LI97" i="2"/>
  <c r="LI113" i="2"/>
  <c r="LJ66" i="2"/>
  <c r="LJ67" i="2"/>
  <c r="LJ68" i="2"/>
  <c r="LJ75" i="2"/>
  <c r="LJ100" i="2"/>
  <c r="LJ69" i="2"/>
  <c r="LJ76" i="2"/>
  <c r="LJ101" i="2"/>
  <c r="LJ70" i="2"/>
  <c r="LJ77" i="2"/>
  <c r="LJ102" i="2"/>
  <c r="LJ71" i="2"/>
  <c r="LJ78" i="2"/>
  <c r="LJ103" i="2"/>
  <c r="LJ72" i="2"/>
  <c r="LJ79" i="2"/>
  <c r="LJ104" i="2"/>
  <c r="LJ117" i="2"/>
  <c r="LJ93" i="2"/>
  <c r="LJ94" i="2"/>
  <c r="LJ95" i="2"/>
  <c r="LJ96" i="2"/>
  <c r="LJ97" i="2"/>
  <c r="LJ113" i="2"/>
  <c r="LK66" i="2"/>
  <c r="LK67" i="2"/>
  <c r="LK68" i="2"/>
  <c r="LK75" i="2"/>
  <c r="LK100" i="2"/>
  <c r="LK69" i="2"/>
  <c r="LK76" i="2"/>
  <c r="LK101" i="2"/>
  <c r="LK70" i="2"/>
  <c r="LK77" i="2"/>
  <c r="LK102" i="2"/>
  <c r="LK71" i="2"/>
  <c r="LK78" i="2"/>
  <c r="LK103" i="2"/>
  <c r="LK72" i="2"/>
  <c r="LK79" i="2"/>
  <c r="LK104" i="2"/>
  <c r="LK117" i="2"/>
  <c r="LK93" i="2"/>
  <c r="LK94" i="2"/>
  <c r="LK95" i="2"/>
  <c r="LK96" i="2"/>
  <c r="LK97" i="2"/>
  <c r="LK113" i="2"/>
  <c r="LL66" i="2"/>
  <c r="LL67" i="2"/>
  <c r="LL68" i="2"/>
  <c r="LL75" i="2"/>
  <c r="LL100" i="2"/>
  <c r="LL69" i="2"/>
  <c r="LL76" i="2"/>
  <c r="LL101" i="2"/>
  <c r="LL70" i="2"/>
  <c r="LL77" i="2"/>
  <c r="LL102" i="2"/>
  <c r="LL71" i="2"/>
  <c r="LL78" i="2"/>
  <c r="LL103" i="2"/>
  <c r="LL72" i="2"/>
  <c r="LL79" i="2"/>
  <c r="LL104" i="2"/>
  <c r="LL117" i="2"/>
  <c r="LL93" i="2"/>
  <c r="LL94" i="2"/>
  <c r="LL95" i="2"/>
  <c r="LL96" i="2"/>
  <c r="LL97" i="2"/>
  <c r="LL113" i="2"/>
  <c r="LM66" i="2"/>
  <c r="LM67" i="2"/>
  <c r="LM68" i="2"/>
  <c r="LM75" i="2"/>
  <c r="LM100" i="2"/>
  <c r="LM69" i="2"/>
  <c r="LM76" i="2"/>
  <c r="LM101" i="2"/>
  <c r="LM70" i="2"/>
  <c r="LM77" i="2"/>
  <c r="LM102" i="2"/>
  <c r="LM71" i="2"/>
  <c r="LM78" i="2"/>
  <c r="LM103" i="2"/>
  <c r="LM72" i="2"/>
  <c r="LM79" i="2"/>
  <c r="LM104" i="2"/>
  <c r="LM117" i="2"/>
  <c r="LM93" i="2"/>
  <c r="LM94" i="2"/>
  <c r="LM95" i="2"/>
  <c r="LM96" i="2"/>
  <c r="LM97" i="2"/>
  <c r="LM113" i="2"/>
  <c r="LN66" i="2"/>
  <c r="LN67" i="2"/>
  <c r="LN68" i="2"/>
  <c r="LN75" i="2"/>
  <c r="LN100" i="2"/>
  <c r="LN69" i="2"/>
  <c r="LN76" i="2"/>
  <c r="LN101" i="2"/>
  <c r="LN70" i="2"/>
  <c r="LN77" i="2"/>
  <c r="LN102" i="2"/>
  <c r="LN71" i="2"/>
  <c r="LN78" i="2"/>
  <c r="LN103" i="2"/>
  <c r="LN72" i="2"/>
  <c r="LN79" i="2"/>
  <c r="LN104" i="2"/>
  <c r="LN117" i="2"/>
  <c r="LN93" i="2"/>
  <c r="LN94" i="2"/>
  <c r="LN95" i="2"/>
  <c r="LN96" i="2"/>
  <c r="LN97" i="2"/>
  <c r="LN113" i="2"/>
  <c r="LO66" i="2"/>
  <c r="LO67" i="2"/>
  <c r="LO68" i="2"/>
  <c r="LO75" i="2"/>
  <c r="LO100" i="2"/>
  <c r="LO69" i="2"/>
  <c r="LO76" i="2"/>
  <c r="LO101" i="2"/>
  <c r="LO70" i="2"/>
  <c r="LO77" i="2"/>
  <c r="LO102" i="2"/>
  <c r="LO71" i="2"/>
  <c r="LO78" i="2"/>
  <c r="LO103" i="2"/>
  <c r="LO72" i="2"/>
  <c r="LO79" i="2"/>
  <c r="LO104" i="2"/>
  <c r="LO117" i="2"/>
  <c r="LO93" i="2"/>
  <c r="LO94" i="2"/>
  <c r="LO95" i="2"/>
  <c r="LO96" i="2"/>
  <c r="LO97" i="2"/>
  <c r="LO113" i="2"/>
  <c r="LP66" i="2"/>
  <c r="LP67" i="2"/>
  <c r="LP68" i="2"/>
  <c r="LP75" i="2"/>
  <c r="LP100" i="2"/>
  <c r="LP69" i="2"/>
  <c r="LP76" i="2"/>
  <c r="LP101" i="2"/>
  <c r="LP70" i="2"/>
  <c r="LP77" i="2"/>
  <c r="LP102" i="2"/>
  <c r="LP71" i="2"/>
  <c r="LP78" i="2"/>
  <c r="LP103" i="2"/>
  <c r="LP72" i="2"/>
  <c r="LP79" i="2"/>
  <c r="LP104" i="2"/>
  <c r="LP117" i="2"/>
  <c r="LP93" i="2"/>
  <c r="LP94" i="2"/>
  <c r="LP95" i="2"/>
  <c r="LP96" i="2"/>
  <c r="LP97" i="2"/>
  <c r="LP113" i="2"/>
  <c r="LQ66" i="2"/>
  <c r="LQ67" i="2"/>
  <c r="LQ68" i="2"/>
  <c r="LQ75" i="2"/>
  <c r="LQ100" i="2"/>
  <c r="LQ69" i="2"/>
  <c r="LQ76" i="2"/>
  <c r="LQ101" i="2"/>
  <c r="LQ70" i="2"/>
  <c r="LQ77" i="2"/>
  <c r="LQ102" i="2"/>
  <c r="LQ71" i="2"/>
  <c r="LQ78" i="2"/>
  <c r="LQ103" i="2"/>
  <c r="LQ72" i="2"/>
  <c r="LQ79" i="2"/>
  <c r="LQ104" i="2"/>
  <c r="LQ117" i="2"/>
  <c r="LQ93" i="2"/>
  <c r="LQ94" i="2"/>
  <c r="LQ95" i="2"/>
  <c r="LQ96" i="2"/>
  <c r="LQ97" i="2"/>
  <c r="LQ113" i="2"/>
  <c r="LR66" i="2"/>
  <c r="LR67" i="2"/>
  <c r="LR68" i="2"/>
  <c r="LR75" i="2"/>
  <c r="LR100" i="2"/>
  <c r="LR69" i="2"/>
  <c r="LR76" i="2"/>
  <c r="LR101" i="2"/>
  <c r="LR70" i="2"/>
  <c r="LR77" i="2"/>
  <c r="LR102" i="2"/>
  <c r="LR71" i="2"/>
  <c r="LR78" i="2"/>
  <c r="LR103" i="2"/>
  <c r="LR72" i="2"/>
  <c r="LR79" i="2"/>
  <c r="LR104" i="2"/>
  <c r="LR117" i="2"/>
  <c r="LR93" i="2"/>
  <c r="LR94" i="2"/>
  <c r="LR95" i="2"/>
  <c r="LR96" i="2"/>
  <c r="LR97" i="2"/>
  <c r="LR113" i="2"/>
  <c r="LS66" i="2"/>
  <c r="LS67" i="2"/>
  <c r="LS68" i="2"/>
  <c r="LS75" i="2"/>
  <c r="LS100" i="2"/>
  <c r="LS69" i="2"/>
  <c r="LS76" i="2"/>
  <c r="LS101" i="2"/>
  <c r="LS70" i="2"/>
  <c r="LS77" i="2"/>
  <c r="LS102" i="2"/>
  <c r="LS71" i="2"/>
  <c r="LS78" i="2"/>
  <c r="LS103" i="2"/>
  <c r="LS72" i="2"/>
  <c r="LS79" i="2"/>
  <c r="LS104" i="2"/>
  <c r="LS117" i="2"/>
  <c r="LS93" i="2"/>
  <c r="LS94" i="2"/>
  <c r="LS95" i="2"/>
  <c r="LS96" i="2"/>
  <c r="LS97" i="2"/>
  <c r="LS113" i="2"/>
  <c r="LT66" i="2"/>
  <c r="LT67" i="2"/>
  <c r="LT68" i="2"/>
  <c r="LT75" i="2"/>
  <c r="LT100" i="2"/>
  <c r="LT69" i="2"/>
  <c r="LT76" i="2"/>
  <c r="LT101" i="2"/>
  <c r="LT70" i="2"/>
  <c r="LT77" i="2"/>
  <c r="LT102" i="2"/>
  <c r="LT71" i="2"/>
  <c r="LT78" i="2"/>
  <c r="LT103" i="2"/>
  <c r="LT72" i="2"/>
  <c r="LT79" i="2"/>
  <c r="LT104" i="2"/>
  <c r="LT117" i="2"/>
  <c r="LT93" i="2"/>
  <c r="LT94" i="2"/>
  <c r="LT95" i="2"/>
  <c r="LT96" i="2"/>
  <c r="LT97" i="2"/>
  <c r="LT113" i="2"/>
  <c r="LU66" i="2"/>
  <c r="LU67" i="2"/>
  <c r="LU68" i="2"/>
  <c r="LU75" i="2"/>
  <c r="LU100" i="2"/>
  <c r="LU69" i="2"/>
  <c r="LU76" i="2"/>
  <c r="LU101" i="2"/>
  <c r="LU70" i="2"/>
  <c r="LU77" i="2"/>
  <c r="LU102" i="2"/>
  <c r="LU71" i="2"/>
  <c r="LU78" i="2"/>
  <c r="LU103" i="2"/>
  <c r="LU72" i="2"/>
  <c r="LU79" i="2"/>
  <c r="LU104" i="2"/>
  <c r="LU117" i="2"/>
  <c r="LU93" i="2"/>
  <c r="LU94" i="2"/>
  <c r="LU95" i="2"/>
  <c r="LU96" i="2"/>
  <c r="LU97" i="2"/>
  <c r="LU113" i="2"/>
  <c r="LV66" i="2"/>
  <c r="LV67" i="2"/>
  <c r="LV68" i="2"/>
  <c r="LV75" i="2"/>
  <c r="LV100" i="2"/>
  <c r="LV69" i="2"/>
  <c r="LV76" i="2"/>
  <c r="LV101" i="2"/>
  <c r="LV70" i="2"/>
  <c r="LV77" i="2"/>
  <c r="LV102" i="2"/>
  <c r="LV71" i="2"/>
  <c r="LV78" i="2"/>
  <c r="LV103" i="2"/>
  <c r="LV72" i="2"/>
  <c r="LV79" i="2"/>
  <c r="LV104" i="2"/>
  <c r="LV117" i="2"/>
  <c r="LV93" i="2"/>
  <c r="LV94" i="2"/>
  <c r="LV95" i="2"/>
  <c r="LV96" i="2"/>
  <c r="LV97" i="2"/>
  <c r="LV113" i="2"/>
  <c r="LW66" i="2"/>
  <c r="LW67" i="2"/>
  <c r="LW68" i="2"/>
  <c r="LW75" i="2"/>
  <c r="LW100" i="2"/>
  <c r="LW69" i="2"/>
  <c r="LW76" i="2"/>
  <c r="LW101" i="2"/>
  <c r="LW70" i="2"/>
  <c r="LW77" i="2"/>
  <c r="LW102" i="2"/>
  <c r="LW71" i="2"/>
  <c r="LW78" i="2"/>
  <c r="LW103" i="2"/>
  <c r="LW72" i="2"/>
  <c r="LW79" i="2"/>
  <c r="LW104" i="2"/>
  <c r="LW117" i="2"/>
  <c r="LW93" i="2"/>
  <c r="LW94" i="2"/>
  <c r="LW95" i="2"/>
  <c r="LW96" i="2"/>
  <c r="LW97" i="2"/>
  <c r="LW113" i="2"/>
  <c r="LX66" i="2"/>
  <c r="LX67" i="2"/>
  <c r="LX68" i="2"/>
  <c r="LX75" i="2"/>
  <c r="LX100" i="2"/>
  <c r="LX69" i="2"/>
  <c r="LX76" i="2"/>
  <c r="LX101" i="2"/>
  <c r="LX70" i="2"/>
  <c r="LX77" i="2"/>
  <c r="LX102" i="2"/>
  <c r="LX71" i="2"/>
  <c r="LX78" i="2"/>
  <c r="LX103" i="2"/>
  <c r="LX72" i="2"/>
  <c r="LX79" i="2"/>
  <c r="LX104" i="2"/>
  <c r="LX117" i="2"/>
  <c r="LX93" i="2"/>
  <c r="LX94" i="2"/>
  <c r="LX95" i="2"/>
  <c r="LX96" i="2"/>
  <c r="LX97" i="2"/>
  <c r="LX113" i="2"/>
  <c r="LY66" i="2"/>
  <c r="LY67" i="2"/>
  <c r="LY68" i="2"/>
  <c r="LY75" i="2"/>
  <c r="LY100" i="2"/>
  <c r="LY69" i="2"/>
  <c r="LY76" i="2"/>
  <c r="LY101" i="2"/>
  <c r="LY70" i="2"/>
  <c r="LY77" i="2"/>
  <c r="LY102" i="2"/>
  <c r="LY71" i="2"/>
  <c r="LY78" i="2"/>
  <c r="LY103" i="2"/>
  <c r="LY72" i="2"/>
  <c r="LY79" i="2"/>
  <c r="LY104" i="2"/>
  <c r="LY117" i="2"/>
  <c r="LY93" i="2"/>
  <c r="LY94" i="2"/>
  <c r="LY95" i="2"/>
  <c r="LY96" i="2"/>
  <c r="LY97" i="2"/>
  <c r="LY113" i="2"/>
  <c r="LZ66" i="2"/>
  <c r="LZ67" i="2"/>
  <c r="LZ68" i="2"/>
  <c r="LZ75" i="2"/>
  <c r="LZ100" i="2"/>
  <c r="LZ69" i="2"/>
  <c r="LZ76" i="2"/>
  <c r="LZ101" i="2"/>
  <c r="LZ70" i="2"/>
  <c r="LZ77" i="2"/>
  <c r="LZ102" i="2"/>
  <c r="LZ71" i="2"/>
  <c r="LZ78" i="2"/>
  <c r="LZ103" i="2"/>
  <c r="LZ72" i="2"/>
  <c r="LZ79" i="2"/>
  <c r="LZ104" i="2"/>
  <c r="LZ117" i="2"/>
  <c r="LZ93" i="2"/>
  <c r="LZ94" i="2"/>
  <c r="LZ95" i="2"/>
  <c r="LZ96" i="2"/>
  <c r="LZ97" i="2"/>
  <c r="LZ113" i="2"/>
  <c r="MA66" i="2"/>
  <c r="MA67" i="2"/>
  <c r="MA68" i="2"/>
  <c r="MA75" i="2"/>
  <c r="MA100" i="2"/>
  <c r="MA69" i="2"/>
  <c r="MA76" i="2"/>
  <c r="MA101" i="2"/>
  <c r="MA70" i="2"/>
  <c r="MA77" i="2"/>
  <c r="MA102" i="2"/>
  <c r="MA71" i="2"/>
  <c r="MA78" i="2"/>
  <c r="MA103" i="2"/>
  <c r="MA72" i="2"/>
  <c r="MA79" i="2"/>
  <c r="MA104" i="2"/>
  <c r="MA117" i="2"/>
  <c r="MA93" i="2"/>
  <c r="MA94" i="2"/>
  <c r="MA95" i="2"/>
  <c r="MA96" i="2"/>
  <c r="MA97" i="2"/>
  <c r="MA113" i="2"/>
  <c r="MB66" i="2"/>
  <c r="MB67" i="2"/>
  <c r="MB68" i="2"/>
  <c r="MB75" i="2"/>
  <c r="MB100" i="2"/>
  <c r="MB69" i="2"/>
  <c r="MB76" i="2"/>
  <c r="MB101" i="2"/>
  <c r="MB70" i="2"/>
  <c r="MB77" i="2"/>
  <c r="MB102" i="2"/>
  <c r="MB71" i="2"/>
  <c r="MB78" i="2"/>
  <c r="MB103" i="2"/>
  <c r="MB72" i="2"/>
  <c r="MB79" i="2"/>
  <c r="MB104" i="2"/>
  <c r="MB117" i="2"/>
  <c r="MB93" i="2"/>
  <c r="MB94" i="2"/>
  <c r="MB95" i="2"/>
  <c r="MB96" i="2"/>
  <c r="MB97" i="2"/>
  <c r="MB113" i="2"/>
  <c r="MC66" i="2"/>
  <c r="MC67" i="2"/>
  <c r="MC68" i="2"/>
  <c r="MC75" i="2"/>
  <c r="MC100" i="2"/>
  <c r="MC69" i="2"/>
  <c r="MC76" i="2"/>
  <c r="MC101" i="2"/>
  <c r="MC70" i="2"/>
  <c r="MC77" i="2"/>
  <c r="MC102" i="2"/>
  <c r="MC71" i="2"/>
  <c r="MC78" i="2"/>
  <c r="MC103" i="2"/>
  <c r="MC72" i="2"/>
  <c r="MC79" i="2"/>
  <c r="MC104" i="2"/>
  <c r="MC117" i="2"/>
  <c r="MC93" i="2"/>
  <c r="MC94" i="2"/>
  <c r="MC95" i="2"/>
  <c r="MC96" i="2"/>
  <c r="MC97" i="2"/>
  <c r="MC113" i="2"/>
  <c r="MD66" i="2"/>
  <c r="MD67" i="2"/>
  <c r="MD68" i="2"/>
  <c r="MD75" i="2"/>
  <c r="MD100" i="2"/>
  <c r="MD69" i="2"/>
  <c r="MD76" i="2"/>
  <c r="MD101" i="2"/>
  <c r="MD70" i="2"/>
  <c r="MD77" i="2"/>
  <c r="MD102" i="2"/>
  <c r="MD71" i="2"/>
  <c r="MD78" i="2"/>
  <c r="MD103" i="2"/>
  <c r="MD72" i="2"/>
  <c r="MD79" i="2"/>
  <c r="MD104" i="2"/>
  <c r="MD117" i="2"/>
  <c r="MD93" i="2"/>
  <c r="MD94" i="2"/>
  <c r="MD95" i="2"/>
  <c r="MD96" i="2"/>
  <c r="MD97" i="2"/>
  <c r="MD113" i="2"/>
  <c r="ME66" i="2"/>
  <c r="ME67" i="2"/>
  <c r="ME68" i="2"/>
  <c r="ME75" i="2"/>
  <c r="ME100" i="2"/>
  <c r="ME69" i="2"/>
  <c r="ME76" i="2"/>
  <c r="ME101" i="2"/>
  <c r="ME70" i="2"/>
  <c r="ME77" i="2"/>
  <c r="ME102" i="2"/>
  <c r="ME71" i="2"/>
  <c r="ME78" i="2"/>
  <c r="ME103" i="2"/>
  <c r="ME72" i="2"/>
  <c r="ME79" i="2"/>
  <c r="ME104" i="2"/>
  <c r="ME117" i="2"/>
  <c r="ME93" i="2"/>
  <c r="ME94" i="2"/>
  <c r="ME95" i="2"/>
  <c r="ME96" i="2"/>
  <c r="ME97" i="2"/>
  <c r="ME113" i="2"/>
  <c r="MF66" i="2"/>
  <c r="MF67" i="2"/>
  <c r="MF68" i="2"/>
  <c r="MF75" i="2"/>
  <c r="MF100" i="2"/>
  <c r="MF69" i="2"/>
  <c r="MF76" i="2"/>
  <c r="MF101" i="2"/>
  <c r="MF70" i="2"/>
  <c r="MF77" i="2"/>
  <c r="MF102" i="2"/>
  <c r="MF71" i="2"/>
  <c r="MF78" i="2"/>
  <c r="MF103" i="2"/>
  <c r="MF72" i="2"/>
  <c r="MF79" i="2"/>
  <c r="MF104" i="2"/>
  <c r="MF117" i="2"/>
  <c r="MF93" i="2"/>
  <c r="MF94" i="2"/>
  <c r="MF95" i="2"/>
  <c r="MF96" i="2"/>
  <c r="MF97" i="2"/>
  <c r="MF113" i="2"/>
  <c r="MG66" i="2"/>
  <c r="MG67" i="2"/>
  <c r="MG68" i="2"/>
  <c r="MG75" i="2"/>
  <c r="MG100" i="2"/>
  <c r="MG69" i="2"/>
  <c r="MG76" i="2"/>
  <c r="MG101" i="2"/>
  <c r="MG70" i="2"/>
  <c r="MG77" i="2"/>
  <c r="MG102" i="2"/>
  <c r="MG71" i="2"/>
  <c r="MG78" i="2"/>
  <c r="MG103" i="2"/>
  <c r="MG72" i="2"/>
  <c r="MG79" i="2"/>
  <c r="MG104" i="2"/>
  <c r="MG117" i="2"/>
  <c r="MG93" i="2"/>
  <c r="MG94" i="2"/>
  <c r="MG95" i="2"/>
  <c r="MG96" i="2"/>
  <c r="MG97" i="2"/>
  <c r="MG113" i="2"/>
  <c r="MH66" i="2"/>
  <c r="MH67" i="2"/>
  <c r="MH68" i="2"/>
  <c r="MH75" i="2"/>
  <c r="MH100" i="2"/>
  <c r="MH69" i="2"/>
  <c r="MH76" i="2"/>
  <c r="MH101" i="2"/>
  <c r="MH70" i="2"/>
  <c r="MH77" i="2"/>
  <c r="MH102" i="2"/>
  <c r="MH71" i="2"/>
  <c r="MH78" i="2"/>
  <c r="MH103" i="2"/>
  <c r="MH72" i="2"/>
  <c r="MH79" i="2"/>
  <c r="MH104" i="2"/>
  <c r="MH117" i="2"/>
  <c r="MH93" i="2"/>
  <c r="MH94" i="2"/>
  <c r="MH95" i="2"/>
  <c r="MH96" i="2"/>
  <c r="MH97" i="2"/>
  <c r="MH113" i="2"/>
  <c r="MI66" i="2"/>
  <c r="MI67" i="2"/>
  <c r="MI68" i="2"/>
  <c r="MI75" i="2"/>
  <c r="MI100" i="2"/>
  <c r="MI69" i="2"/>
  <c r="MI76" i="2"/>
  <c r="MI101" i="2"/>
  <c r="MI70" i="2"/>
  <c r="MI77" i="2"/>
  <c r="MI102" i="2"/>
  <c r="MI71" i="2"/>
  <c r="MI78" i="2"/>
  <c r="MI103" i="2"/>
  <c r="MI72" i="2"/>
  <c r="MI79" i="2"/>
  <c r="MI104" i="2"/>
  <c r="MI117" i="2"/>
  <c r="MI93" i="2"/>
  <c r="MI94" i="2"/>
  <c r="MI95" i="2"/>
  <c r="MI96" i="2"/>
  <c r="MI97" i="2"/>
  <c r="MI113" i="2"/>
  <c r="MJ66" i="2"/>
  <c r="MJ67" i="2"/>
  <c r="MJ68" i="2"/>
  <c r="MJ75" i="2"/>
  <c r="MJ100" i="2"/>
  <c r="MJ69" i="2"/>
  <c r="MJ76" i="2"/>
  <c r="MJ101" i="2"/>
  <c r="MJ70" i="2"/>
  <c r="MJ77" i="2"/>
  <c r="MJ102" i="2"/>
  <c r="MJ71" i="2"/>
  <c r="MJ78" i="2"/>
  <c r="MJ103" i="2"/>
  <c r="MJ72" i="2"/>
  <c r="MJ79" i="2"/>
  <c r="MJ104" i="2"/>
  <c r="MJ117" i="2"/>
  <c r="MJ93" i="2"/>
  <c r="MJ94" i="2"/>
  <c r="MJ95" i="2"/>
  <c r="MJ96" i="2"/>
  <c r="MJ97" i="2"/>
  <c r="MJ113" i="2"/>
  <c r="MK66" i="2"/>
  <c r="MK67" i="2"/>
  <c r="MK68" i="2"/>
  <c r="MK75" i="2"/>
  <c r="MK100" i="2"/>
  <c r="MK69" i="2"/>
  <c r="MK76" i="2"/>
  <c r="MK101" i="2"/>
  <c r="MK70" i="2"/>
  <c r="MK77" i="2"/>
  <c r="MK102" i="2"/>
  <c r="MK71" i="2"/>
  <c r="MK78" i="2"/>
  <c r="MK103" i="2"/>
  <c r="MK72" i="2"/>
  <c r="MK79" i="2"/>
  <c r="MK104" i="2"/>
  <c r="MK117" i="2"/>
  <c r="MK93" i="2"/>
  <c r="MK94" i="2"/>
  <c r="MK95" i="2"/>
  <c r="MK96" i="2"/>
  <c r="MK97" i="2"/>
  <c r="MK113" i="2"/>
  <c r="ML66" i="2"/>
  <c r="ML67" i="2"/>
  <c r="ML68" i="2"/>
  <c r="ML75" i="2"/>
  <c r="ML100" i="2"/>
  <c r="ML69" i="2"/>
  <c r="ML76" i="2"/>
  <c r="ML101" i="2"/>
  <c r="ML70" i="2"/>
  <c r="ML77" i="2"/>
  <c r="ML102" i="2"/>
  <c r="ML71" i="2"/>
  <c r="ML78" i="2"/>
  <c r="ML103" i="2"/>
  <c r="ML72" i="2"/>
  <c r="ML79" i="2"/>
  <c r="ML104" i="2"/>
  <c r="ML117" i="2"/>
  <c r="ML93" i="2"/>
  <c r="ML94" i="2"/>
  <c r="ML95" i="2"/>
  <c r="ML96" i="2"/>
  <c r="ML97" i="2"/>
  <c r="ML113" i="2"/>
  <c r="MM66" i="2"/>
  <c r="MM67" i="2"/>
  <c r="MM68" i="2"/>
  <c r="MM75" i="2"/>
  <c r="MM100" i="2"/>
  <c r="MM69" i="2"/>
  <c r="MM76" i="2"/>
  <c r="MM101" i="2"/>
  <c r="MM70" i="2"/>
  <c r="MM77" i="2"/>
  <c r="MM102" i="2"/>
  <c r="MM71" i="2"/>
  <c r="MM78" i="2"/>
  <c r="MM103" i="2"/>
  <c r="MM72" i="2"/>
  <c r="MM79" i="2"/>
  <c r="MM104" i="2"/>
  <c r="MM117" i="2"/>
  <c r="MM93" i="2"/>
  <c r="MM94" i="2"/>
  <c r="MM95" i="2"/>
  <c r="MM96" i="2"/>
  <c r="MM97" i="2"/>
  <c r="MM113" i="2"/>
  <c r="MN66" i="2"/>
  <c r="MN67" i="2"/>
  <c r="MN68" i="2"/>
  <c r="MN75" i="2"/>
  <c r="MN100" i="2"/>
  <c r="MN69" i="2"/>
  <c r="MN76" i="2"/>
  <c r="MN101" i="2"/>
  <c r="MN70" i="2"/>
  <c r="MN77" i="2"/>
  <c r="MN102" i="2"/>
  <c r="MN71" i="2"/>
  <c r="MN78" i="2"/>
  <c r="MN103" i="2"/>
  <c r="MN72" i="2"/>
  <c r="MN79" i="2"/>
  <c r="MN104" i="2"/>
  <c r="MN117" i="2"/>
  <c r="MN93" i="2"/>
  <c r="MN94" i="2"/>
  <c r="MN95" i="2"/>
  <c r="MN96" i="2"/>
  <c r="MN97" i="2"/>
  <c r="MN113" i="2"/>
  <c r="MO66" i="2"/>
  <c r="MO67" i="2"/>
  <c r="MO68" i="2"/>
  <c r="MO75" i="2"/>
  <c r="MO100" i="2"/>
  <c r="MO69" i="2"/>
  <c r="MO76" i="2"/>
  <c r="MO101" i="2"/>
  <c r="MO70" i="2"/>
  <c r="MO77" i="2"/>
  <c r="MO102" i="2"/>
  <c r="MO71" i="2"/>
  <c r="MO78" i="2"/>
  <c r="MO103" i="2"/>
  <c r="MO72" i="2"/>
  <c r="MO79" i="2"/>
  <c r="MO104" i="2"/>
  <c r="MO117" i="2"/>
  <c r="MO93" i="2"/>
  <c r="MO94" i="2"/>
  <c r="MO95" i="2"/>
  <c r="MO96" i="2"/>
  <c r="MO97" i="2"/>
  <c r="MO113" i="2"/>
  <c r="MP66" i="2"/>
  <c r="MP67" i="2"/>
  <c r="MP68" i="2"/>
  <c r="MP75" i="2"/>
  <c r="MP100" i="2"/>
  <c r="MP69" i="2"/>
  <c r="MP76" i="2"/>
  <c r="MP101" i="2"/>
  <c r="MP70" i="2"/>
  <c r="MP77" i="2"/>
  <c r="MP102" i="2"/>
  <c r="MP71" i="2"/>
  <c r="MP78" i="2"/>
  <c r="MP103" i="2"/>
  <c r="MP72" i="2"/>
  <c r="MP79" i="2"/>
  <c r="MP104" i="2"/>
  <c r="MP117" i="2"/>
  <c r="MP93" i="2"/>
  <c r="MP94" i="2"/>
  <c r="MP95" i="2"/>
  <c r="MP96" i="2"/>
  <c r="MP97" i="2"/>
  <c r="MP113" i="2"/>
  <c r="MQ66" i="2"/>
  <c r="MQ67" i="2"/>
  <c r="MQ68" i="2"/>
  <c r="MQ75" i="2"/>
  <c r="MQ100" i="2"/>
  <c r="MQ69" i="2"/>
  <c r="MQ76" i="2"/>
  <c r="MQ101" i="2"/>
  <c r="MQ70" i="2"/>
  <c r="MQ77" i="2"/>
  <c r="MQ102" i="2"/>
  <c r="MQ71" i="2"/>
  <c r="MQ78" i="2"/>
  <c r="MQ103" i="2"/>
  <c r="MQ72" i="2"/>
  <c r="MQ79" i="2"/>
  <c r="MQ104" i="2"/>
  <c r="MQ117" i="2"/>
  <c r="MQ93" i="2"/>
  <c r="MQ94" i="2"/>
  <c r="MQ95" i="2"/>
  <c r="MQ96" i="2"/>
  <c r="MQ97" i="2"/>
  <c r="MQ113" i="2"/>
  <c r="MR66" i="2"/>
  <c r="MR67" i="2"/>
  <c r="MR68" i="2"/>
  <c r="MR75" i="2"/>
  <c r="MR100" i="2"/>
  <c r="MR69" i="2"/>
  <c r="MR76" i="2"/>
  <c r="MR101" i="2"/>
  <c r="MR70" i="2"/>
  <c r="MR77" i="2"/>
  <c r="MR102" i="2"/>
  <c r="MR71" i="2"/>
  <c r="MR78" i="2"/>
  <c r="MR103" i="2"/>
  <c r="MR72" i="2"/>
  <c r="MR79" i="2"/>
  <c r="MR104" i="2"/>
  <c r="MR117" i="2"/>
  <c r="MR93" i="2"/>
  <c r="MR94" i="2"/>
  <c r="MR95" i="2"/>
  <c r="MR96" i="2"/>
  <c r="MR97" i="2"/>
  <c r="MR113" i="2"/>
  <c r="MS66" i="2"/>
  <c r="MS67" i="2"/>
  <c r="MS68" i="2"/>
  <c r="MS75" i="2"/>
  <c r="MS100" i="2"/>
  <c r="MS69" i="2"/>
  <c r="MS76" i="2"/>
  <c r="MS101" i="2"/>
  <c r="MS70" i="2"/>
  <c r="MS77" i="2"/>
  <c r="MS102" i="2"/>
  <c r="MS71" i="2"/>
  <c r="MS78" i="2"/>
  <c r="MS103" i="2"/>
  <c r="MS72" i="2"/>
  <c r="MS79" i="2"/>
  <c r="MS104" i="2"/>
  <c r="MS117" i="2"/>
  <c r="MS93" i="2"/>
  <c r="MS94" i="2"/>
  <c r="MS95" i="2"/>
  <c r="MS96" i="2"/>
  <c r="MS97" i="2"/>
  <c r="MS113" i="2"/>
  <c r="MT66" i="2"/>
  <c r="MT67" i="2"/>
  <c r="MT68" i="2"/>
  <c r="MT75" i="2"/>
  <c r="MT100" i="2"/>
  <c r="MT69" i="2"/>
  <c r="MT76" i="2"/>
  <c r="MT101" i="2"/>
  <c r="MT70" i="2"/>
  <c r="MT77" i="2"/>
  <c r="MT102" i="2"/>
  <c r="MT71" i="2"/>
  <c r="MT78" i="2"/>
  <c r="MT103" i="2"/>
  <c r="MT72" i="2"/>
  <c r="MT79" i="2"/>
  <c r="MT104" i="2"/>
  <c r="MT117" i="2"/>
  <c r="MT93" i="2"/>
  <c r="MT94" i="2"/>
  <c r="MT95" i="2"/>
  <c r="MT96" i="2"/>
  <c r="MT97" i="2"/>
  <c r="MT113" i="2"/>
  <c r="MU66" i="2"/>
  <c r="MU67" i="2"/>
  <c r="MU68" i="2"/>
  <c r="MU75" i="2"/>
  <c r="MU100" i="2"/>
  <c r="MU69" i="2"/>
  <c r="MU76" i="2"/>
  <c r="MU101" i="2"/>
  <c r="MU70" i="2"/>
  <c r="MU77" i="2"/>
  <c r="MU102" i="2"/>
  <c r="MU71" i="2"/>
  <c r="MU78" i="2"/>
  <c r="MU103" i="2"/>
  <c r="MU72" i="2"/>
  <c r="MU79" i="2"/>
  <c r="MU104" i="2"/>
  <c r="MU117" i="2"/>
  <c r="MU93" i="2"/>
  <c r="MU94" i="2"/>
  <c r="MU95" i="2"/>
  <c r="MU96" i="2"/>
  <c r="MU97" i="2"/>
  <c r="MU113" i="2"/>
  <c r="MV66" i="2"/>
  <c r="MV67" i="2"/>
  <c r="MV68" i="2"/>
  <c r="MV75" i="2"/>
  <c r="MV100" i="2"/>
  <c r="MV69" i="2"/>
  <c r="MV76" i="2"/>
  <c r="MV101" i="2"/>
  <c r="MV70" i="2"/>
  <c r="MV77" i="2"/>
  <c r="MV102" i="2"/>
  <c r="MV71" i="2"/>
  <c r="MV78" i="2"/>
  <c r="MV103" i="2"/>
  <c r="MV72" i="2"/>
  <c r="MV79" i="2"/>
  <c r="MV104" i="2"/>
  <c r="MV117" i="2"/>
  <c r="MV93" i="2"/>
  <c r="MV94" i="2"/>
  <c r="MV95" i="2"/>
  <c r="MV96" i="2"/>
  <c r="MV97" i="2"/>
  <c r="MV113" i="2"/>
  <c r="MW66" i="2"/>
  <c r="MW67" i="2"/>
  <c r="MW68" i="2"/>
  <c r="MW75" i="2"/>
  <c r="MW100" i="2"/>
  <c r="MW69" i="2"/>
  <c r="MW76" i="2"/>
  <c r="MW101" i="2"/>
  <c r="MW70" i="2"/>
  <c r="MW77" i="2"/>
  <c r="MW102" i="2"/>
  <c r="MW71" i="2"/>
  <c r="MW78" i="2"/>
  <c r="MW103" i="2"/>
  <c r="MW72" i="2"/>
  <c r="MW79" i="2"/>
  <c r="MW104" i="2"/>
  <c r="MW117" i="2"/>
  <c r="MW93" i="2"/>
  <c r="MW94" i="2"/>
  <c r="MW95" i="2"/>
  <c r="MW96" i="2"/>
  <c r="MW97" i="2"/>
  <c r="MW113" i="2"/>
  <c r="MX66" i="2"/>
  <c r="MX67" i="2"/>
  <c r="MX68" i="2"/>
  <c r="MX75" i="2"/>
  <c r="MX100" i="2"/>
  <c r="MX69" i="2"/>
  <c r="MX76" i="2"/>
  <c r="MX101" i="2"/>
  <c r="MX70" i="2"/>
  <c r="MX77" i="2"/>
  <c r="MX102" i="2"/>
  <c r="MX71" i="2"/>
  <c r="MX78" i="2"/>
  <c r="MX103" i="2"/>
  <c r="MX72" i="2"/>
  <c r="MX79" i="2"/>
  <c r="MX104" i="2"/>
  <c r="MX117" i="2"/>
  <c r="MX93" i="2"/>
  <c r="MX94" i="2"/>
  <c r="MX95" i="2"/>
  <c r="MX96" i="2"/>
  <c r="MX97" i="2"/>
  <c r="MX113" i="2"/>
  <c r="MY66" i="2"/>
  <c r="MY67" i="2"/>
  <c r="MY68" i="2"/>
  <c r="MY75" i="2"/>
  <c r="MY100" i="2"/>
  <c r="MY69" i="2"/>
  <c r="MY76" i="2"/>
  <c r="MY101" i="2"/>
  <c r="MY70" i="2"/>
  <c r="MY77" i="2"/>
  <c r="MY102" i="2"/>
  <c r="MY71" i="2"/>
  <c r="MY78" i="2"/>
  <c r="MY103" i="2"/>
  <c r="MY72" i="2"/>
  <c r="MY79" i="2"/>
  <c r="MY104" i="2"/>
  <c r="MY117" i="2"/>
  <c r="MY93" i="2"/>
  <c r="MY94" i="2"/>
  <c r="MY95" i="2"/>
  <c r="MY96" i="2"/>
  <c r="MY97" i="2"/>
  <c r="MY113" i="2"/>
  <c r="MZ66" i="2"/>
  <c r="MZ67" i="2"/>
  <c r="MZ68" i="2"/>
  <c r="MZ75" i="2"/>
  <c r="MZ100" i="2"/>
  <c r="MZ69" i="2"/>
  <c r="MZ76" i="2"/>
  <c r="MZ101" i="2"/>
  <c r="MZ70" i="2"/>
  <c r="MZ77" i="2"/>
  <c r="MZ102" i="2"/>
  <c r="MZ71" i="2"/>
  <c r="MZ78" i="2"/>
  <c r="MZ103" i="2"/>
  <c r="MZ72" i="2"/>
  <c r="MZ79" i="2"/>
  <c r="MZ104" i="2"/>
  <c r="MZ117" i="2"/>
  <c r="MZ93" i="2"/>
  <c r="MZ94" i="2"/>
  <c r="MZ95" i="2"/>
  <c r="MZ96" i="2"/>
  <c r="MZ97" i="2"/>
  <c r="MZ113" i="2"/>
  <c r="NA66" i="2"/>
  <c r="NA67" i="2"/>
  <c r="NA68" i="2"/>
  <c r="NA75" i="2"/>
  <c r="NA100" i="2"/>
  <c r="NA69" i="2"/>
  <c r="NA76" i="2"/>
  <c r="NA101" i="2"/>
  <c r="NA70" i="2"/>
  <c r="NA77" i="2"/>
  <c r="NA102" i="2"/>
  <c r="NA71" i="2"/>
  <c r="NA78" i="2"/>
  <c r="NA103" i="2"/>
  <c r="NA72" i="2"/>
  <c r="NA79" i="2"/>
  <c r="NA104" i="2"/>
  <c r="NA117" i="2"/>
  <c r="NA93" i="2"/>
  <c r="NA94" i="2"/>
  <c r="NA95" i="2"/>
  <c r="NA96" i="2"/>
  <c r="NA97" i="2"/>
  <c r="NA113" i="2"/>
  <c r="NB66" i="2"/>
  <c r="NB67" i="2"/>
  <c r="NB68" i="2"/>
  <c r="NB75" i="2"/>
  <c r="NB100" i="2"/>
  <c r="NB69" i="2"/>
  <c r="NB76" i="2"/>
  <c r="NB101" i="2"/>
  <c r="NB70" i="2"/>
  <c r="NB77" i="2"/>
  <c r="NB102" i="2"/>
  <c r="NB71" i="2"/>
  <c r="NB78" i="2"/>
  <c r="NB103" i="2"/>
  <c r="NB72" i="2"/>
  <c r="NB79" i="2"/>
  <c r="NB104" i="2"/>
  <c r="NB117" i="2"/>
  <c r="NB93" i="2"/>
  <c r="NB94" i="2"/>
  <c r="NB95" i="2"/>
  <c r="NB96" i="2"/>
  <c r="NB97" i="2"/>
  <c r="NB113" i="2"/>
  <c r="NC66" i="2"/>
  <c r="NC67" i="2"/>
  <c r="NC68" i="2"/>
  <c r="NC75" i="2"/>
  <c r="NC100" i="2"/>
  <c r="NC69" i="2"/>
  <c r="NC76" i="2"/>
  <c r="NC101" i="2"/>
  <c r="NC70" i="2"/>
  <c r="NC77" i="2"/>
  <c r="NC102" i="2"/>
  <c r="NC71" i="2"/>
  <c r="NC78" i="2"/>
  <c r="NC103" i="2"/>
  <c r="NC72" i="2"/>
  <c r="NC79" i="2"/>
  <c r="NC104" i="2"/>
  <c r="NC117" i="2"/>
  <c r="NC93" i="2"/>
  <c r="NC94" i="2"/>
  <c r="NC95" i="2"/>
  <c r="NC96" i="2"/>
  <c r="NC97" i="2"/>
  <c r="NC113" i="2"/>
  <c r="ND66" i="2"/>
  <c r="ND67" i="2"/>
  <c r="ND68" i="2"/>
  <c r="ND75" i="2"/>
  <c r="ND100" i="2"/>
  <c r="ND69" i="2"/>
  <c r="ND76" i="2"/>
  <c r="ND101" i="2"/>
  <c r="ND70" i="2"/>
  <c r="ND77" i="2"/>
  <c r="ND102" i="2"/>
  <c r="ND71" i="2"/>
  <c r="ND78" i="2"/>
  <c r="ND103" i="2"/>
  <c r="ND72" i="2"/>
  <c r="ND79" i="2"/>
  <c r="ND104" i="2"/>
  <c r="ND117" i="2"/>
  <c r="ND93" i="2"/>
  <c r="ND94" i="2"/>
  <c r="ND95" i="2"/>
  <c r="ND96" i="2"/>
  <c r="ND97" i="2"/>
  <c r="ND113" i="2"/>
  <c r="NE66" i="2"/>
  <c r="NE67" i="2"/>
  <c r="NE68" i="2"/>
  <c r="NE75" i="2"/>
  <c r="NE100" i="2"/>
  <c r="NE69" i="2"/>
  <c r="NE76" i="2"/>
  <c r="NE101" i="2"/>
  <c r="NE70" i="2"/>
  <c r="NE77" i="2"/>
  <c r="NE102" i="2"/>
  <c r="NE71" i="2"/>
  <c r="NE78" i="2"/>
  <c r="NE103" i="2"/>
  <c r="NE72" i="2"/>
  <c r="NE79" i="2"/>
  <c r="NE104" i="2"/>
  <c r="NE117" i="2"/>
  <c r="NE93" i="2"/>
  <c r="NE94" i="2"/>
  <c r="NE95" i="2"/>
  <c r="NE96" i="2"/>
  <c r="NE97" i="2"/>
  <c r="NE113" i="2"/>
  <c r="NF66" i="2"/>
  <c r="NF67" i="2"/>
  <c r="NF68" i="2"/>
  <c r="NF75" i="2"/>
  <c r="NF100" i="2"/>
  <c r="NF69" i="2"/>
  <c r="NF76" i="2"/>
  <c r="NF101" i="2"/>
  <c r="NF70" i="2"/>
  <c r="NF77" i="2"/>
  <c r="NF102" i="2"/>
  <c r="NF71" i="2"/>
  <c r="NF78" i="2"/>
  <c r="NF103" i="2"/>
  <c r="NF72" i="2"/>
  <c r="NF79" i="2"/>
  <c r="NF104" i="2"/>
  <c r="NF117" i="2"/>
  <c r="NF93" i="2"/>
  <c r="NF94" i="2"/>
  <c r="NF95" i="2"/>
  <c r="NF96" i="2"/>
  <c r="NF97" i="2"/>
  <c r="NF113" i="2"/>
  <c r="NG66" i="2"/>
  <c r="NG67" i="2"/>
  <c r="NG68" i="2"/>
  <c r="NG75" i="2"/>
  <c r="NG100" i="2"/>
  <c r="NG69" i="2"/>
  <c r="NG76" i="2"/>
  <c r="NG101" i="2"/>
  <c r="NG70" i="2"/>
  <c r="NG77" i="2"/>
  <c r="NG102" i="2"/>
  <c r="NG71" i="2"/>
  <c r="NG78" i="2"/>
  <c r="NG103" i="2"/>
  <c r="NG72" i="2"/>
  <c r="NG79" i="2"/>
  <c r="NG104" i="2"/>
  <c r="NG117" i="2"/>
  <c r="NG93" i="2"/>
  <c r="NG94" i="2"/>
  <c r="NG95" i="2"/>
  <c r="NG96" i="2"/>
  <c r="NG97" i="2"/>
  <c r="NG113" i="2"/>
  <c r="NH66" i="2"/>
  <c r="NH67" i="2"/>
  <c r="NH68" i="2"/>
  <c r="NH75" i="2"/>
  <c r="NH100" i="2"/>
  <c r="NH69" i="2"/>
  <c r="NH76" i="2"/>
  <c r="NH101" i="2"/>
  <c r="NH70" i="2"/>
  <c r="NH77" i="2"/>
  <c r="NH102" i="2"/>
  <c r="NH71" i="2"/>
  <c r="NH78" i="2"/>
  <c r="NH103" i="2"/>
  <c r="NH72" i="2"/>
  <c r="NH79" i="2"/>
  <c r="NH104" i="2"/>
  <c r="NH117" i="2"/>
  <c r="NH93" i="2"/>
  <c r="NH94" i="2"/>
  <c r="NH95" i="2"/>
  <c r="NH96" i="2"/>
  <c r="NH97" i="2"/>
  <c r="NH113" i="2"/>
  <c r="NI66" i="2"/>
  <c r="NI67" i="2"/>
  <c r="NI68" i="2"/>
  <c r="NI75" i="2"/>
  <c r="NI100" i="2"/>
  <c r="NI69" i="2"/>
  <c r="NI76" i="2"/>
  <c r="NI101" i="2"/>
  <c r="NI70" i="2"/>
  <c r="NI77" i="2"/>
  <c r="NI102" i="2"/>
  <c r="NI71" i="2"/>
  <c r="NI78" i="2"/>
  <c r="NI103" i="2"/>
  <c r="NI72" i="2"/>
  <c r="NI79" i="2"/>
  <c r="NI104" i="2"/>
  <c r="NI117" i="2"/>
  <c r="NI93" i="2"/>
  <c r="NI94" i="2"/>
  <c r="NI95" i="2"/>
  <c r="NI96" i="2"/>
  <c r="NI97" i="2"/>
  <c r="NI113" i="2"/>
  <c r="NJ66" i="2"/>
  <c r="NJ67" i="2"/>
  <c r="NJ68" i="2"/>
  <c r="NJ75" i="2"/>
  <c r="NJ100" i="2"/>
  <c r="NJ69" i="2"/>
  <c r="NJ76" i="2"/>
  <c r="NJ101" i="2"/>
  <c r="NJ70" i="2"/>
  <c r="NJ77" i="2"/>
  <c r="NJ102" i="2"/>
  <c r="NJ71" i="2"/>
  <c r="NJ78" i="2"/>
  <c r="NJ103" i="2"/>
  <c r="NJ72" i="2"/>
  <c r="NJ79" i="2"/>
  <c r="NJ104" i="2"/>
  <c r="NJ117" i="2"/>
  <c r="NJ93" i="2"/>
  <c r="NJ94" i="2"/>
  <c r="NJ95" i="2"/>
  <c r="NJ96" i="2"/>
  <c r="NJ97" i="2"/>
  <c r="NJ113" i="2"/>
  <c r="NK66" i="2"/>
  <c r="NK67" i="2"/>
  <c r="NK68" i="2"/>
  <c r="NK75" i="2"/>
  <c r="NK100" i="2"/>
  <c r="NK69" i="2"/>
  <c r="NK76" i="2"/>
  <c r="NK101" i="2"/>
  <c r="NK70" i="2"/>
  <c r="NK77" i="2"/>
  <c r="NK102" i="2"/>
  <c r="NK71" i="2"/>
  <c r="NK78" i="2"/>
  <c r="NK103" i="2"/>
  <c r="NK72" i="2"/>
  <c r="NK79" i="2"/>
  <c r="NK104" i="2"/>
  <c r="NK117" i="2"/>
  <c r="NK93" i="2"/>
  <c r="NK94" i="2"/>
  <c r="NK95" i="2"/>
  <c r="NK96" i="2"/>
  <c r="NK97" i="2"/>
  <c r="NK113" i="2"/>
  <c r="NL66" i="2"/>
  <c r="NL67" i="2"/>
  <c r="NL68" i="2"/>
  <c r="NL75" i="2"/>
  <c r="NL100" i="2"/>
  <c r="NL69" i="2"/>
  <c r="NL76" i="2"/>
  <c r="NL101" i="2"/>
  <c r="NL70" i="2"/>
  <c r="NL77" i="2"/>
  <c r="NL102" i="2"/>
  <c r="NL71" i="2"/>
  <c r="NL78" i="2"/>
  <c r="NL103" i="2"/>
  <c r="NL72" i="2"/>
  <c r="NL79" i="2"/>
  <c r="NL104" i="2"/>
  <c r="NL117" i="2"/>
  <c r="NL93" i="2"/>
  <c r="NL94" i="2"/>
  <c r="NL95" i="2"/>
  <c r="NL96" i="2"/>
  <c r="NL97" i="2"/>
  <c r="NL113" i="2"/>
  <c r="NM66" i="2"/>
  <c r="NM67" i="2"/>
  <c r="NM68" i="2"/>
  <c r="NM75" i="2"/>
  <c r="NM100" i="2"/>
  <c r="NM69" i="2"/>
  <c r="NM76" i="2"/>
  <c r="NM101" i="2"/>
  <c r="NM70" i="2"/>
  <c r="NM77" i="2"/>
  <c r="NM102" i="2"/>
  <c r="NM71" i="2"/>
  <c r="NM78" i="2"/>
  <c r="NM103" i="2"/>
  <c r="NM72" i="2"/>
  <c r="NM79" i="2"/>
  <c r="NM104" i="2"/>
  <c r="NM117" i="2"/>
  <c r="NM93" i="2"/>
  <c r="NM94" i="2"/>
  <c r="NM95" i="2"/>
  <c r="NM96" i="2"/>
  <c r="NM97" i="2"/>
  <c r="NM113" i="2"/>
  <c r="NN66" i="2"/>
  <c r="NN67" i="2"/>
  <c r="NN68" i="2"/>
  <c r="NN75" i="2"/>
  <c r="NN100" i="2"/>
  <c r="NN69" i="2"/>
  <c r="NN76" i="2"/>
  <c r="NN101" i="2"/>
  <c r="NN70" i="2"/>
  <c r="NN77" i="2"/>
  <c r="NN102" i="2"/>
  <c r="NN71" i="2"/>
  <c r="NN78" i="2"/>
  <c r="NN103" i="2"/>
  <c r="NN72" i="2"/>
  <c r="NN79" i="2"/>
  <c r="NN104" i="2"/>
  <c r="NN117" i="2"/>
  <c r="NN93" i="2"/>
  <c r="NN94" i="2"/>
  <c r="NN95" i="2"/>
  <c r="NN96" i="2"/>
  <c r="NN97" i="2"/>
  <c r="NN113" i="2"/>
  <c r="NO66" i="2"/>
  <c r="NO67" i="2"/>
  <c r="NO68" i="2"/>
  <c r="NO75" i="2"/>
  <c r="NO100" i="2"/>
  <c r="NO69" i="2"/>
  <c r="NO76" i="2"/>
  <c r="NO101" i="2"/>
  <c r="NO70" i="2"/>
  <c r="NO77" i="2"/>
  <c r="NO102" i="2"/>
  <c r="NO71" i="2"/>
  <c r="NO78" i="2"/>
  <c r="NO103" i="2"/>
  <c r="NO72" i="2"/>
  <c r="NO79" i="2"/>
  <c r="NO104" i="2"/>
  <c r="NO117" i="2"/>
  <c r="NO93" i="2"/>
  <c r="NO94" i="2"/>
  <c r="NO95" i="2"/>
  <c r="NO96" i="2"/>
  <c r="NO97" i="2"/>
  <c r="NO113" i="2"/>
  <c r="NP66" i="2"/>
  <c r="NP67" i="2"/>
  <c r="NP68" i="2"/>
  <c r="NP75" i="2"/>
  <c r="NP100" i="2"/>
  <c r="NP69" i="2"/>
  <c r="NP76" i="2"/>
  <c r="NP101" i="2"/>
  <c r="NP70" i="2"/>
  <c r="NP77" i="2"/>
  <c r="NP102" i="2"/>
  <c r="NP71" i="2"/>
  <c r="NP78" i="2"/>
  <c r="NP103" i="2"/>
  <c r="NP72" i="2"/>
  <c r="NP79" i="2"/>
  <c r="NP104" i="2"/>
  <c r="NP117" i="2"/>
  <c r="NP93" i="2"/>
  <c r="NP94" i="2"/>
  <c r="NP95" i="2"/>
  <c r="NP96" i="2"/>
  <c r="NP97" i="2"/>
  <c r="NP113" i="2"/>
  <c r="NQ66" i="2"/>
  <c r="NQ67" i="2"/>
  <c r="NQ68" i="2"/>
  <c r="NQ75" i="2"/>
  <c r="NQ100" i="2"/>
  <c r="NQ69" i="2"/>
  <c r="NQ76" i="2"/>
  <c r="NQ101" i="2"/>
  <c r="NQ70" i="2"/>
  <c r="NQ77" i="2"/>
  <c r="NQ102" i="2"/>
  <c r="NQ71" i="2"/>
  <c r="NQ78" i="2"/>
  <c r="NQ103" i="2"/>
  <c r="NQ72" i="2"/>
  <c r="NQ79" i="2"/>
  <c r="NQ104" i="2"/>
  <c r="NQ117" i="2"/>
  <c r="NQ93" i="2"/>
  <c r="NQ94" i="2"/>
  <c r="NQ95" i="2"/>
  <c r="NQ96" i="2"/>
  <c r="NQ97" i="2"/>
  <c r="NQ113" i="2"/>
  <c r="NR66" i="2"/>
  <c r="NR67" i="2"/>
  <c r="NR68" i="2"/>
  <c r="NR75" i="2"/>
  <c r="NR100" i="2"/>
  <c r="NR69" i="2"/>
  <c r="NR76" i="2"/>
  <c r="NR101" i="2"/>
  <c r="NR70" i="2"/>
  <c r="NR77" i="2"/>
  <c r="NR102" i="2"/>
  <c r="NR71" i="2"/>
  <c r="NR78" i="2"/>
  <c r="NR103" i="2"/>
  <c r="NR72" i="2"/>
  <c r="NR79" i="2"/>
  <c r="NR104" i="2"/>
  <c r="NR117" i="2"/>
  <c r="NR93" i="2"/>
  <c r="NR94" i="2"/>
  <c r="NR95" i="2"/>
  <c r="NR96" i="2"/>
  <c r="NR97" i="2"/>
  <c r="NR113" i="2"/>
  <c r="NS66" i="2"/>
  <c r="NS67" i="2"/>
  <c r="NS68" i="2"/>
  <c r="NS75" i="2"/>
  <c r="NS100" i="2"/>
  <c r="NS69" i="2"/>
  <c r="NS76" i="2"/>
  <c r="NS101" i="2"/>
  <c r="NS70" i="2"/>
  <c r="NS77" i="2"/>
  <c r="NS102" i="2"/>
  <c r="NS71" i="2"/>
  <c r="NS78" i="2"/>
  <c r="NS103" i="2"/>
  <c r="NS72" i="2"/>
  <c r="NS79" i="2"/>
  <c r="NS104" i="2"/>
  <c r="NS117" i="2"/>
  <c r="NS93" i="2"/>
  <c r="NS94" i="2"/>
  <c r="NS95" i="2"/>
  <c r="NS96" i="2"/>
  <c r="NS97" i="2"/>
  <c r="NS113" i="2"/>
  <c r="NT66" i="2"/>
  <c r="NT67" i="2"/>
  <c r="NT68" i="2"/>
  <c r="NT75" i="2"/>
  <c r="NT100" i="2"/>
  <c r="NT69" i="2"/>
  <c r="NT76" i="2"/>
  <c r="NT101" i="2"/>
  <c r="NT70" i="2"/>
  <c r="NT77" i="2"/>
  <c r="NT102" i="2"/>
  <c r="NT71" i="2"/>
  <c r="NT78" i="2"/>
  <c r="NT103" i="2"/>
  <c r="NT72" i="2"/>
  <c r="NT79" i="2"/>
  <c r="NT104" i="2"/>
  <c r="NT117" i="2"/>
  <c r="NT93" i="2"/>
  <c r="NT94" i="2"/>
  <c r="NT95" i="2"/>
  <c r="NT96" i="2"/>
  <c r="NT97" i="2"/>
  <c r="NT113" i="2"/>
  <c r="NU66" i="2"/>
  <c r="NU67" i="2"/>
  <c r="NU68" i="2"/>
  <c r="NU75" i="2"/>
  <c r="NU100" i="2"/>
  <c r="NU69" i="2"/>
  <c r="NU76" i="2"/>
  <c r="NU101" i="2"/>
  <c r="NU70" i="2"/>
  <c r="NU77" i="2"/>
  <c r="NU102" i="2"/>
  <c r="NU71" i="2"/>
  <c r="NU78" i="2"/>
  <c r="NU103" i="2"/>
  <c r="NU72" i="2"/>
  <c r="NU79" i="2"/>
  <c r="NU104" i="2"/>
  <c r="NU117" i="2"/>
  <c r="NU93" i="2"/>
  <c r="NU94" i="2"/>
  <c r="NU95" i="2"/>
  <c r="NU96" i="2"/>
  <c r="NU97" i="2"/>
  <c r="NU113" i="2"/>
  <c r="NV66" i="2"/>
  <c r="NV67" i="2"/>
  <c r="NV68" i="2"/>
  <c r="NV75" i="2"/>
  <c r="NV100" i="2"/>
  <c r="NV69" i="2"/>
  <c r="NV76" i="2"/>
  <c r="NV101" i="2"/>
  <c r="NV70" i="2"/>
  <c r="NV77" i="2"/>
  <c r="NV102" i="2"/>
  <c r="NV71" i="2"/>
  <c r="NV78" i="2"/>
  <c r="NV103" i="2"/>
  <c r="NV72" i="2"/>
  <c r="NV79" i="2"/>
  <c r="NV104" i="2"/>
  <c r="NV117" i="2"/>
  <c r="NV93" i="2"/>
  <c r="NV94" i="2"/>
  <c r="NV95" i="2"/>
  <c r="NV96" i="2"/>
  <c r="NV97" i="2"/>
  <c r="NV113" i="2"/>
  <c r="NW66" i="2"/>
  <c r="NW67" i="2"/>
  <c r="NW68" i="2"/>
  <c r="NW75" i="2"/>
  <c r="NW100" i="2"/>
  <c r="NW69" i="2"/>
  <c r="NW76" i="2"/>
  <c r="NW101" i="2"/>
  <c r="NW70" i="2"/>
  <c r="NW77" i="2"/>
  <c r="NW102" i="2"/>
  <c r="NW71" i="2"/>
  <c r="NW78" i="2"/>
  <c r="NW103" i="2"/>
  <c r="NW72" i="2"/>
  <c r="NW79" i="2"/>
  <c r="NW104" i="2"/>
  <c r="NW117" i="2"/>
  <c r="NW93" i="2"/>
  <c r="NW94" i="2"/>
  <c r="NW95" i="2"/>
  <c r="NW96" i="2"/>
  <c r="NW97" i="2"/>
  <c r="NW113" i="2"/>
  <c r="NX66" i="2"/>
  <c r="NX67" i="2"/>
  <c r="NX68" i="2"/>
  <c r="NX75" i="2"/>
  <c r="NX100" i="2"/>
  <c r="NX69" i="2"/>
  <c r="NX76" i="2"/>
  <c r="NX101" i="2"/>
  <c r="NX70" i="2"/>
  <c r="NX77" i="2"/>
  <c r="NX102" i="2"/>
  <c r="NX71" i="2"/>
  <c r="NX78" i="2"/>
  <c r="NX103" i="2"/>
  <c r="NX72" i="2"/>
  <c r="NX79" i="2"/>
  <c r="NX104" i="2"/>
  <c r="NX117" i="2"/>
  <c r="NX93" i="2"/>
  <c r="NX94" i="2"/>
  <c r="NX95" i="2"/>
  <c r="NX96" i="2"/>
  <c r="NX97" i="2"/>
  <c r="NX113" i="2"/>
  <c r="NY66" i="2"/>
  <c r="NY67" i="2"/>
  <c r="NY68" i="2"/>
  <c r="NY75" i="2"/>
  <c r="NY100" i="2"/>
  <c r="NY69" i="2"/>
  <c r="NY76" i="2"/>
  <c r="NY101" i="2"/>
  <c r="NY70" i="2"/>
  <c r="NY77" i="2"/>
  <c r="NY102" i="2"/>
  <c r="NY71" i="2"/>
  <c r="NY78" i="2"/>
  <c r="NY103" i="2"/>
  <c r="NY72" i="2"/>
  <c r="NY79" i="2"/>
  <c r="NY104" i="2"/>
  <c r="NY117" i="2"/>
  <c r="NY93" i="2"/>
  <c r="NY94" i="2"/>
  <c r="NY95" i="2"/>
  <c r="NY96" i="2"/>
  <c r="NY97" i="2"/>
  <c r="NY113" i="2"/>
  <c r="NZ66" i="2"/>
  <c r="NZ67" i="2"/>
  <c r="NZ68" i="2"/>
  <c r="NZ75" i="2"/>
  <c r="NZ100" i="2"/>
  <c r="NZ69" i="2"/>
  <c r="NZ76" i="2"/>
  <c r="NZ101" i="2"/>
  <c r="NZ70" i="2"/>
  <c r="NZ77" i="2"/>
  <c r="NZ102" i="2"/>
  <c r="NZ71" i="2"/>
  <c r="NZ78" i="2"/>
  <c r="NZ103" i="2"/>
  <c r="NZ72" i="2"/>
  <c r="NZ79" i="2"/>
  <c r="NZ104" i="2"/>
  <c r="NZ117" i="2"/>
  <c r="NZ93" i="2"/>
  <c r="NZ94" i="2"/>
  <c r="NZ95" i="2"/>
  <c r="NZ96" i="2"/>
  <c r="NZ97" i="2"/>
  <c r="NZ113" i="2"/>
  <c r="OA66" i="2"/>
  <c r="OA67" i="2"/>
  <c r="OA68" i="2"/>
  <c r="OA75" i="2"/>
  <c r="OA100" i="2"/>
  <c r="OA69" i="2"/>
  <c r="OA76" i="2"/>
  <c r="OA101" i="2"/>
  <c r="OA70" i="2"/>
  <c r="OA77" i="2"/>
  <c r="OA102" i="2"/>
  <c r="OA71" i="2"/>
  <c r="OA78" i="2"/>
  <c r="OA103" i="2"/>
  <c r="OA72" i="2"/>
  <c r="OA79" i="2"/>
  <c r="OA104" i="2"/>
  <c r="OA117" i="2"/>
  <c r="OA93" i="2"/>
  <c r="OA94" i="2"/>
  <c r="OA95" i="2"/>
  <c r="OA96" i="2"/>
  <c r="OA97" i="2"/>
  <c r="OA113" i="2"/>
  <c r="OB66" i="2"/>
  <c r="OB67" i="2"/>
  <c r="OB68" i="2"/>
  <c r="OB75" i="2"/>
  <c r="OB100" i="2"/>
  <c r="OB69" i="2"/>
  <c r="OB76" i="2"/>
  <c r="OB101" i="2"/>
  <c r="OB70" i="2"/>
  <c r="OB77" i="2"/>
  <c r="OB102" i="2"/>
  <c r="OB71" i="2"/>
  <c r="OB78" i="2"/>
  <c r="OB103" i="2"/>
  <c r="OB72" i="2"/>
  <c r="OB79" i="2"/>
  <c r="OB104" i="2"/>
  <c r="OB117" i="2"/>
  <c r="OB93" i="2"/>
  <c r="OB94" i="2"/>
  <c r="OB95" i="2"/>
  <c r="OB96" i="2"/>
  <c r="OB97" i="2"/>
  <c r="OB113" i="2"/>
  <c r="OC66" i="2"/>
  <c r="OC67" i="2"/>
  <c r="OC68" i="2"/>
  <c r="OC75" i="2"/>
  <c r="OC100" i="2"/>
  <c r="OC69" i="2"/>
  <c r="OC76" i="2"/>
  <c r="OC101" i="2"/>
  <c r="OC70" i="2"/>
  <c r="OC77" i="2"/>
  <c r="OC102" i="2"/>
  <c r="OC71" i="2"/>
  <c r="OC78" i="2"/>
  <c r="OC103" i="2"/>
  <c r="OC72" i="2"/>
  <c r="OC79" i="2"/>
  <c r="OC104" i="2"/>
  <c r="OC117" i="2"/>
  <c r="OC93" i="2"/>
  <c r="OC94" i="2"/>
  <c r="OC95" i="2"/>
  <c r="OC96" i="2"/>
  <c r="OC97" i="2"/>
  <c r="OC113" i="2"/>
  <c r="OD66" i="2"/>
  <c r="OD67" i="2"/>
  <c r="OD68" i="2"/>
  <c r="OD75" i="2"/>
  <c r="OD100" i="2"/>
  <c r="OD69" i="2"/>
  <c r="OD76" i="2"/>
  <c r="OD101" i="2"/>
  <c r="OD70" i="2"/>
  <c r="OD77" i="2"/>
  <c r="OD102" i="2"/>
  <c r="OD71" i="2"/>
  <c r="OD78" i="2"/>
  <c r="OD103" i="2"/>
  <c r="OD72" i="2"/>
  <c r="OD79" i="2"/>
  <c r="OD104" i="2"/>
  <c r="OD117" i="2"/>
  <c r="OD93" i="2"/>
  <c r="OD94" i="2"/>
  <c r="OD95" i="2"/>
  <c r="OD96" i="2"/>
  <c r="OD97" i="2"/>
  <c r="OD113" i="2"/>
  <c r="OE66" i="2"/>
  <c r="OE67" i="2"/>
  <c r="OE68" i="2"/>
  <c r="OE75" i="2"/>
  <c r="OE100" i="2"/>
  <c r="OE69" i="2"/>
  <c r="OE76" i="2"/>
  <c r="OE101" i="2"/>
  <c r="OE70" i="2"/>
  <c r="OE77" i="2"/>
  <c r="OE102" i="2"/>
  <c r="OE71" i="2"/>
  <c r="OE78" i="2"/>
  <c r="OE103" i="2"/>
  <c r="OE72" i="2"/>
  <c r="OE79" i="2"/>
  <c r="OE104" i="2"/>
  <c r="OE117" i="2"/>
  <c r="OE93" i="2"/>
  <c r="OE94" i="2"/>
  <c r="OE95" i="2"/>
  <c r="OE96" i="2"/>
  <c r="OE97" i="2"/>
  <c r="OE113" i="2"/>
  <c r="OF66" i="2"/>
  <c r="OF67" i="2"/>
  <c r="OF68" i="2"/>
  <c r="OF75" i="2"/>
  <c r="OF100" i="2"/>
  <c r="OF69" i="2"/>
  <c r="OF76" i="2"/>
  <c r="OF101" i="2"/>
  <c r="OF70" i="2"/>
  <c r="OF77" i="2"/>
  <c r="OF102" i="2"/>
  <c r="OF71" i="2"/>
  <c r="OF78" i="2"/>
  <c r="OF103" i="2"/>
  <c r="OF72" i="2"/>
  <c r="OF79" i="2"/>
  <c r="OF104" i="2"/>
  <c r="OF117" i="2"/>
  <c r="OF93" i="2"/>
  <c r="OF94" i="2"/>
  <c r="OF95" i="2"/>
  <c r="OF96" i="2"/>
  <c r="OF97" i="2"/>
  <c r="OF113" i="2"/>
  <c r="OG66" i="2"/>
  <c r="OG67" i="2"/>
  <c r="OG68" i="2"/>
  <c r="OG75" i="2"/>
  <c r="OG100" i="2"/>
  <c r="OG69" i="2"/>
  <c r="OG76" i="2"/>
  <c r="OG101" i="2"/>
  <c r="OG70" i="2"/>
  <c r="OG77" i="2"/>
  <c r="OG102" i="2"/>
  <c r="OG71" i="2"/>
  <c r="OG78" i="2"/>
  <c r="OG103" i="2"/>
  <c r="OG72" i="2"/>
  <c r="OG79" i="2"/>
  <c r="OG104" i="2"/>
  <c r="OG117" i="2"/>
  <c r="OG93" i="2"/>
  <c r="OG94" i="2"/>
  <c r="OG95" i="2"/>
  <c r="OG96" i="2"/>
  <c r="OG97" i="2"/>
  <c r="OG113" i="2"/>
  <c r="OH66" i="2"/>
  <c r="OH67" i="2"/>
  <c r="OH68" i="2"/>
  <c r="OH75" i="2"/>
  <c r="OH100" i="2"/>
  <c r="OH69" i="2"/>
  <c r="OH76" i="2"/>
  <c r="OH101" i="2"/>
  <c r="OH70" i="2"/>
  <c r="OH77" i="2"/>
  <c r="OH102" i="2"/>
  <c r="OH71" i="2"/>
  <c r="OH78" i="2"/>
  <c r="OH103" i="2"/>
  <c r="OH72" i="2"/>
  <c r="OH79" i="2"/>
  <c r="OH104" i="2"/>
  <c r="OH117" i="2"/>
  <c r="OH93" i="2"/>
  <c r="OH94" i="2"/>
  <c r="OH95" i="2"/>
  <c r="OH96" i="2"/>
  <c r="OH97" i="2"/>
  <c r="OH113" i="2"/>
  <c r="OI66" i="2"/>
  <c r="OI67" i="2"/>
  <c r="OI68" i="2"/>
  <c r="OI75" i="2"/>
  <c r="OI100" i="2"/>
  <c r="OI69" i="2"/>
  <c r="OI76" i="2"/>
  <c r="OI101" i="2"/>
  <c r="OI70" i="2"/>
  <c r="OI77" i="2"/>
  <c r="OI102" i="2"/>
  <c r="OI71" i="2"/>
  <c r="OI78" i="2"/>
  <c r="OI103" i="2"/>
  <c r="OI72" i="2"/>
  <c r="OI79" i="2"/>
  <c r="OI104" i="2"/>
  <c r="OI117" i="2"/>
  <c r="OI93" i="2"/>
  <c r="OI94" i="2"/>
  <c r="OI95" i="2"/>
  <c r="OI96" i="2"/>
  <c r="OI97" i="2"/>
  <c r="OI113" i="2"/>
  <c r="OJ66" i="2"/>
  <c r="OJ67" i="2"/>
  <c r="OJ68" i="2"/>
  <c r="OJ75" i="2"/>
  <c r="OJ100" i="2"/>
  <c r="OJ69" i="2"/>
  <c r="OJ76" i="2"/>
  <c r="OJ101" i="2"/>
  <c r="OJ70" i="2"/>
  <c r="OJ77" i="2"/>
  <c r="OJ102" i="2"/>
  <c r="OJ71" i="2"/>
  <c r="OJ78" i="2"/>
  <c r="OJ103" i="2"/>
  <c r="OJ72" i="2"/>
  <c r="OJ79" i="2"/>
  <c r="OJ104" i="2"/>
  <c r="OJ117" i="2"/>
  <c r="OJ93" i="2"/>
  <c r="OJ94" i="2"/>
  <c r="OJ95" i="2"/>
  <c r="OJ96" i="2"/>
  <c r="OJ97" i="2"/>
  <c r="OJ113" i="2"/>
  <c r="OK66" i="2"/>
  <c r="OK67" i="2"/>
  <c r="OK68" i="2"/>
  <c r="OK75" i="2"/>
  <c r="OK100" i="2"/>
  <c r="OK69" i="2"/>
  <c r="OK76" i="2"/>
  <c r="OK101" i="2"/>
  <c r="OK70" i="2"/>
  <c r="OK77" i="2"/>
  <c r="OK102" i="2"/>
  <c r="OK71" i="2"/>
  <c r="OK78" i="2"/>
  <c r="OK103" i="2"/>
  <c r="OK72" i="2"/>
  <c r="OK79" i="2"/>
  <c r="OK104" i="2"/>
  <c r="OK117" i="2"/>
  <c r="OK93" i="2"/>
  <c r="OK94" i="2"/>
  <c r="OK95" i="2"/>
  <c r="OK96" i="2"/>
  <c r="OK97" i="2"/>
  <c r="OK113" i="2"/>
  <c r="OL66" i="2"/>
  <c r="OL67" i="2"/>
  <c r="OL68" i="2"/>
  <c r="OL75" i="2"/>
  <c r="OL100" i="2"/>
  <c r="OL69" i="2"/>
  <c r="OL76" i="2"/>
  <c r="OL101" i="2"/>
  <c r="OL70" i="2"/>
  <c r="OL77" i="2"/>
  <c r="OL102" i="2"/>
  <c r="OL71" i="2"/>
  <c r="OL78" i="2"/>
  <c r="OL103" i="2"/>
  <c r="OL72" i="2"/>
  <c r="OL79" i="2"/>
  <c r="OL104" i="2"/>
  <c r="OL117" i="2"/>
  <c r="OL93" i="2"/>
  <c r="OL94" i="2"/>
  <c r="OL95" i="2"/>
  <c r="OL96" i="2"/>
  <c r="OL97" i="2"/>
  <c r="OL113" i="2"/>
  <c r="OM66" i="2"/>
  <c r="OM67" i="2"/>
  <c r="OM68" i="2"/>
  <c r="OM75" i="2"/>
  <c r="OM100" i="2"/>
  <c r="OM69" i="2"/>
  <c r="OM76" i="2"/>
  <c r="OM101" i="2"/>
  <c r="OM70" i="2"/>
  <c r="OM77" i="2"/>
  <c r="OM102" i="2"/>
  <c r="OM71" i="2"/>
  <c r="OM78" i="2"/>
  <c r="OM103" i="2"/>
  <c r="OM72" i="2"/>
  <c r="OM79" i="2"/>
  <c r="OM104" i="2"/>
  <c r="OM117" i="2"/>
  <c r="OM93" i="2"/>
  <c r="OM94" i="2"/>
  <c r="OM95" i="2"/>
  <c r="OM96" i="2"/>
  <c r="OM97" i="2"/>
  <c r="OM113" i="2"/>
  <c r="ON66" i="2"/>
  <c r="ON67" i="2"/>
  <c r="ON68" i="2"/>
  <c r="ON75" i="2"/>
  <c r="ON100" i="2"/>
  <c r="ON69" i="2"/>
  <c r="ON76" i="2"/>
  <c r="ON101" i="2"/>
  <c r="ON70" i="2"/>
  <c r="ON77" i="2"/>
  <c r="ON102" i="2"/>
  <c r="ON71" i="2"/>
  <c r="ON78" i="2"/>
  <c r="ON103" i="2"/>
  <c r="ON72" i="2"/>
  <c r="ON79" i="2"/>
  <c r="ON104" i="2"/>
  <c r="ON117" i="2"/>
  <c r="ON93" i="2"/>
  <c r="ON94" i="2"/>
  <c r="ON95" i="2"/>
  <c r="ON96" i="2"/>
  <c r="ON97" i="2"/>
  <c r="ON113" i="2"/>
  <c r="OO66" i="2"/>
  <c r="OO67" i="2"/>
  <c r="OO68" i="2"/>
  <c r="OO75" i="2"/>
  <c r="OO100" i="2"/>
  <c r="OO69" i="2"/>
  <c r="OO76" i="2"/>
  <c r="OO101" i="2"/>
  <c r="OO70" i="2"/>
  <c r="OO77" i="2"/>
  <c r="OO102" i="2"/>
  <c r="OO71" i="2"/>
  <c r="OO78" i="2"/>
  <c r="OO103" i="2"/>
  <c r="OO72" i="2"/>
  <c r="OO79" i="2"/>
  <c r="OO104" i="2"/>
  <c r="OO117" i="2"/>
  <c r="OO93" i="2"/>
  <c r="OO94" i="2"/>
  <c r="OO95" i="2"/>
  <c r="OO96" i="2"/>
  <c r="OO97" i="2"/>
  <c r="OO113" i="2"/>
  <c r="OP66" i="2"/>
  <c r="OP67" i="2"/>
  <c r="OP68" i="2"/>
  <c r="OP75" i="2"/>
  <c r="OP100" i="2"/>
  <c r="OP69" i="2"/>
  <c r="OP76" i="2"/>
  <c r="OP101" i="2"/>
  <c r="OP70" i="2"/>
  <c r="OP77" i="2"/>
  <c r="OP102" i="2"/>
  <c r="OP71" i="2"/>
  <c r="OP78" i="2"/>
  <c r="OP103" i="2"/>
  <c r="OP72" i="2"/>
  <c r="OP79" i="2"/>
  <c r="OP104" i="2"/>
  <c r="OP117" i="2"/>
  <c r="OP93" i="2"/>
  <c r="OP94" i="2"/>
  <c r="OP95" i="2"/>
  <c r="OP96" i="2"/>
  <c r="OP97" i="2"/>
  <c r="OP113" i="2"/>
  <c r="OQ66" i="2"/>
  <c r="OQ67" i="2"/>
  <c r="OQ68" i="2"/>
  <c r="OQ75" i="2"/>
  <c r="OQ100" i="2"/>
  <c r="OQ69" i="2"/>
  <c r="OQ76" i="2"/>
  <c r="OQ101" i="2"/>
  <c r="OQ70" i="2"/>
  <c r="OQ77" i="2"/>
  <c r="OQ102" i="2"/>
  <c r="OQ71" i="2"/>
  <c r="OQ78" i="2"/>
  <c r="OQ103" i="2"/>
  <c r="OQ72" i="2"/>
  <c r="OQ79" i="2"/>
  <c r="OQ104" i="2"/>
  <c r="OQ117" i="2"/>
  <c r="OQ93" i="2"/>
  <c r="OQ94" i="2"/>
  <c r="OQ95" i="2"/>
  <c r="OQ96" i="2"/>
  <c r="OQ97" i="2"/>
  <c r="OQ113" i="2"/>
  <c r="OR66" i="2"/>
  <c r="OR67" i="2"/>
  <c r="OR68" i="2"/>
  <c r="OR75" i="2"/>
  <c r="OR100" i="2"/>
  <c r="OR69" i="2"/>
  <c r="OR76" i="2"/>
  <c r="OR101" i="2"/>
  <c r="OR70" i="2"/>
  <c r="OR77" i="2"/>
  <c r="OR102" i="2"/>
  <c r="OR71" i="2"/>
  <c r="OR78" i="2"/>
  <c r="OR103" i="2"/>
  <c r="OR72" i="2"/>
  <c r="OR79" i="2"/>
  <c r="OR104" i="2"/>
  <c r="OR117" i="2"/>
  <c r="OR93" i="2"/>
  <c r="OR94" i="2"/>
  <c r="OR95" i="2"/>
  <c r="OR96" i="2"/>
  <c r="OR97" i="2"/>
  <c r="OR113" i="2"/>
  <c r="OS66" i="2"/>
  <c r="OS67" i="2"/>
  <c r="OS68" i="2"/>
  <c r="OS75" i="2"/>
  <c r="OS100" i="2"/>
  <c r="OS69" i="2"/>
  <c r="OS76" i="2"/>
  <c r="OS101" i="2"/>
  <c r="OS70" i="2"/>
  <c r="OS77" i="2"/>
  <c r="OS102" i="2"/>
  <c r="OS71" i="2"/>
  <c r="OS78" i="2"/>
  <c r="OS103" i="2"/>
  <c r="OS72" i="2"/>
  <c r="OS79" i="2"/>
  <c r="OS104" i="2"/>
  <c r="OS117" i="2"/>
  <c r="OS93" i="2"/>
  <c r="OS94" i="2"/>
  <c r="OS95" i="2"/>
  <c r="OS96" i="2"/>
  <c r="OS97" i="2"/>
  <c r="OS113" i="2"/>
  <c r="OT66" i="2"/>
  <c r="OT67" i="2"/>
  <c r="OT68" i="2"/>
  <c r="OT75" i="2"/>
  <c r="OT100" i="2"/>
  <c r="OT69" i="2"/>
  <c r="OT76" i="2"/>
  <c r="OT101" i="2"/>
  <c r="OT70" i="2"/>
  <c r="OT77" i="2"/>
  <c r="OT102" i="2"/>
  <c r="OT71" i="2"/>
  <c r="OT78" i="2"/>
  <c r="OT103" i="2"/>
  <c r="OT72" i="2"/>
  <c r="OT79" i="2"/>
  <c r="OT104" i="2"/>
  <c r="OT117" i="2"/>
  <c r="OT93" i="2"/>
  <c r="OT94" i="2"/>
  <c r="OT95" i="2"/>
  <c r="OT96" i="2"/>
  <c r="OT97" i="2"/>
  <c r="OT113" i="2"/>
  <c r="OU66" i="2"/>
  <c r="OU67" i="2"/>
  <c r="OU68" i="2"/>
  <c r="OU75" i="2"/>
  <c r="OU100" i="2"/>
  <c r="OU69" i="2"/>
  <c r="OU76" i="2"/>
  <c r="OU101" i="2"/>
  <c r="OU70" i="2"/>
  <c r="OU77" i="2"/>
  <c r="OU102" i="2"/>
  <c r="OU71" i="2"/>
  <c r="OU78" i="2"/>
  <c r="OU103" i="2"/>
  <c r="OU72" i="2"/>
  <c r="OU79" i="2"/>
  <c r="OU104" i="2"/>
  <c r="OU117" i="2"/>
  <c r="OU93" i="2"/>
  <c r="OU94" i="2"/>
  <c r="OU95" i="2"/>
  <c r="OU96" i="2"/>
  <c r="OU97" i="2"/>
  <c r="OU113" i="2"/>
  <c r="OV66" i="2"/>
  <c r="OV67" i="2"/>
  <c r="OV68" i="2"/>
  <c r="OV75" i="2"/>
  <c r="OV100" i="2"/>
  <c r="OV69" i="2"/>
  <c r="OV76" i="2"/>
  <c r="OV101" i="2"/>
  <c r="OV70" i="2"/>
  <c r="OV77" i="2"/>
  <c r="OV102" i="2"/>
  <c r="OV71" i="2"/>
  <c r="OV78" i="2"/>
  <c r="OV103" i="2"/>
  <c r="OV72" i="2"/>
  <c r="OV79" i="2"/>
  <c r="OV104" i="2"/>
  <c r="OV117" i="2"/>
  <c r="OV93" i="2"/>
  <c r="OV94" i="2"/>
  <c r="OV95" i="2"/>
  <c r="OV96" i="2"/>
  <c r="OV97" i="2"/>
  <c r="OV113" i="2"/>
  <c r="OW66" i="2"/>
  <c r="OW67" i="2"/>
  <c r="OW68" i="2"/>
  <c r="OW75" i="2"/>
  <c r="OW100" i="2"/>
  <c r="OW69" i="2"/>
  <c r="OW76" i="2"/>
  <c r="OW101" i="2"/>
  <c r="OW70" i="2"/>
  <c r="OW77" i="2"/>
  <c r="OW102" i="2"/>
  <c r="OW71" i="2"/>
  <c r="OW78" i="2"/>
  <c r="OW103" i="2"/>
  <c r="OW72" i="2"/>
  <c r="OW79" i="2"/>
  <c r="OW104" i="2"/>
  <c r="OW117" i="2"/>
  <c r="OW93" i="2"/>
  <c r="OW94" i="2"/>
  <c r="OW95" i="2"/>
  <c r="OW96" i="2"/>
  <c r="OW97" i="2"/>
  <c r="OW113" i="2"/>
  <c r="OX66" i="2"/>
  <c r="OX67" i="2"/>
  <c r="OX68" i="2"/>
  <c r="OX75" i="2"/>
  <c r="OX100" i="2"/>
  <c r="OX69" i="2"/>
  <c r="OX76" i="2"/>
  <c r="OX101" i="2"/>
  <c r="OX70" i="2"/>
  <c r="OX77" i="2"/>
  <c r="OX102" i="2"/>
  <c r="OX71" i="2"/>
  <c r="OX78" i="2"/>
  <c r="OX103" i="2"/>
  <c r="OX72" i="2"/>
  <c r="OX79" i="2"/>
  <c r="OX104" i="2"/>
  <c r="OX117" i="2"/>
  <c r="OX93" i="2"/>
  <c r="OX94" i="2"/>
  <c r="OX95" i="2"/>
  <c r="OX96" i="2"/>
  <c r="OX97" i="2"/>
  <c r="OX113" i="2"/>
  <c r="OY66" i="2"/>
  <c r="OY67" i="2"/>
  <c r="OY68" i="2"/>
  <c r="OY75" i="2"/>
  <c r="OY100" i="2"/>
  <c r="OY69" i="2"/>
  <c r="OY76" i="2"/>
  <c r="OY101" i="2"/>
  <c r="OY70" i="2"/>
  <c r="OY77" i="2"/>
  <c r="OY102" i="2"/>
  <c r="OY71" i="2"/>
  <c r="OY78" i="2"/>
  <c r="OY103" i="2"/>
  <c r="OY72" i="2"/>
  <c r="OY79" i="2"/>
  <c r="OY104" i="2"/>
  <c r="OY117" i="2"/>
  <c r="OY93" i="2"/>
  <c r="OY94" i="2"/>
  <c r="OY95" i="2"/>
  <c r="OY96" i="2"/>
  <c r="OY97" i="2"/>
  <c r="OY113" i="2"/>
  <c r="OZ66" i="2"/>
  <c r="OZ67" i="2"/>
  <c r="OZ68" i="2"/>
  <c r="OZ75" i="2"/>
  <c r="OZ100" i="2"/>
  <c r="OZ69" i="2"/>
  <c r="OZ76" i="2"/>
  <c r="OZ101" i="2"/>
  <c r="OZ70" i="2"/>
  <c r="OZ77" i="2"/>
  <c r="OZ102" i="2"/>
  <c r="OZ71" i="2"/>
  <c r="OZ78" i="2"/>
  <c r="OZ103" i="2"/>
  <c r="OZ72" i="2"/>
  <c r="OZ79" i="2"/>
  <c r="OZ104" i="2"/>
  <c r="OZ117" i="2"/>
  <c r="OZ93" i="2"/>
  <c r="OZ94" i="2"/>
  <c r="OZ95" i="2"/>
  <c r="OZ96" i="2"/>
  <c r="OZ97" i="2"/>
  <c r="OZ113" i="2"/>
  <c r="PA66" i="2"/>
  <c r="PA67" i="2"/>
  <c r="PA68" i="2"/>
  <c r="PA75" i="2"/>
  <c r="PA100" i="2"/>
  <c r="PA69" i="2"/>
  <c r="PA76" i="2"/>
  <c r="PA101" i="2"/>
  <c r="PA70" i="2"/>
  <c r="PA77" i="2"/>
  <c r="PA102" i="2"/>
  <c r="PA71" i="2"/>
  <c r="PA78" i="2"/>
  <c r="PA103" i="2"/>
  <c r="PA72" i="2"/>
  <c r="PA79" i="2"/>
  <c r="PA104" i="2"/>
  <c r="PA117" i="2"/>
  <c r="PA93" i="2"/>
  <c r="PA94" i="2"/>
  <c r="PA95" i="2"/>
  <c r="PA96" i="2"/>
  <c r="PA97" i="2"/>
  <c r="PA113" i="2"/>
  <c r="PB66" i="2"/>
  <c r="PB67" i="2"/>
  <c r="PB68" i="2"/>
  <c r="PB75" i="2"/>
  <c r="PB100" i="2"/>
  <c r="PB69" i="2"/>
  <c r="PB76" i="2"/>
  <c r="PB101" i="2"/>
  <c r="PB70" i="2"/>
  <c r="PB77" i="2"/>
  <c r="PB102" i="2"/>
  <c r="PB71" i="2"/>
  <c r="PB78" i="2"/>
  <c r="PB103" i="2"/>
  <c r="PB72" i="2"/>
  <c r="PB79" i="2"/>
  <c r="PB104" i="2"/>
  <c r="PB117" i="2"/>
  <c r="PB93" i="2"/>
  <c r="PB94" i="2"/>
  <c r="PB95" i="2"/>
  <c r="PB96" i="2"/>
  <c r="PB97" i="2"/>
  <c r="PB113" i="2"/>
  <c r="PC66" i="2"/>
  <c r="PC67" i="2"/>
  <c r="PC68" i="2"/>
  <c r="PC75" i="2"/>
  <c r="PC100" i="2"/>
  <c r="PC69" i="2"/>
  <c r="PC76" i="2"/>
  <c r="PC101" i="2"/>
  <c r="PC70" i="2"/>
  <c r="PC77" i="2"/>
  <c r="PC102" i="2"/>
  <c r="PC71" i="2"/>
  <c r="PC78" i="2"/>
  <c r="PC103" i="2"/>
  <c r="PC72" i="2"/>
  <c r="PC79" i="2"/>
  <c r="PC104" i="2"/>
  <c r="PC117" i="2"/>
  <c r="PC93" i="2"/>
  <c r="PC94" i="2"/>
  <c r="PC95" i="2"/>
  <c r="PC96" i="2"/>
  <c r="PC97" i="2"/>
  <c r="PC113" i="2"/>
  <c r="PD66" i="2"/>
  <c r="PD67" i="2"/>
  <c r="PD68" i="2"/>
  <c r="PD75" i="2"/>
  <c r="PD100" i="2"/>
  <c r="PD69" i="2"/>
  <c r="PD76" i="2"/>
  <c r="PD101" i="2"/>
  <c r="PD70" i="2"/>
  <c r="PD77" i="2"/>
  <c r="PD102" i="2"/>
  <c r="PD71" i="2"/>
  <c r="PD78" i="2"/>
  <c r="PD103" i="2"/>
  <c r="PD72" i="2"/>
  <c r="PD79" i="2"/>
  <c r="PD104" i="2"/>
  <c r="PD117" i="2"/>
  <c r="PD93" i="2"/>
  <c r="PD94" i="2"/>
  <c r="PD95" i="2"/>
  <c r="PD96" i="2"/>
  <c r="PD97" i="2"/>
  <c r="PD113" i="2"/>
  <c r="PE66" i="2"/>
  <c r="PE67" i="2"/>
  <c r="PE68" i="2"/>
  <c r="PE75" i="2"/>
  <c r="PE100" i="2"/>
  <c r="PE69" i="2"/>
  <c r="PE76" i="2"/>
  <c r="PE101" i="2"/>
  <c r="PE70" i="2"/>
  <c r="PE77" i="2"/>
  <c r="PE102" i="2"/>
  <c r="PE71" i="2"/>
  <c r="PE78" i="2"/>
  <c r="PE103" i="2"/>
  <c r="PE72" i="2"/>
  <c r="PE79" i="2"/>
  <c r="PE104" i="2"/>
  <c r="PE117" i="2"/>
  <c r="PE93" i="2"/>
  <c r="PE94" i="2"/>
  <c r="PE95" i="2"/>
  <c r="PE96" i="2"/>
  <c r="PE97" i="2"/>
  <c r="PE113" i="2"/>
  <c r="PF66" i="2"/>
  <c r="PF67" i="2"/>
  <c r="PF68" i="2"/>
  <c r="PF75" i="2"/>
  <c r="PF100" i="2"/>
  <c r="PF69" i="2"/>
  <c r="PF76" i="2"/>
  <c r="PF101" i="2"/>
  <c r="PF70" i="2"/>
  <c r="PF77" i="2"/>
  <c r="PF102" i="2"/>
  <c r="PF71" i="2"/>
  <c r="PF78" i="2"/>
  <c r="PF103" i="2"/>
  <c r="PF72" i="2"/>
  <c r="PF79" i="2"/>
  <c r="PF104" i="2"/>
  <c r="PF117" i="2"/>
  <c r="PF93" i="2"/>
  <c r="PF94" i="2"/>
  <c r="PF95" i="2"/>
  <c r="PF96" i="2"/>
  <c r="PF97" i="2"/>
  <c r="PF113" i="2"/>
  <c r="PG66" i="2"/>
  <c r="PG67" i="2"/>
  <c r="PG68" i="2"/>
  <c r="PG75" i="2"/>
  <c r="PG100" i="2"/>
  <c r="PG69" i="2"/>
  <c r="PG76" i="2"/>
  <c r="PG101" i="2"/>
  <c r="PG70" i="2"/>
  <c r="PG77" i="2"/>
  <c r="PG102" i="2"/>
  <c r="PG71" i="2"/>
  <c r="PG78" i="2"/>
  <c r="PG103" i="2"/>
  <c r="PG72" i="2"/>
  <c r="PG79" i="2"/>
  <c r="PG104" i="2"/>
  <c r="PG117" i="2"/>
  <c r="PG93" i="2"/>
  <c r="PG94" i="2"/>
  <c r="PG95" i="2"/>
  <c r="PG96" i="2"/>
  <c r="PG97" i="2"/>
  <c r="PG113" i="2"/>
  <c r="PH66" i="2"/>
  <c r="PH67" i="2"/>
  <c r="PH68" i="2"/>
  <c r="PH75" i="2"/>
  <c r="PH100" i="2"/>
  <c r="PH69" i="2"/>
  <c r="PH76" i="2"/>
  <c r="PH101" i="2"/>
  <c r="PH70" i="2"/>
  <c r="PH77" i="2"/>
  <c r="PH102" i="2"/>
  <c r="PH71" i="2"/>
  <c r="PH78" i="2"/>
  <c r="PH103" i="2"/>
  <c r="PH72" i="2"/>
  <c r="PH79" i="2"/>
  <c r="PH104" i="2"/>
  <c r="PH117" i="2"/>
  <c r="PH93" i="2"/>
  <c r="PH94" i="2"/>
  <c r="PH95" i="2"/>
  <c r="PH96" i="2"/>
  <c r="PH97" i="2"/>
  <c r="PH113" i="2"/>
  <c r="PI66" i="2"/>
  <c r="PI67" i="2"/>
  <c r="PI68" i="2"/>
  <c r="PI75" i="2"/>
  <c r="PI100" i="2"/>
  <c r="PI69" i="2"/>
  <c r="PI76" i="2"/>
  <c r="PI101" i="2"/>
  <c r="PI70" i="2"/>
  <c r="PI77" i="2"/>
  <c r="PI102" i="2"/>
  <c r="PI71" i="2"/>
  <c r="PI78" i="2"/>
  <c r="PI103" i="2"/>
  <c r="PI72" i="2"/>
  <c r="PI79" i="2"/>
  <c r="PI104" i="2"/>
  <c r="PI117" i="2"/>
  <c r="PI93" i="2"/>
  <c r="PI94" i="2"/>
  <c r="PI95" i="2"/>
  <c r="PI96" i="2"/>
  <c r="PI97" i="2"/>
  <c r="PI113" i="2"/>
  <c r="PJ66" i="2"/>
  <c r="PJ67" i="2"/>
  <c r="PJ68" i="2"/>
  <c r="PJ75" i="2"/>
  <c r="PJ100" i="2"/>
  <c r="PJ69" i="2"/>
  <c r="PJ76" i="2"/>
  <c r="PJ101" i="2"/>
  <c r="PJ70" i="2"/>
  <c r="PJ77" i="2"/>
  <c r="PJ102" i="2"/>
  <c r="PJ71" i="2"/>
  <c r="PJ78" i="2"/>
  <c r="PJ103" i="2"/>
  <c r="PJ72" i="2"/>
  <c r="PJ79" i="2"/>
  <c r="PJ104" i="2"/>
  <c r="PJ117" i="2"/>
  <c r="PJ93" i="2"/>
  <c r="PJ94" i="2"/>
  <c r="PJ95" i="2"/>
  <c r="PJ96" i="2"/>
  <c r="PJ97" i="2"/>
  <c r="PJ113" i="2"/>
  <c r="PK66" i="2"/>
  <c r="PK67" i="2"/>
  <c r="PK68" i="2"/>
  <c r="PK75" i="2"/>
  <c r="PK100" i="2"/>
  <c r="PK69" i="2"/>
  <c r="PK76" i="2"/>
  <c r="PK101" i="2"/>
  <c r="PK70" i="2"/>
  <c r="PK77" i="2"/>
  <c r="PK102" i="2"/>
  <c r="PK71" i="2"/>
  <c r="PK78" i="2"/>
  <c r="PK103" i="2"/>
  <c r="PK72" i="2"/>
  <c r="PK79" i="2"/>
  <c r="PK104" i="2"/>
  <c r="PK117" i="2"/>
  <c r="PK93" i="2"/>
  <c r="PK94" i="2"/>
  <c r="PK95" i="2"/>
  <c r="PK96" i="2"/>
  <c r="PK97" i="2"/>
  <c r="PK113" i="2"/>
  <c r="PL66" i="2"/>
  <c r="PL67" i="2"/>
  <c r="PL68" i="2"/>
  <c r="PL75" i="2"/>
  <c r="PL100" i="2"/>
  <c r="PL69" i="2"/>
  <c r="PL76" i="2"/>
  <c r="PL101" i="2"/>
  <c r="PL70" i="2"/>
  <c r="PL77" i="2"/>
  <c r="PL102" i="2"/>
  <c r="PL71" i="2"/>
  <c r="PL78" i="2"/>
  <c r="PL103" i="2"/>
  <c r="PL72" i="2"/>
  <c r="PL79" i="2"/>
  <c r="PL104" i="2"/>
  <c r="PL117" i="2"/>
  <c r="PL93" i="2"/>
  <c r="PL94" i="2"/>
  <c r="PL95" i="2"/>
  <c r="PL96" i="2"/>
  <c r="PL97" i="2"/>
  <c r="PL113" i="2"/>
  <c r="PM66" i="2"/>
  <c r="PM67" i="2"/>
  <c r="PM68" i="2"/>
  <c r="PM75" i="2"/>
  <c r="PM100" i="2"/>
  <c r="PM69" i="2"/>
  <c r="PM76" i="2"/>
  <c r="PM101" i="2"/>
  <c r="PM70" i="2"/>
  <c r="PM77" i="2"/>
  <c r="PM102" i="2"/>
  <c r="PM71" i="2"/>
  <c r="PM78" i="2"/>
  <c r="PM103" i="2"/>
  <c r="PM72" i="2"/>
  <c r="PM79" i="2"/>
  <c r="PM104" i="2"/>
  <c r="PM117" i="2"/>
  <c r="PM93" i="2"/>
  <c r="PM94" i="2"/>
  <c r="PM95" i="2"/>
  <c r="PM96" i="2"/>
  <c r="PM97" i="2"/>
  <c r="PM113" i="2"/>
  <c r="PN66" i="2"/>
  <c r="PN67" i="2"/>
  <c r="PN68" i="2"/>
  <c r="PN75" i="2"/>
  <c r="PN100" i="2"/>
  <c r="PN69" i="2"/>
  <c r="PN76" i="2"/>
  <c r="PN101" i="2"/>
  <c r="PN70" i="2"/>
  <c r="PN77" i="2"/>
  <c r="PN102" i="2"/>
  <c r="PN71" i="2"/>
  <c r="PN78" i="2"/>
  <c r="PN103" i="2"/>
  <c r="PN72" i="2"/>
  <c r="PN79" i="2"/>
  <c r="PN104" i="2"/>
  <c r="PN117" i="2"/>
  <c r="PN93" i="2"/>
  <c r="PN94" i="2"/>
  <c r="PN95" i="2"/>
  <c r="PN96" i="2"/>
  <c r="PN97" i="2"/>
  <c r="PN113" i="2"/>
  <c r="PO66" i="2"/>
  <c r="PO67" i="2"/>
  <c r="PO68" i="2"/>
  <c r="PO75" i="2"/>
  <c r="PO100" i="2"/>
  <c r="PO69" i="2"/>
  <c r="PO76" i="2"/>
  <c r="PO101" i="2"/>
  <c r="PO70" i="2"/>
  <c r="PO77" i="2"/>
  <c r="PO102" i="2"/>
  <c r="PO71" i="2"/>
  <c r="PO78" i="2"/>
  <c r="PO103" i="2"/>
  <c r="PO72" i="2"/>
  <c r="PO79" i="2"/>
  <c r="PO104" i="2"/>
  <c r="PO117" i="2"/>
  <c r="PO93" i="2"/>
  <c r="PO94" i="2"/>
  <c r="PO95" i="2"/>
  <c r="PO96" i="2"/>
  <c r="PO97" i="2"/>
  <c r="PO113" i="2"/>
  <c r="PP66" i="2"/>
  <c r="PP67" i="2"/>
  <c r="PP68" i="2"/>
  <c r="PP75" i="2"/>
  <c r="PP100" i="2"/>
  <c r="PP69" i="2"/>
  <c r="PP76" i="2"/>
  <c r="PP101" i="2"/>
  <c r="PP70" i="2"/>
  <c r="PP77" i="2"/>
  <c r="PP102" i="2"/>
  <c r="PP71" i="2"/>
  <c r="PP78" i="2"/>
  <c r="PP103" i="2"/>
  <c r="PP72" i="2"/>
  <c r="PP79" i="2"/>
  <c r="PP104" i="2"/>
  <c r="PP117" i="2"/>
  <c r="PP93" i="2"/>
  <c r="PP94" i="2"/>
  <c r="PP95" i="2"/>
  <c r="PP96" i="2"/>
  <c r="PP97" i="2"/>
  <c r="PP113" i="2"/>
  <c r="PQ66" i="2"/>
  <c r="PQ67" i="2"/>
  <c r="PQ68" i="2"/>
  <c r="PQ75" i="2"/>
  <c r="PQ100" i="2"/>
  <c r="PQ69" i="2"/>
  <c r="PQ76" i="2"/>
  <c r="PQ101" i="2"/>
  <c r="PQ70" i="2"/>
  <c r="PQ77" i="2"/>
  <c r="PQ102" i="2"/>
  <c r="PQ71" i="2"/>
  <c r="PQ78" i="2"/>
  <c r="PQ103" i="2"/>
  <c r="PQ72" i="2"/>
  <c r="PQ79" i="2"/>
  <c r="PQ104" i="2"/>
  <c r="PQ117" i="2"/>
  <c r="PQ93" i="2"/>
  <c r="PQ94" i="2"/>
  <c r="PQ95" i="2"/>
  <c r="PQ96" i="2"/>
  <c r="PQ97" i="2"/>
  <c r="PQ113" i="2"/>
  <c r="PR66" i="2"/>
  <c r="PR67" i="2"/>
  <c r="PR68" i="2"/>
  <c r="PR75" i="2"/>
  <c r="PR100" i="2"/>
  <c r="PR69" i="2"/>
  <c r="PR76" i="2"/>
  <c r="PR101" i="2"/>
  <c r="PR70" i="2"/>
  <c r="PR77" i="2"/>
  <c r="PR102" i="2"/>
  <c r="PR71" i="2"/>
  <c r="PR78" i="2"/>
  <c r="PR103" i="2"/>
  <c r="PR72" i="2"/>
  <c r="PR79" i="2"/>
  <c r="PR104" i="2"/>
  <c r="PR117" i="2"/>
  <c r="PR93" i="2"/>
  <c r="PR94" i="2"/>
  <c r="PR95" i="2"/>
  <c r="PR96" i="2"/>
  <c r="PR97" i="2"/>
  <c r="PR113" i="2"/>
  <c r="PS66" i="2"/>
  <c r="PS67" i="2"/>
  <c r="PS68" i="2"/>
  <c r="PS75" i="2"/>
  <c r="PS100" i="2"/>
  <c r="PS69" i="2"/>
  <c r="PS76" i="2"/>
  <c r="PS101" i="2"/>
  <c r="PS70" i="2"/>
  <c r="PS77" i="2"/>
  <c r="PS102" i="2"/>
  <c r="PS71" i="2"/>
  <c r="PS78" i="2"/>
  <c r="PS103" i="2"/>
  <c r="PS72" i="2"/>
  <c r="PS79" i="2"/>
  <c r="PS104" i="2"/>
  <c r="PS117" i="2"/>
  <c r="PS93" i="2"/>
  <c r="PS94" i="2"/>
  <c r="PS95" i="2"/>
  <c r="PS96" i="2"/>
  <c r="PS97" i="2"/>
  <c r="PS113" i="2"/>
  <c r="PT66" i="2"/>
  <c r="PT67" i="2"/>
  <c r="PT68" i="2"/>
  <c r="PT75" i="2"/>
  <c r="PT100" i="2"/>
  <c r="PT69" i="2"/>
  <c r="PT76" i="2"/>
  <c r="PT101" i="2"/>
  <c r="PT70" i="2"/>
  <c r="PT77" i="2"/>
  <c r="PT102" i="2"/>
  <c r="PT71" i="2"/>
  <c r="PT78" i="2"/>
  <c r="PT103" i="2"/>
  <c r="PT72" i="2"/>
  <c r="PT79" i="2"/>
  <c r="PT104" i="2"/>
  <c r="PT117" i="2"/>
  <c r="PT93" i="2"/>
  <c r="PT94" i="2"/>
  <c r="PT95" i="2"/>
  <c r="PT96" i="2"/>
  <c r="PT97" i="2"/>
  <c r="PT113" i="2"/>
  <c r="PU66" i="2"/>
  <c r="PU67" i="2"/>
  <c r="PU68" i="2"/>
  <c r="PU75" i="2"/>
  <c r="PU100" i="2"/>
  <c r="PU69" i="2"/>
  <c r="PU76" i="2"/>
  <c r="PU101" i="2"/>
  <c r="PU70" i="2"/>
  <c r="PU77" i="2"/>
  <c r="PU102" i="2"/>
  <c r="PU71" i="2"/>
  <c r="PU78" i="2"/>
  <c r="PU103" i="2"/>
  <c r="PU72" i="2"/>
  <c r="PU79" i="2"/>
  <c r="PU104" i="2"/>
  <c r="PU117" i="2"/>
  <c r="PU93" i="2"/>
  <c r="PU94" i="2"/>
  <c r="PU95" i="2"/>
  <c r="PU96" i="2"/>
  <c r="PU97" i="2"/>
  <c r="PU113" i="2"/>
  <c r="PV66" i="2"/>
  <c r="PV67" i="2"/>
  <c r="PV68" i="2"/>
  <c r="PV75" i="2"/>
  <c r="PV100" i="2"/>
  <c r="PV69" i="2"/>
  <c r="PV76" i="2"/>
  <c r="PV101" i="2"/>
  <c r="PV70" i="2"/>
  <c r="PV77" i="2"/>
  <c r="PV102" i="2"/>
  <c r="PV71" i="2"/>
  <c r="PV78" i="2"/>
  <c r="PV103" i="2"/>
  <c r="PV72" i="2"/>
  <c r="PV79" i="2"/>
  <c r="PV104" i="2"/>
  <c r="PV117" i="2"/>
  <c r="PV93" i="2"/>
  <c r="PV94" i="2"/>
  <c r="PV95" i="2"/>
  <c r="PV96" i="2"/>
  <c r="PV97" i="2"/>
  <c r="PV113" i="2"/>
  <c r="PW66" i="2"/>
  <c r="PW67" i="2"/>
  <c r="PW68" i="2"/>
  <c r="PW75" i="2"/>
  <c r="PW100" i="2"/>
  <c r="PW69" i="2"/>
  <c r="PW76" i="2"/>
  <c r="PW101" i="2"/>
  <c r="PW70" i="2"/>
  <c r="PW77" i="2"/>
  <c r="PW102" i="2"/>
  <c r="PW71" i="2"/>
  <c r="PW78" i="2"/>
  <c r="PW103" i="2"/>
  <c r="PW72" i="2"/>
  <c r="PW79" i="2"/>
  <c r="PW104" i="2"/>
  <c r="PW117" i="2"/>
  <c r="PW93" i="2"/>
  <c r="PW94" i="2"/>
  <c r="PW95" i="2"/>
  <c r="PW96" i="2"/>
  <c r="PW97" i="2"/>
  <c r="PW113" i="2"/>
  <c r="PX66" i="2"/>
  <c r="PX67" i="2"/>
  <c r="PX68" i="2"/>
  <c r="PX75" i="2"/>
  <c r="PX100" i="2"/>
  <c r="PX69" i="2"/>
  <c r="PX76" i="2"/>
  <c r="PX101" i="2"/>
  <c r="PX70" i="2"/>
  <c r="PX77" i="2"/>
  <c r="PX102" i="2"/>
  <c r="PX71" i="2"/>
  <c r="PX78" i="2"/>
  <c r="PX103" i="2"/>
  <c r="PX72" i="2"/>
  <c r="PX79" i="2"/>
  <c r="PX104" i="2"/>
  <c r="PX117" i="2"/>
  <c r="PX93" i="2"/>
  <c r="PX94" i="2"/>
  <c r="PX95" i="2"/>
  <c r="PX96" i="2"/>
  <c r="PX97" i="2"/>
  <c r="PX113" i="2"/>
  <c r="PY66" i="2"/>
  <c r="PY67" i="2"/>
  <c r="PY68" i="2"/>
  <c r="PY75" i="2"/>
  <c r="PY100" i="2"/>
  <c r="PY69" i="2"/>
  <c r="PY76" i="2"/>
  <c r="PY101" i="2"/>
  <c r="PY70" i="2"/>
  <c r="PY77" i="2"/>
  <c r="PY102" i="2"/>
  <c r="PY71" i="2"/>
  <c r="PY78" i="2"/>
  <c r="PY103" i="2"/>
  <c r="PY72" i="2"/>
  <c r="PY79" i="2"/>
  <c r="PY104" i="2"/>
  <c r="PY117" i="2"/>
  <c r="PY93" i="2"/>
  <c r="PY94" i="2"/>
  <c r="PY95" i="2"/>
  <c r="PY96" i="2"/>
  <c r="PY97" i="2"/>
  <c r="PY113" i="2"/>
  <c r="PZ66" i="2"/>
  <c r="PZ67" i="2"/>
  <c r="PZ68" i="2"/>
  <c r="PZ75" i="2"/>
  <c r="PZ100" i="2"/>
  <c r="PZ69" i="2"/>
  <c r="PZ76" i="2"/>
  <c r="PZ101" i="2"/>
  <c r="PZ70" i="2"/>
  <c r="PZ77" i="2"/>
  <c r="PZ102" i="2"/>
  <c r="PZ71" i="2"/>
  <c r="PZ78" i="2"/>
  <c r="PZ103" i="2"/>
  <c r="PZ72" i="2"/>
  <c r="PZ79" i="2"/>
  <c r="PZ104" i="2"/>
  <c r="PZ117" i="2"/>
  <c r="PZ93" i="2"/>
  <c r="PZ94" i="2"/>
  <c r="PZ95" i="2"/>
  <c r="PZ96" i="2"/>
  <c r="PZ97" i="2"/>
  <c r="PZ113" i="2"/>
  <c r="QA66" i="2"/>
  <c r="QA67" i="2"/>
  <c r="QA68" i="2"/>
  <c r="QA75" i="2"/>
  <c r="QA100" i="2"/>
  <c r="QA69" i="2"/>
  <c r="QA76" i="2"/>
  <c r="QA101" i="2"/>
  <c r="QA70" i="2"/>
  <c r="QA77" i="2"/>
  <c r="QA102" i="2"/>
  <c r="QA71" i="2"/>
  <c r="QA78" i="2"/>
  <c r="QA103" i="2"/>
  <c r="QA72" i="2"/>
  <c r="QA79" i="2"/>
  <c r="QA104" i="2"/>
  <c r="QA117" i="2"/>
  <c r="QA93" i="2"/>
  <c r="QA94" i="2"/>
  <c r="QA95" i="2"/>
  <c r="QA96" i="2"/>
  <c r="QA97" i="2"/>
  <c r="QA113" i="2"/>
  <c r="QB66" i="2"/>
  <c r="QB67" i="2"/>
  <c r="QB68" i="2"/>
  <c r="QB75" i="2"/>
  <c r="QB100" i="2"/>
  <c r="QB69" i="2"/>
  <c r="QB76" i="2"/>
  <c r="QB101" i="2"/>
  <c r="QB70" i="2"/>
  <c r="QB77" i="2"/>
  <c r="QB102" i="2"/>
  <c r="QB71" i="2"/>
  <c r="QB78" i="2"/>
  <c r="QB103" i="2"/>
  <c r="QB72" i="2"/>
  <c r="QB79" i="2"/>
  <c r="QB104" i="2"/>
  <c r="QB117" i="2"/>
  <c r="QB93" i="2"/>
  <c r="QB94" i="2"/>
  <c r="QB95" i="2"/>
  <c r="QB96" i="2"/>
  <c r="QB97" i="2"/>
  <c r="QB113" i="2"/>
  <c r="QC66" i="2"/>
  <c r="QC67" i="2"/>
  <c r="QC68" i="2"/>
  <c r="QC75" i="2"/>
  <c r="QC100" i="2"/>
  <c r="QC69" i="2"/>
  <c r="QC76" i="2"/>
  <c r="QC101" i="2"/>
  <c r="QC70" i="2"/>
  <c r="QC77" i="2"/>
  <c r="QC102" i="2"/>
  <c r="QC71" i="2"/>
  <c r="QC78" i="2"/>
  <c r="QC103" i="2"/>
  <c r="QC72" i="2"/>
  <c r="QC79" i="2"/>
  <c r="QC104" i="2"/>
  <c r="QC117" i="2"/>
  <c r="QC93" i="2"/>
  <c r="QC94" i="2"/>
  <c r="QC95" i="2"/>
  <c r="QC96" i="2"/>
  <c r="QC97" i="2"/>
  <c r="QC113" i="2"/>
  <c r="QD66" i="2"/>
  <c r="QD67" i="2"/>
  <c r="QD68" i="2"/>
  <c r="QD75" i="2"/>
  <c r="QD100" i="2"/>
  <c r="QD69" i="2"/>
  <c r="QD76" i="2"/>
  <c r="QD101" i="2"/>
  <c r="QD70" i="2"/>
  <c r="QD77" i="2"/>
  <c r="QD102" i="2"/>
  <c r="QD71" i="2"/>
  <c r="QD78" i="2"/>
  <c r="QD103" i="2"/>
  <c r="QD72" i="2"/>
  <c r="QD79" i="2"/>
  <c r="QD104" i="2"/>
  <c r="QD117" i="2"/>
  <c r="QD93" i="2"/>
  <c r="QD94" i="2"/>
  <c r="QD95" i="2"/>
  <c r="QD96" i="2"/>
  <c r="QD97" i="2"/>
  <c r="QD113" i="2"/>
  <c r="QE66" i="2"/>
  <c r="QE67" i="2"/>
  <c r="QE68" i="2"/>
  <c r="QE75" i="2"/>
  <c r="QE100" i="2"/>
  <c r="QE69" i="2"/>
  <c r="QE76" i="2"/>
  <c r="QE101" i="2"/>
  <c r="QE70" i="2"/>
  <c r="QE77" i="2"/>
  <c r="QE102" i="2"/>
  <c r="QE71" i="2"/>
  <c r="QE78" i="2"/>
  <c r="QE103" i="2"/>
  <c r="QE72" i="2"/>
  <c r="QE79" i="2"/>
  <c r="QE104" i="2"/>
  <c r="QE117" i="2"/>
  <c r="QE93" i="2"/>
  <c r="QE94" i="2"/>
  <c r="QE95" i="2"/>
  <c r="QE96" i="2"/>
  <c r="QE97" i="2"/>
  <c r="QE113" i="2"/>
  <c r="QF66" i="2"/>
  <c r="QF67" i="2"/>
  <c r="QF68" i="2"/>
  <c r="QF75" i="2"/>
  <c r="QF100" i="2"/>
  <c r="QF69" i="2"/>
  <c r="QF76" i="2"/>
  <c r="QF101" i="2"/>
  <c r="QF70" i="2"/>
  <c r="QF77" i="2"/>
  <c r="QF102" i="2"/>
  <c r="QF71" i="2"/>
  <c r="QF78" i="2"/>
  <c r="QF103" i="2"/>
  <c r="QF72" i="2"/>
  <c r="QF79" i="2"/>
  <c r="QF104" i="2"/>
  <c r="QF117" i="2"/>
  <c r="QF93" i="2"/>
  <c r="QF94" i="2"/>
  <c r="QF95" i="2"/>
  <c r="QF96" i="2"/>
  <c r="QF97" i="2"/>
  <c r="QF113" i="2"/>
  <c r="QG66" i="2"/>
  <c r="QG67" i="2"/>
  <c r="QG68" i="2"/>
  <c r="QG75" i="2"/>
  <c r="QG100" i="2"/>
  <c r="QG69" i="2"/>
  <c r="QG76" i="2"/>
  <c r="QG101" i="2"/>
  <c r="QG70" i="2"/>
  <c r="QG77" i="2"/>
  <c r="QG102" i="2"/>
  <c r="QG71" i="2"/>
  <c r="QG78" i="2"/>
  <c r="QG103" i="2"/>
  <c r="QG72" i="2"/>
  <c r="QG79" i="2"/>
  <c r="QG104" i="2"/>
  <c r="QG117" i="2"/>
  <c r="QG93" i="2"/>
  <c r="QG94" i="2"/>
  <c r="QG95" i="2"/>
  <c r="QG96" i="2"/>
  <c r="QG97" i="2"/>
  <c r="QG113" i="2"/>
  <c r="QH66" i="2"/>
  <c r="QH67" i="2"/>
  <c r="QH68" i="2"/>
  <c r="QH75" i="2"/>
  <c r="QH100" i="2"/>
  <c r="QH69" i="2"/>
  <c r="QH76" i="2"/>
  <c r="QH101" i="2"/>
  <c r="QH70" i="2"/>
  <c r="QH77" i="2"/>
  <c r="QH102" i="2"/>
  <c r="QH71" i="2"/>
  <c r="QH78" i="2"/>
  <c r="QH103" i="2"/>
  <c r="QH72" i="2"/>
  <c r="QH79" i="2"/>
  <c r="QH104" i="2"/>
  <c r="QH117" i="2"/>
  <c r="QH93" i="2"/>
  <c r="QH94" i="2"/>
  <c r="QH95" i="2"/>
  <c r="QH96" i="2"/>
  <c r="QH97" i="2"/>
  <c r="QH113" i="2"/>
  <c r="QI66" i="2"/>
  <c r="QI67" i="2"/>
  <c r="QI68" i="2"/>
  <c r="QI75" i="2"/>
  <c r="QI100" i="2"/>
  <c r="QI69" i="2"/>
  <c r="QI76" i="2"/>
  <c r="QI101" i="2"/>
  <c r="QI70" i="2"/>
  <c r="QI77" i="2"/>
  <c r="QI102" i="2"/>
  <c r="QI71" i="2"/>
  <c r="QI78" i="2"/>
  <c r="QI103" i="2"/>
  <c r="QI72" i="2"/>
  <c r="QI79" i="2"/>
  <c r="QI104" i="2"/>
  <c r="QI117" i="2"/>
  <c r="QI93" i="2"/>
  <c r="QI94" i="2"/>
  <c r="QI95" i="2"/>
  <c r="QI96" i="2"/>
  <c r="QI97" i="2"/>
  <c r="QI113" i="2"/>
  <c r="QJ66" i="2"/>
  <c r="QJ67" i="2"/>
  <c r="QJ68" i="2"/>
  <c r="QJ75" i="2"/>
  <c r="QJ100" i="2"/>
  <c r="QJ69" i="2"/>
  <c r="QJ76" i="2"/>
  <c r="QJ101" i="2"/>
  <c r="QJ70" i="2"/>
  <c r="QJ77" i="2"/>
  <c r="QJ102" i="2"/>
  <c r="QJ71" i="2"/>
  <c r="QJ78" i="2"/>
  <c r="QJ103" i="2"/>
  <c r="QJ72" i="2"/>
  <c r="QJ79" i="2"/>
  <c r="QJ104" i="2"/>
  <c r="QJ117" i="2"/>
  <c r="QJ93" i="2"/>
  <c r="QJ94" i="2"/>
  <c r="QJ95" i="2"/>
  <c r="QJ96" i="2"/>
  <c r="QJ97" i="2"/>
  <c r="QJ113" i="2"/>
  <c r="QK66" i="2"/>
  <c r="QK67" i="2"/>
  <c r="QK68" i="2"/>
  <c r="QK75" i="2"/>
  <c r="QK100" i="2"/>
  <c r="QK69" i="2"/>
  <c r="QK76" i="2"/>
  <c r="QK101" i="2"/>
  <c r="QK70" i="2"/>
  <c r="QK77" i="2"/>
  <c r="QK102" i="2"/>
  <c r="QK71" i="2"/>
  <c r="QK78" i="2"/>
  <c r="QK103" i="2"/>
  <c r="QK72" i="2"/>
  <c r="QK79" i="2"/>
  <c r="QK104" i="2"/>
  <c r="QK117" i="2"/>
  <c r="QK93" i="2"/>
  <c r="QK94" i="2"/>
  <c r="QK95" i="2"/>
  <c r="QK96" i="2"/>
  <c r="QK97" i="2"/>
  <c r="QK113" i="2"/>
  <c r="QL66" i="2"/>
  <c r="QL67" i="2"/>
  <c r="QL68" i="2"/>
  <c r="QL75" i="2"/>
  <c r="QL100" i="2"/>
  <c r="QL69" i="2"/>
  <c r="QL76" i="2"/>
  <c r="QL101" i="2"/>
  <c r="QL70" i="2"/>
  <c r="QL77" i="2"/>
  <c r="QL102" i="2"/>
  <c r="QL71" i="2"/>
  <c r="QL78" i="2"/>
  <c r="QL103" i="2"/>
  <c r="QL72" i="2"/>
  <c r="QL79" i="2"/>
  <c r="QL104" i="2"/>
  <c r="QL117" i="2"/>
  <c r="QL93" i="2"/>
  <c r="QL94" i="2"/>
  <c r="QL95" i="2"/>
  <c r="QL96" i="2"/>
  <c r="QL97" i="2"/>
  <c r="QL113" i="2"/>
  <c r="QM66" i="2"/>
  <c r="QM67" i="2"/>
  <c r="QM68" i="2"/>
  <c r="QM75" i="2"/>
  <c r="QM100" i="2"/>
  <c r="QM69" i="2"/>
  <c r="QM76" i="2"/>
  <c r="QM101" i="2"/>
  <c r="QM70" i="2"/>
  <c r="QM77" i="2"/>
  <c r="QM102" i="2"/>
  <c r="QM71" i="2"/>
  <c r="QM78" i="2"/>
  <c r="QM103" i="2"/>
  <c r="QM72" i="2"/>
  <c r="QM79" i="2"/>
  <c r="QM104" i="2"/>
  <c r="QM117" i="2"/>
  <c r="QM93" i="2"/>
  <c r="QM94" i="2"/>
  <c r="QM95" i="2"/>
  <c r="QM96" i="2"/>
  <c r="QM97" i="2"/>
  <c r="QM113" i="2"/>
  <c r="QN66" i="2"/>
  <c r="QN67" i="2"/>
  <c r="QN68" i="2"/>
  <c r="QN75" i="2"/>
  <c r="QN100" i="2"/>
  <c r="QN69" i="2"/>
  <c r="QN76" i="2"/>
  <c r="QN101" i="2"/>
  <c r="QN70" i="2"/>
  <c r="QN77" i="2"/>
  <c r="QN102" i="2"/>
  <c r="QN71" i="2"/>
  <c r="QN78" i="2"/>
  <c r="QN103" i="2"/>
  <c r="QN72" i="2"/>
  <c r="QN79" i="2"/>
  <c r="QN104" i="2"/>
  <c r="QN117" i="2"/>
  <c r="QN93" i="2"/>
  <c r="QN94" i="2"/>
  <c r="QN95" i="2"/>
  <c r="QN96" i="2"/>
  <c r="QN97" i="2"/>
  <c r="QN113" i="2"/>
  <c r="QO66" i="2"/>
  <c r="QO67" i="2"/>
  <c r="QO68" i="2"/>
  <c r="QO75" i="2"/>
  <c r="QO100" i="2"/>
  <c r="QO69" i="2"/>
  <c r="QO76" i="2"/>
  <c r="QO101" i="2"/>
  <c r="QO70" i="2"/>
  <c r="QO77" i="2"/>
  <c r="QO102" i="2"/>
  <c r="QO71" i="2"/>
  <c r="QO78" i="2"/>
  <c r="QO103" i="2"/>
  <c r="QO72" i="2"/>
  <c r="QO79" i="2"/>
  <c r="QO104" i="2"/>
  <c r="QO117" i="2"/>
  <c r="QO93" i="2"/>
  <c r="QO94" i="2"/>
  <c r="QO95" i="2"/>
  <c r="QO96" i="2"/>
  <c r="QO97" i="2"/>
  <c r="QO113" i="2"/>
  <c r="QP66" i="2"/>
  <c r="QP67" i="2"/>
  <c r="QP68" i="2"/>
  <c r="QP75" i="2"/>
  <c r="QP100" i="2"/>
  <c r="QP69" i="2"/>
  <c r="QP76" i="2"/>
  <c r="QP101" i="2"/>
  <c r="QP70" i="2"/>
  <c r="QP77" i="2"/>
  <c r="QP102" i="2"/>
  <c r="QP71" i="2"/>
  <c r="QP78" i="2"/>
  <c r="QP103" i="2"/>
  <c r="QP72" i="2"/>
  <c r="QP79" i="2"/>
  <c r="QP104" i="2"/>
  <c r="QP117" i="2"/>
  <c r="QP93" i="2"/>
  <c r="QP94" i="2"/>
  <c r="QP95" i="2"/>
  <c r="QP96" i="2"/>
  <c r="QP97" i="2"/>
  <c r="QP113" i="2"/>
  <c r="QQ66" i="2"/>
  <c r="QQ67" i="2"/>
  <c r="QQ68" i="2"/>
  <c r="QQ75" i="2"/>
  <c r="QQ100" i="2"/>
  <c r="QQ69" i="2"/>
  <c r="QQ76" i="2"/>
  <c r="QQ101" i="2"/>
  <c r="QQ70" i="2"/>
  <c r="QQ77" i="2"/>
  <c r="QQ102" i="2"/>
  <c r="QQ71" i="2"/>
  <c r="QQ78" i="2"/>
  <c r="QQ103" i="2"/>
  <c r="QQ72" i="2"/>
  <c r="QQ79" i="2"/>
  <c r="QQ104" i="2"/>
  <c r="QQ117" i="2"/>
  <c r="QQ93" i="2"/>
  <c r="QQ94" i="2"/>
  <c r="QQ95" i="2"/>
  <c r="QQ96" i="2"/>
  <c r="QQ97" i="2"/>
  <c r="QQ113" i="2"/>
  <c r="QR66" i="2"/>
  <c r="QR67" i="2"/>
  <c r="QR68" i="2"/>
  <c r="QR75" i="2"/>
  <c r="QR100" i="2"/>
  <c r="QR69" i="2"/>
  <c r="QR76" i="2"/>
  <c r="QR101" i="2"/>
  <c r="QR70" i="2"/>
  <c r="QR77" i="2"/>
  <c r="QR102" i="2"/>
  <c r="QR71" i="2"/>
  <c r="QR78" i="2"/>
  <c r="QR103" i="2"/>
  <c r="QR72" i="2"/>
  <c r="QR79" i="2"/>
  <c r="QR104" i="2"/>
  <c r="QR117" i="2"/>
  <c r="QR93" i="2"/>
  <c r="QR94" i="2"/>
  <c r="QR95" i="2"/>
  <c r="QR96" i="2"/>
  <c r="QR97" i="2"/>
  <c r="QR113" i="2"/>
  <c r="QS66" i="2"/>
  <c r="QS67" i="2"/>
  <c r="QS68" i="2"/>
  <c r="QS75" i="2"/>
  <c r="QS100" i="2"/>
  <c r="QS69" i="2"/>
  <c r="QS76" i="2"/>
  <c r="QS101" i="2"/>
  <c r="QS70" i="2"/>
  <c r="QS77" i="2"/>
  <c r="QS102" i="2"/>
  <c r="QS71" i="2"/>
  <c r="QS78" i="2"/>
  <c r="QS103" i="2"/>
  <c r="QS72" i="2"/>
  <c r="QS79" i="2"/>
  <c r="QS104" i="2"/>
  <c r="QS117" i="2"/>
  <c r="QS93" i="2"/>
  <c r="QS94" i="2"/>
  <c r="QS95" i="2"/>
  <c r="QS96" i="2"/>
  <c r="QS97" i="2"/>
  <c r="QS113" i="2"/>
  <c r="QT66" i="2"/>
  <c r="QT67" i="2"/>
  <c r="QT68" i="2"/>
  <c r="QT75" i="2"/>
  <c r="QT100" i="2"/>
  <c r="QT69" i="2"/>
  <c r="QT76" i="2"/>
  <c r="QT101" i="2"/>
  <c r="QT70" i="2"/>
  <c r="QT77" i="2"/>
  <c r="QT102" i="2"/>
  <c r="QT71" i="2"/>
  <c r="QT78" i="2"/>
  <c r="QT103" i="2"/>
  <c r="QT72" i="2"/>
  <c r="QT79" i="2"/>
  <c r="QT104" i="2"/>
  <c r="QT117" i="2"/>
  <c r="QT93" i="2"/>
  <c r="QT94" i="2"/>
  <c r="QT95" i="2"/>
  <c r="QT96" i="2"/>
  <c r="QT97" i="2"/>
  <c r="QT113" i="2"/>
  <c r="QU66" i="2"/>
  <c r="QU67" i="2"/>
  <c r="QU68" i="2"/>
  <c r="QU75" i="2"/>
  <c r="QU100" i="2"/>
  <c r="QU69" i="2"/>
  <c r="QU76" i="2"/>
  <c r="QU101" i="2"/>
  <c r="QU70" i="2"/>
  <c r="QU77" i="2"/>
  <c r="QU102" i="2"/>
  <c r="QU71" i="2"/>
  <c r="QU78" i="2"/>
  <c r="QU103" i="2"/>
  <c r="QU72" i="2"/>
  <c r="QU79" i="2"/>
  <c r="QU104" i="2"/>
  <c r="QU117" i="2"/>
  <c r="QU93" i="2"/>
  <c r="QU94" i="2"/>
  <c r="QU95" i="2"/>
  <c r="QU96" i="2"/>
  <c r="QU97" i="2"/>
  <c r="QU113" i="2"/>
  <c r="QV66" i="2"/>
  <c r="QV67" i="2"/>
  <c r="QV68" i="2"/>
  <c r="QV75" i="2"/>
  <c r="QV100" i="2"/>
  <c r="QV69" i="2"/>
  <c r="QV76" i="2"/>
  <c r="QV101" i="2"/>
  <c r="QV70" i="2"/>
  <c r="QV77" i="2"/>
  <c r="QV102" i="2"/>
  <c r="QV71" i="2"/>
  <c r="QV78" i="2"/>
  <c r="QV103" i="2"/>
  <c r="QV72" i="2"/>
  <c r="QV79" i="2"/>
  <c r="QV104" i="2"/>
  <c r="QV117" i="2"/>
  <c r="QV93" i="2"/>
  <c r="QV94" i="2"/>
  <c r="QV95" i="2"/>
  <c r="QV96" i="2"/>
  <c r="QV97" i="2"/>
  <c r="QV113" i="2"/>
  <c r="QW66" i="2"/>
  <c r="QW67" i="2"/>
  <c r="QW68" i="2"/>
  <c r="QW75" i="2"/>
  <c r="QW100" i="2"/>
  <c r="QW69" i="2"/>
  <c r="QW76" i="2"/>
  <c r="QW101" i="2"/>
  <c r="QW70" i="2"/>
  <c r="QW77" i="2"/>
  <c r="QW102" i="2"/>
  <c r="QW71" i="2"/>
  <c r="QW78" i="2"/>
  <c r="QW103" i="2"/>
  <c r="QW72" i="2"/>
  <c r="QW79" i="2"/>
  <c r="QW104" i="2"/>
  <c r="QW117" i="2"/>
  <c r="QW93" i="2"/>
  <c r="QW94" i="2"/>
  <c r="QW95" i="2"/>
  <c r="QW96" i="2"/>
  <c r="QW97" i="2"/>
  <c r="QW113" i="2"/>
  <c r="QX66" i="2"/>
  <c r="QX67" i="2"/>
  <c r="QX68" i="2"/>
  <c r="QX75" i="2"/>
  <c r="QX100" i="2"/>
  <c r="QX69" i="2"/>
  <c r="QX76" i="2"/>
  <c r="QX101" i="2"/>
  <c r="QX70" i="2"/>
  <c r="QX77" i="2"/>
  <c r="QX102" i="2"/>
  <c r="QX71" i="2"/>
  <c r="QX78" i="2"/>
  <c r="QX103" i="2"/>
  <c r="QX72" i="2"/>
  <c r="QX79" i="2"/>
  <c r="QX104" i="2"/>
  <c r="QX117" i="2"/>
  <c r="QX93" i="2"/>
  <c r="QX94" i="2"/>
  <c r="QX95" i="2"/>
  <c r="QX96" i="2"/>
  <c r="QX97" i="2"/>
  <c r="QX113" i="2"/>
  <c r="QY66" i="2"/>
  <c r="QY67" i="2"/>
  <c r="QY68" i="2"/>
  <c r="QY75" i="2"/>
  <c r="QY100" i="2"/>
  <c r="QY69" i="2"/>
  <c r="QY76" i="2"/>
  <c r="QY101" i="2"/>
  <c r="QY70" i="2"/>
  <c r="QY77" i="2"/>
  <c r="QY102" i="2"/>
  <c r="QY71" i="2"/>
  <c r="QY78" i="2"/>
  <c r="QY103" i="2"/>
  <c r="QY72" i="2"/>
  <c r="QY79" i="2"/>
  <c r="QY104" i="2"/>
  <c r="QY117" i="2"/>
  <c r="QY93" i="2"/>
  <c r="QY94" i="2"/>
  <c r="QY95" i="2"/>
  <c r="QY96" i="2"/>
  <c r="QY97" i="2"/>
  <c r="QY113" i="2"/>
  <c r="QZ66" i="2"/>
  <c r="QZ67" i="2"/>
  <c r="QZ68" i="2"/>
  <c r="QZ75" i="2"/>
  <c r="QZ100" i="2"/>
  <c r="QZ69" i="2"/>
  <c r="QZ76" i="2"/>
  <c r="QZ101" i="2"/>
  <c r="QZ70" i="2"/>
  <c r="QZ77" i="2"/>
  <c r="QZ102" i="2"/>
  <c r="QZ71" i="2"/>
  <c r="QZ78" i="2"/>
  <c r="QZ103" i="2"/>
  <c r="QZ72" i="2"/>
  <c r="QZ79" i="2"/>
  <c r="QZ104" i="2"/>
  <c r="QZ117" i="2"/>
  <c r="QZ93" i="2"/>
  <c r="QZ94" i="2"/>
  <c r="QZ95" i="2"/>
  <c r="QZ96" i="2"/>
  <c r="QZ97" i="2"/>
  <c r="QZ113" i="2"/>
  <c r="RA66" i="2"/>
  <c r="RA67" i="2"/>
  <c r="RA68" i="2"/>
  <c r="RA75" i="2"/>
  <c r="RA100" i="2"/>
  <c r="RA69" i="2"/>
  <c r="RA76" i="2"/>
  <c r="RA101" i="2"/>
  <c r="RA70" i="2"/>
  <c r="RA77" i="2"/>
  <c r="RA102" i="2"/>
  <c r="RA71" i="2"/>
  <c r="RA78" i="2"/>
  <c r="RA103" i="2"/>
  <c r="RA72" i="2"/>
  <c r="RA79" i="2"/>
  <c r="RA104" i="2"/>
  <c r="RA117" i="2"/>
  <c r="RA93" i="2"/>
  <c r="RA94" i="2"/>
  <c r="RA95" i="2"/>
  <c r="RA96" i="2"/>
  <c r="RA97" i="2"/>
  <c r="RA113" i="2"/>
  <c r="RB66" i="2"/>
  <c r="RB67" i="2"/>
  <c r="RB68" i="2"/>
  <c r="RB75" i="2"/>
  <c r="RB100" i="2"/>
  <c r="RB69" i="2"/>
  <c r="RB76" i="2"/>
  <c r="RB101" i="2"/>
  <c r="RB70" i="2"/>
  <c r="RB77" i="2"/>
  <c r="RB102" i="2"/>
  <c r="RB71" i="2"/>
  <c r="RB78" i="2"/>
  <c r="RB103" i="2"/>
  <c r="RB72" i="2"/>
  <c r="RB79" i="2"/>
  <c r="RB104" i="2"/>
  <c r="RB117" i="2"/>
  <c r="RB93" i="2"/>
  <c r="RB94" i="2"/>
  <c r="RB95" i="2"/>
  <c r="RB96" i="2"/>
  <c r="RB97" i="2"/>
  <c r="RB113" i="2"/>
  <c r="RC66" i="2"/>
  <c r="RC67" i="2"/>
  <c r="RC68" i="2"/>
  <c r="RC75" i="2"/>
  <c r="RC100" i="2"/>
  <c r="RC69" i="2"/>
  <c r="RC76" i="2"/>
  <c r="RC101" i="2"/>
  <c r="RC70" i="2"/>
  <c r="RC77" i="2"/>
  <c r="RC102" i="2"/>
  <c r="RC71" i="2"/>
  <c r="RC78" i="2"/>
  <c r="RC103" i="2"/>
  <c r="RC72" i="2"/>
  <c r="RC79" i="2"/>
  <c r="RC104" i="2"/>
  <c r="RC117" i="2"/>
  <c r="RC93" i="2"/>
  <c r="RC94" i="2"/>
  <c r="RC95" i="2"/>
  <c r="RC96" i="2"/>
  <c r="RC97" i="2"/>
  <c r="RC113" i="2"/>
  <c r="RD66" i="2"/>
  <c r="RD67" i="2"/>
  <c r="RD68" i="2"/>
  <c r="RD75" i="2"/>
  <c r="RD100" i="2"/>
  <c r="RD69" i="2"/>
  <c r="RD76" i="2"/>
  <c r="RD101" i="2"/>
  <c r="RD70" i="2"/>
  <c r="RD77" i="2"/>
  <c r="RD102" i="2"/>
  <c r="RD71" i="2"/>
  <c r="RD78" i="2"/>
  <c r="RD103" i="2"/>
  <c r="RD72" i="2"/>
  <c r="RD79" i="2"/>
  <c r="RD104" i="2"/>
  <c r="RD117" i="2"/>
  <c r="RD93" i="2"/>
  <c r="RD94" i="2"/>
  <c r="RD95" i="2"/>
  <c r="RD96" i="2"/>
  <c r="RD97" i="2"/>
  <c r="RD113" i="2"/>
  <c r="RE66" i="2"/>
  <c r="RE67" i="2"/>
  <c r="RE68" i="2"/>
  <c r="RE75" i="2"/>
  <c r="RE100" i="2"/>
  <c r="RE69" i="2"/>
  <c r="RE76" i="2"/>
  <c r="RE101" i="2"/>
  <c r="RE70" i="2"/>
  <c r="RE77" i="2"/>
  <c r="RE102" i="2"/>
  <c r="RE71" i="2"/>
  <c r="RE78" i="2"/>
  <c r="RE103" i="2"/>
  <c r="RE72" i="2"/>
  <c r="RE79" i="2"/>
  <c r="RE104" i="2"/>
  <c r="RE117" i="2"/>
  <c r="RE93" i="2"/>
  <c r="RE94" i="2"/>
  <c r="RE95" i="2"/>
  <c r="RE96" i="2"/>
  <c r="RE97" i="2"/>
  <c r="RE113" i="2"/>
  <c r="RF66" i="2"/>
  <c r="RF67" i="2"/>
  <c r="RF68" i="2"/>
  <c r="RF75" i="2"/>
  <c r="RF100" i="2"/>
  <c r="RF69" i="2"/>
  <c r="RF76" i="2"/>
  <c r="RF101" i="2"/>
  <c r="RF70" i="2"/>
  <c r="RF77" i="2"/>
  <c r="RF102" i="2"/>
  <c r="RF71" i="2"/>
  <c r="RF78" i="2"/>
  <c r="RF103" i="2"/>
  <c r="RF72" i="2"/>
  <c r="RF79" i="2"/>
  <c r="RF104" i="2"/>
  <c r="RF117" i="2"/>
  <c r="RF93" i="2"/>
  <c r="RF94" i="2"/>
  <c r="RF95" i="2"/>
  <c r="RF96" i="2"/>
  <c r="RF97" i="2"/>
  <c r="RF113" i="2"/>
  <c r="RG66" i="2"/>
  <c r="RG67" i="2"/>
  <c r="RG68" i="2"/>
  <c r="RG75" i="2"/>
  <c r="RG100" i="2"/>
  <c r="RG69" i="2"/>
  <c r="RG76" i="2"/>
  <c r="RG101" i="2"/>
  <c r="RG70" i="2"/>
  <c r="RG77" i="2"/>
  <c r="RG102" i="2"/>
  <c r="RG71" i="2"/>
  <c r="RG78" i="2"/>
  <c r="RG103" i="2"/>
  <c r="RG72" i="2"/>
  <c r="RG79" i="2"/>
  <c r="RG104" i="2"/>
  <c r="RG117" i="2"/>
  <c r="RG93" i="2"/>
  <c r="RG94" i="2"/>
  <c r="RG95" i="2"/>
  <c r="RG96" i="2"/>
  <c r="RG97" i="2"/>
  <c r="RG113" i="2"/>
  <c r="RH66" i="2"/>
  <c r="RH67" i="2"/>
  <c r="RH68" i="2"/>
  <c r="RH75" i="2"/>
  <c r="RH100" i="2"/>
  <c r="RH69" i="2"/>
  <c r="RH76" i="2"/>
  <c r="RH101" i="2"/>
  <c r="RH70" i="2"/>
  <c r="RH77" i="2"/>
  <c r="RH102" i="2"/>
  <c r="RH71" i="2"/>
  <c r="RH78" i="2"/>
  <c r="RH103" i="2"/>
  <c r="RH72" i="2"/>
  <c r="RH79" i="2"/>
  <c r="RH104" i="2"/>
  <c r="RH117" i="2"/>
  <c r="RH93" i="2"/>
  <c r="RH94" i="2"/>
  <c r="RH95" i="2"/>
  <c r="RH96" i="2"/>
  <c r="RH97" i="2"/>
  <c r="RH113" i="2"/>
  <c r="RI66" i="2"/>
  <c r="RI67" i="2"/>
  <c r="RI68" i="2"/>
  <c r="RI75" i="2"/>
  <c r="RI100" i="2"/>
  <c r="RI69" i="2"/>
  <c r="RI76" i="2"/>
  <c r="RI101" i="2"/>
  <c r="RI70" i="2"/>
  <c r="RI77" i="2"/>
  <c r="RI102" i="2"/>
  <c r="RI71" i="2"/>
  <c r="RI78" i="2"/>
  <c r="RI103" i="2"/>
  <c r="RI72" i="2"/>
  <c r="RI79" i="2"/>
  <c r="RI104" i="2"/>
  <c r="RI117" i="2"/>
  <c r="RI93" i="2"/>
  <c r="RI94" i="2"/>
  <c r="RI95" i="2"/>
  <c r="RI96" i="2"/>
  <c r="RI97" i="2"/>
  <c r="RI113" i="2"/>
  <c r="RJ66" i="2"/>
  <c r="RJ67" i="2"/>
  <c r="RJ68" i="2"/>
  <c r="RJ75" i="2"/>
  <c r="RJ100" i="2"/>
  <c r="RJ69" i="2"/>
  <c r="RJ76" i="2"/>
  <c r="RJ101" i="2"/>
  <c r="RJ70" i="2"/>
  <c r="RJ77" i="2"/>
  <c r="RJ102" i="2"/>
  <c r="RJ71" i="2"/>
  <c r="RJ78" i="2"/>
  <c r="RJ103" i="2"/>
  <c r="RJ72" i="2"/>
  <c r="RJ79" i="2"/>
  <c r="RJ104" i="2"/>
  <c r="RJ117" i="2"/>
  <c r="RJ93" i="2"/>
  <c r="RJ94" i="2"/>
  <c r="RJ95" i="2"/>
  <c r="RJ96" i="2"/>
  <c r="RJ97" i="2"/>
  <c r="RJ113" i="2"/>
  <c r="RK66" i="2"/>
  <c r="RK67" i="2"/>
  <c r="RK68" i="2"/>
  <c r="RK75" i="2"/>
  <c r="RK100" i="2"/>
  <c r="RK69" i="2"/>
  <c r="RK76" i="2"/>
  <c r="RK101" i="2"/>
  <c r="RK70" i="2"/>
  <c r="RK77" i="2"/>
  <c r="RK102" i="2"/>
  <c r="RK71" i="2"/>
  <c r="RK78" i="2"/>
  <c r="RK103" i="2"/>
  <c r="RK72" i="2"/>
  <c r="RK79" i="2"/>
  <c r="RK104" i="2"/>
  <c r="RK117" i="2"/>
  <c r="RK93" i="2"/>
  <c r="RK94" i="2"/>
  <c r="RK95" i="2"/>
  <c r="RK96" i="2"/>
  <c r="RK97" i="2"/>
  <c r="RK113" i="2"/>
  <c r="RL66" i="2"/>
  <c r="RL67" i="2"/>
  <c r="RL68" i="2"/>
  <c r="RL75" i="2"/>
  <c r="RL100" i="2"/>
  <c r="RL69" i="2"/>
  <c r="RL76" i="2"/>
  <c r="RL101" i="2"/>
  <c r="RL70" i="2"/>
  <c r="RL77" i="2"/>
  <c r="RL102" i="2"/>
  <c r="RL71" i="2"/>
  <c r="RL78" i="2"/>
  <c r="RL103" i="2"/>
  <c r="RL72" i="2"/>
  <c r="RL79" i="2"/>
  <c r="RL104" i="2"/>
  <c r="RL117" i="2"/>
  <c r="RL93" i="2"/>
  <c r="RL94" i="2"/>
  <c r="RL95" i="2"/>
  <c r="RL96" i="2"/>
  <c r="RL97" i="2"/>
  <c r="RL113" i="2"/>
  <c r="RM66" i="2"/>
  <c r="RM67" i="2"/>
  <c r="RM68" i="2"/>
  <c r="RM75" i="2"/>
  <c r="RM100" i="2"/>
  <c r="RM69" i="2"/>
  <c r="RM76" i="2"/>
  <c r="RM101" i="2"/>
  <c r="RM70" i="2"/>
  <c r="RM77" i="2"/>
  <c r="RM102" i="2"/>
  <c r="RM71" i="2"/>
  <c r="RM78" i="2"/>
  <c r="RM103" i="2"/>
  <c r="RM72" i="2"/>
  <c r="RM79" i="2"/>
  <c r="RM104" i="2"/>
  <c r="RM117" i="2"/>
  <c r="RM93" i="2"/>
  <c r="RM94" i="2"/>
  <c r="RM95" i="2"/>
  <c r="RM96" i="2"/>
  <c r="RM97" i="2"/>
  <c r="RM113" i="2"/>
  <c r="RN66" i="2"/>
  <c r="RN67" i="2"/>
  <c r="RN68" i="2"/>
  <c r="RN75" i="2"/>
  <c r="RN100" i="2"/>
  <c r="RN69" i="2"/>
  <c r="RN76" i="2"/>
  <c r="RN101" i="2"/>
  <c r="RN70" i="2"/>
  <c r="RN77" i="2"/>
  <c r="RN102" i="2"/>
  <c r="RN71" i="2"/>
  <c r="RN78" i="2"/>
  <c r="RN103" i="2"/>
  <c r="RN72" i="2"/>
  <c r="RN79" i="2"/>
  <c r="RN104" i="2"/>
  <c r="RN117" i="2"/>
  <c r="RN93" i="2"/>
  <c r="RN94" i="2"/>
  <c r="RN95" i="2"/>
  <c r="RN96" i="2"/>
  <c r="RN97" i="2"/>
  <c r="RN113" i="2"/>
  <c r="RO66" i="2"/>
  <c r="RO67" i="2"/>
  <c r="RO68" i="2"/>
  <c r="RO75" i="2"/>
  <c r="RO100" i="2"/>
  <c r="RO69" i="2"/>
  <c r="RO76" i="2"/>
  <c r="RO101" i="2"/>
  <c r="RO70" i="2"/>
  <c r="RO77" i="2"/>
  <c r="RO102" i="2"/>
  <c r="RO71" i="2"/>
  <c r="RO78" i="2"/>
  <c r="RO103" i="2"/>
  <c r="RO72" i="2"/>
  <c r="RO79" i="2"/>
  <c r="RO104" i="2"/>
  <c r="RO117" i="2"/>
  <c r="RO93" i="2"/>
  <c r="RO94" i="2"/>
  <c r="RO95" i="2"/>
  <c r="RO96" i="2"/>
  <c r="RO97" i="2"/>
  <c r="RO113" i="2"/>
  <c r="RP66" i="2"/>
  <c r="RP67" i="2"/>
  <c r="RP68" i="2"/>
  <c r="RP75" i="2"/>
  <c r="RP100" i="2"/>
  <c r="RP69" i="2"/>
  <c r="RP76" i="2"/>
  <c r="RP101" i="2"/>
  <c r="RP70" i="2"/>
  <c r="RP77" i="2"/>
  <c r="RP102" i="2"/>
  <c r="RP71" i="2"/>
  <c r="RP78" i="2"/>
  <c r="RP103" i="2"/>
  <c r="RP72" i="2"/>
  <c r="RP79" i="2"/>
  <c r="RP104" i="2"/>
  <c r="RP117" i="2"/>
  <c r="RP93" i="2"/>
  <c r="RP94" i="2"/>
  <c r="RP95" i="2"/>
  <c r="RP96" i="2"/>
  <c r="RP97" i="2"/>
  <c r="RP113" i="2"/>
  <c r="RQ66" i="2"/>
  <c r="RQ67" i="2"/>
  <c r="RQ68" i="2"/>
  <c r="RQ75" i="2"/>
  <c r="RQ100" i="2"/>
  <c r="RQ69" i="2"/>
  <c r="RQ76" i="2"/>
  <c r="RQ101" i="2"/>
  <c r="RQ70" i="2"/>
  <c r="RQ77" i="2"/>
  <c r="RQ102" i="2"/>
  <c r="RQ71" i="2"/>
  <c r="RQ78" i="2"/>
  <c r="RQ103" i="2"/>
  <c r="RQ72" i="2"/>
  <c r="RQ79" i="2"/>
  <c r="RQ104" i="2"/>
  <c r="RQ117" i="2"/>
  <c r="RQ93" i="2"/>
  <c r="RQ94" i="2"/>
  <c r="RQ95" i="2"/>
  <c r="RQ96" i="2"/>
  <c r="RQ97" i="2"/>
  <c r="RQ113" i="2"/>
  <c r="RR66" i="2"/>
  <c r="RR67" i="2"/>
  <c r="RR68" i="2"/>
  <c r="RR75" i="2"/>
  <c r="RR100" i="2"/>
  <c r="RR69" i="2"/>
  <c r="RR76" i="2"/>
  <c r="RR101" i="2"/>
  <c r="RR70" i="2"/>
  <c r="RR77" i="2"/>
  <c r="RR102" i="2"/>
  <c r="RR71" i="2"/>
  <c r="RR78" i="2"/>
  <c r="RR103" i="2"/>
  <c r="RR72" i="2"/>
  <c r="RR79" i="2"/>
  <c r="RR104" i="2"/>
  <c r="RR117" i="2"/>
  <c r="RR93" i="2"/>
  <c r="RR94" i="2"/>
  <c r="RR95" i="2"/>
  <c r="RR96" i="2"/>
  <c r="RR97" i="2"/>
  <c r="RR113" i="2"/>
  <c r="E66" i="2"/>
  <c r="E67" i="2"/>
  <c r="E68" i="2"/>
  <c r="E75" i="2"/>
  <c r="E100" i="2"/>
  <c r="E69" i="2"/>
  <c r="E76" i="2"/>
  <c r="E101" i="2"/>
  <c r="E70" i="2"/>
  <c r="E77" i="2"/>
  <c r="E102" i="2"/>
  <c r="E71" i="2"/>
  <c r="E78" i="2"/>
  <c r="E103" i="2"/>
  <c r="E72" i="2"/>
  <c r="E79" i="2"/>
  <c r="E104" i="2"/>
  <c r="E117" i="2"/>
  <c r="E110" i="2"/>
  <c r="E89" i="2"/>
  <c r="E111" i="2"/>
  <c r="E118" i="2"/>
  <c r="E119" i="2"/>
  <c r="E141" i="2"/>
  <c r="E245" i="2"/>
  <c r="E93" i="2"/>
  <c r="E94" i="2"/>
  <c r="E95" i="2"/>
  <c r="E96" i="2"/>
  <c r="E97" i="2"/>
  <c r="E113" i="2"/>
  <c r="E107" i="2"/>
  <c r="E108" i="2"/>
  <c r="E114" i="2"/>
  <c r="E115" i="2"/>
  <c r="E139" i="2"/>
  <c r="E244" i="2"/>
  <c r="E246" i="2"/>
  <c r="B124" i="2"/>
  <c r="E55" i="2"/>
  <c r="D55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C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D90" i="2"/>
  <c r="GD91" i="2"/>
  <c r="GE90" i="2"/>
  <c r="GE91" i="2"/>
  <c r="GF90" i="2"/>
  <c r="GF91" i="2"/>
  <c r="GG90" i="2"/>
  <c r="GG91" i="2"/>
  <c r="GH90" i="2"/>
  <c r="GH91" i="2"/>
  <c r="GI90" i="2"/>
  <c r="GI91" i="2"/>
  <c r="GJ90" i="2"/>
  <c r="GJ91" i="2"/>
  <c r="GK90" i="2"/>
  <c r="GK91" i="2"/>
  <c r="GL90" i="2"/>
  <c r="GL91" i="2"/>
  <c r="GM90" i="2"/>
  <c r="GM91" i="2"/>
  <c r="GN90" i="2"/>
  <c r="GN91" i="2"/>
  <c r="GO90" i="2"/>
  <c r="GO91" i="2"/>
  <c r="GP90" i="2"/>
  <c r="GP91" i="2"/>
  <c r="GQ90" i="2"/>
  <c r="GQ91" i="2"/>
  <c r="GR90" i="2"/>
  <c r="GR91" i="2"/>
  <c r="GS90" i="2"/>
  <c r="GS91" i="2"/>
  <c r="GT90" i="2"/>
  <c r="GT91" i="2"/>
  <c r="GU90" i="2"/>
  <c r="GU91" i="2"/>
  <c r="GV90" i="2"/>
  <c r="GV91" i="2"/>
  <c r="GW90" i="2"/>
  <c r="GW91" i="2"/>
  <c r="GX90" i="2"/>
  <c r="GX91" i="2"/>
  <c r="GY90" i="2"/>
  <c r="GY91" i="2"/>
  <c r="GZ90" i="2"/>
  <c r="GZ91" i="2"/>
  <c r="HA90" i="2"/>
  <c r="HA91" i="2"/>
  <c r="HB90" i="2"/>
  <c r="HB91" i="2"/>
  <c r="HC90" i="2"/>
  <c r="HC91" i="2"/>
  <c r="HD90" i="2"/>
  <c r="HD91" i="2"/>
  <c r="HE90" i="2"/>
  <c r="HE91" i="2"/>
  <c r="HF90" i="2"/>
  <c r="HF91" i="2"/>
  <c r="HG90" i="2"/>
  <c r="HG91" i="2"/>
  <c r="HH90" i="2"/>
  <c r="HH91" i="2"/>
  <c r="HI90" i="2"/>
  <c r="HI91" i="2"/>
  <c r="HJ90" i="2"/>
  <c r="HJ91" i="2"/>
  <c r="HK90" i="2"/>
  <c r="HK91" i="2"/>
  <c r="HL90" i="2"/>
  <c r="HL91" i="2"/>
  <c r="HM90" i="2"/>
  <c r="HM91" i="2"/>
  <c r="HN90" i="2"/>
  <c r="HN91" i="2"/>
  <c r="HO90" i="2"/>
  <c r="HO91" i="2"/>
  <c r="HP90" i="2"/>
  <c r="HP91" i="2"/>
  <c r="HQ90" i="2"/>
  <c r="HQ91" i="2"/>
  <c r="HR90" i="2"/>
  <c r="HR91" i="2"/>
  <c r="HS90" i="2"/>
  <c r="HS91" i="2"/>
  <c r="HT90" i="2"/>
  <c r="HT91" i="2"/>
  <c r="HU90" i="2"/>
  <c r="HU91" i="2"/>
  <c r="HV90" i="2"/>
  <c r="HV91" i="2"/>
  <c r="HW90" i="2"/>
  <c r="HW91" i="2"/>
  <c r="HX90" i="2"/>
  <c r="HX91" i="2"/>
  <c r="HY90" i="2"/>
  <c r="HY91" i="2"/>
  <c r="HZ90" i="2"/>
  <c r="HZ91" i="2"/>
  <c r="IA90" i="2"/>
  <c r="IA91" i="2"/>
  <c r="IB90" i="2"/>
  <c r="IB91" i="2"/>
  <c r="IC90" i="2"/>
  <c r="IC91" i="2"/>
  <c r="ID90" i="2"/>
  <c r="ID91" i="2"/>
  <c r="IE90" i="2"/>
  <c r="IE91" i="2"/>
  <c r="IF90" i="2"/>
  <c r="IF91" i="2"/>
  <c r="IG90" i="2"/>
  <c r="IG91" i="2"/>
  <c r="IH90" i="2"/>
  <c r="IH91" i="2"/>
  <c r="II90" i="2"/>
  <c r="II91" i="2"/>
  <c r="IJ90" i="2"/>
  <c r="IJ91" i="2"/>
  <c r="IK90" i="2"/>
  <c r="IK91" i="2"/>
  <c r="IL90" i="2"/>
  <c r="IL91" i="2"/>
  <c r="IM90" i="2"/>
  <c r="IM91" i="2"/>
  <c r="IN90" i="2"/>
  <c r="IN91" i="2"/>
  <c r="IO90" i="2"/>
  <c r="IO91" i="2"/>
  <c r="IP90" i="2"/>
  <c r="IP91" i="2"/>
  <c r="IQ90" i="2"/>
  <c r="IQ91" i="2"/>
  <c r="IR90" i="2"/>
  <c r="IR91" i="2"/>
  <c r="IS90" i="2"/>
  <c r="IS91" i="2"/>
  <c r="IT90" i="2"/>
  <c r="IT91" i="2"/>
  <c r="IU90" i="2"/>
  <c r="IU91" i="2"/>
  <c r="IV90" i="2"/>
  <c r="IV91" i="2"/>
  <c r="IW90" i="2"/>
  <c r="IW91" i="2"/>
  <c r="IX90" i="2"/>
  <c r="IX91" i="2"/>
  <c r="IY90" i="2"/>
  <c r="IY91" i="2"/>
  <c r="IZ90" i="2"/>
  <c r="IZ91" i="2"/>
  <c r="JA90" i="2"/>
  <c r="JA91" i="2"/>
  <c r="JB90" i="2"/>
  <c r="JB91" i="2"/>
  <c r="JC90" i="2"/>
  <c r="JC91" i="2"/>
  <c r="JD90" i="2"/>
  <c r="JD91" i="2"/>
  <c r="JE90" i="2"/>
  <c r="JE91" i="2"/>
  <c r="JF90" i="2"/>
  <c r="JF91" i="2"/>
  <c r="JG90" i="2"/>
  <c r="JG91" i="2"/>
  <c r="JH90" i="2"/>
  <c r="JH91" i="2"/>
  <c r="JI90" i="2"/>
  <c r="JI91" i="2"/>
  <c r="JJ90" i="2"/>
  <c r="JJ91" i="2"/>
  <c r="JK90" i="2"/>
  <c r="JK91" i="2"/>
  <c r="JL90" i="2"/>
  <c r="JL91" i="2"/>
  <c r="JM90" i="2"/>
  <c r="JM91" i="2"/>
  <c r="JN90" i="2"/>
  <c r="JN91" i="2"/>
  <c r="JO90" i="2"/>
  <c r="JO91" i="2"/>
  <c r="JP90" i="2"/>
  <c r="JP91" i="2"/>
  <c r="JQ90" i="2"/>
  <c r="JQ91" i="2"/>
  <c r="JR90" i="2"/>
  <c r="JR91" i="2"/>
  <c r="JS90" i="2"/>
  <c r="JS91" i="2"/>
  <c r="JT90" i="2"/>
  <c r="JT91" i="2"/>
  <c r="JU90" i="2"/>
  <c r="JU91" i="2"/>
  <c r="JV90" i="2"/>
  <c r="JV91" i="2"/>
  <c r="JW90" i="2"/>
  <c r="JW91" i="2"/>
  <c r="JX90" i="2"/>
  <c r="JX91" i="2"/>
  <c r="JY90" i="2"/>
  <c r="JY91" i="2"/>
  <c r="JZ90" i="2"/>
  <c r="JZ91" i="2"/>
  <c r="KA90" i="2"/>
  <c r="KA91" i="2"/>
  <c r="KB90" i="2"/>
  <c r="KB91" i="2"/>
  <c r="KC90" i="2"/>
  <c r="KC91" i="2"/>
  <c r="KD90" i="2"/>
  <c r="KD91" i="2"/>
  <c r="KE90" i="2"/>
  <c r="KE91" i="2"/>
  <c r="KF90" i="2"/>
  <c r="KF91" i="2"/>
  <c r="KG90" i="2"/>
  <c r="KG91" i="2"/>
  <c r="KH90" i="2"/>
  <c r="KH91" i="2"/>
  <c r="KI90" i="2"/>
  <c r="KI91" i="2"/>
  <c r="KJ90" i="2"/>
  <c r="KJ91" i="2"/>
  <c r="KK90" i="2"/>
  <c r="KK91" i="2"/>
  <c r="KL90" i="2"/>
  <c r="KL91" i="2"/>
  <c r="KM90" i="2"/>
  <c r="KM91" i="2"/>
  <c r="KN90" i="2"/>
  <c r="KN91" i="2"/>
  <c r="KO90" i="2"/>
  <c r="KO91" i="2"/>
  <c r="KP90" i="2"/>
  <c r="KP91" i="2"/>
  <c r="KQ90" i="2"/>
  <c r="KQ91" i="2"/>
  <c r="KR90" i="2"/>
  <c r="KR91" i="2"/>
  <c r="KS90" i="2"/>
  <c r="KS91" i="2"/>
  <c r="KT90" i="2"/>
  <c r="KT91" i="2"/>
  <c r="KU90" i="2"/>
  <c r="KU91" i="2"/>
  <c r="KV90" i="2"/>
  <c r="KV91" i="2"/>
  <c r="KW90" i="2"/>
  <c r="KW91" i="2"/>
  <c r="KX90" i="2"/>
  <c r="KX91" i="2"/>
  <c r="KY90" i="2"/>
  <c r="KY91" i="2"/>
  <c r="KZ90" i="2"/>
  <c r="KZ91" i="2"/>
  <c r="LA90" i="2"/>
  <c r="LA91" i="2"/>
  <c r="LB90" i="2"/>
  <c r="LB91" i="2"/>
  <c r="LC90" i="2"/>
  <c r="LC91" i="2"/>
  <c r="LD90" i="2"/>
  <c r="LD91" i="2"/>
  <c r="LE90" i="2"/>
  <c r="LE91" i="2"/>
  <c r="LF90" i="2"/>
  <c r="LF91" i="2"/>
  <c r="LG90" i="2"/>
  <c r="LG91" i="2"/>
  <c r="LH90" i="2"/>
  <c r="LH91" i="2"/>
  <c r="LI90" i="2"/>
  <c r="LI91" i="2"/>
  <c r="LJ90" i="2"/>
  <c r="LJ91" i="2"/>
  <c r="LK90" i="2"/>
  <c r="LK91" i="2"/>
  <c r="LL90" i="2"/>
  <c r="LL91" i="2"/>
  <c r="LM90" i="2"/>
  <c r="LM91" i="2"/>
  <c r="LN90" i="2"/>
  <c r="LN91" i="2"/>
  <c r="LO90" i="2"/>
  <c r="LO91" i="2"/>
  <c r="LP90" i="2"/>
  <c r="LP91" i="2"/>
  <c r="LQ90" i="2"/>
  <c r="LQ91" i="2"/>
  <c r="LR90" i="2"/>
  <c r="LR91" i="2"/>
  <c r="LS90" i="2"/>
  <c r="LS91" i="2"/>
  <c r="LT90" i="2"/>
  <c r="LT91" i="2"/>
  <c r="LU90" i="2"/>
  <c r="LU91" i="2"/>
  <c r="LV90" i="2"/>
  <c r="LV91" i="2"/>
  <c r="LW90" i="2"/>
  <c r="LW91" i="2"/>
  <c r="LX90" i="2"/>
  <c r="LX91" i="2"/>
  <c r="LY90" i="2"/>
  <c r="LY91" i="2"/>
  <c r="LZ90" i="2"/>
  <c r="LZ91" i="2"/>
  <c r="MA90" i="2"/>
  <c r="MA91" i="2"/>
  <c r="MB90" i="2"/>
  <c r="MB91" i="2"/>
  <c r="MC90" i="2"/>
  <c r="MC91" i="2"/>
  <c r="MD90" i="2"/>
  <c r="MD91" i="2"/>
  <c r="ME90" i="2"/>
  <c r="ME91" i="2"/>
  <c r="MF90" i="2"/>
  <c r="MF91" i="2"/>
  <c r="MG90" i="2"/>
  <c r="MG91" i="2"/>
  <c r="MH90" i="2"/>
  <c r="MH91" i="2"/>
  <c r="MI90" i="2"/>
  <c r="MI91" i="2"/>
  <c r="MJ90" i="2"/>
  <c r="MJ91" i="2"/>
  <c r="MK90" i="2"/>
  <c r="MK91" i="2"/>
  <c r="ML90" i="2"/>
  <c r="ML91" i="2"/>
  <c r="MM90" i="2"/>
  <c r="MM91" i="2"/>
  <c r="MN90" i="2"/>
  <c r="MN91" i="2"/>
  <c r="MO90" i="2"/>
  <c r="MO91" i="2"/>
  <c r="MP90" i="2"/>
  <c r="MP91" i="2"/>
  <c r="MQ90" i="2"/>
  <c r="MQ91" i="2"/>
  <c r="MR90" i="2"/>
  <c r="MR91" i="2"/>
  <c r="MS90" i="2"/>
  <c r="MS91" i="2"/>
  <c r="MT90" i="2"/>
  <c r="MT91" i="2"/>
  <c r="MU90" i="2"/>
  <c r="MU91" i="2"/>
  <c r="MV90" i="2"/>
  <c r="MV91" i="2"/>
  <c r="MW90" i="2"/>
  <c r="MW91" i="2"/>
  <c r="MX90" i="2"/>
  <c r="MX91" i="2"/>
  <c r="MY90" i="2"/>
  <c r="MY91" i="2"/>
  <c r="MZ90" i="2"/>
  <c r="MZ91" i="2"/>
  <c r="NA90" i="2"/>
  <c r="NA91" i="2"/>
  <c r="NB90" i="2"/>
  <c r="NB91" i="2"/>
  <c r="NC90" i="2"/>
  <c r="NC91" i="2"/>
  <c r="ND90" i="2"/>
  <c r="ND91" i="2"/>
  <c r="NE90" i="2"/>
  <c r="NE91" i="2"/>
  <c r="NF90" i="2"/>
  <c r="NF91" i="2"/>
  <c r="NG90" i="2"/>
  <c r="NG91" i="2"/>
  <c r="NH90" i="2"/>
  <c r="NH91" i="2"/>
  <c r="NI90" i="2"/>
  <c r="NI91" i="2"/>
  <c r="NJ90" i="2"/>
  <c r="NJ91" i="2"/>
  <c r="NK90" i="2"/>
  <c r="NK91" i="2"/>
  <c r="NL90" i="2"/>
  <c r="NL91" i="2"/>
  <c r="NM90" i="2"/>
  <c r="NM91" i="2"/>
  <c r="NN90" i="2"/>
  <c r="NN91" i="2"/>
  <c r="NO90" i="2"/>
  <c r="NO91" i="2"/>
  <c r="NP90" i="2"/>
  <c r="NP91" i="2"/>
  <c r="NQ90" i="2"/>
  <c r="NQ91" i="2"/>
  <c r="NR90" i="2"/>
  <c r="NR91" i="2"/>
  <c r="NS90" i="2"/>
  <c r="NS91" i="2"/>
  <c r="NT90" i="2"/>
  <c r="NT91" i="2"/>
  <c r="NU90" i="2"/>
  <c r="NU91" i="2"/>
  <c r="NV90" i="2"/>
  <c r="NV91" i="2"/>
  <c r="NW90" i="2"/>
  <c r="NW91" i="2"/>
  <c r="NX90" i="2"/>
  <c r="NX91" i="2"/>
  <c r="NY90" i="2"/>
  <c r="NY91" i="2"/>
  <c r="NZ90" i="2"/>
  <c r="NZ91" i="2"/>
  <c r="OA90" i="2"/>
  <c r="OA91" i="2"/>
  <c r="OB90" i="2"/>
  <c r="OB91" i="2"/>
  <c r="OC90" i="2"/>
  <c r="OC91" i="2"/>
  <c r="OD90" i="2"/>
  <c r="OD91" i="2"/>
  <c r="OE90" i="2"/>
  <c r="OE91" i="2"/>
  <c r="OF90" i="2"/>
  <c r="OF91" i="2"/>
  <c r="OG90" i="2"/>
  <c r="OG91" i="2"/>
  <c r="OH90" i="2"/>
  <c r="OH91" i="2"/>
  <c r="OI90" i="2"/>
  <c r="OI91" i="2"/>
  <c r="OJ90" i="2"/>
  <c r="OJ91" i="2"/>
  <c r="OK90" i="2"/>
  <c r="OK91" i="2"/>
  <c r="OL90" i="2"/>
  <c r="OL91" i="2"/>
  <c r="OM90" i="2"/>
  <c r="OM91" i="2"/>
  <c r="ON90" i="2"/>
  <c r="ON91" i="2"/>
  <c r="OO90" i="2"/>
  <c r="OO91" i="2"/>
  <c r="OP90" i="2"/>
  <c r="OP91" i="2"/>
  <c r="OQ90" i="2"/>
  <c r="OQ91" i="2"/>
  <c r="OR90" i="2"/>
  <c r="OR91" i="2"/>
  <c r="OS90" i="2"/>
  <c r="OS91" i="2"/>
  <c r="OT90" i="2"/>
  <c r="OT91" i="2"/>
  <c r="OU90" i="2"/>
  <c r="OU91" i="2"/>
  <c r="OV90" i="2"/>
  <c r="OV91" i="2"/>
  <c r="OW90" i="2"/>
  <c r="OW91" i="2"/>
  <c r="OX90" i="2"/>
  <c r="OX91" i="2"/>
  <c r="OY90" i="2"/>
  <c r="OY91" i="2"/>
  <c r="OZ90" i="2"/>
  <c r="OZ91" i="2"/>
  <c r="PA90" i="2"/>
  <c r="PA91" i="2"/>
  <c r="PB90" i="2"/>
  <c r="PB91" i="2"/>
  <c r="PC90" i="2"/>
  <c r="PC91" i="2"/>
  <c r="PD90" i="2"/>
  <c r="PD91" i="2"/>
  <c r="PE90" i="2"/>
  <c r="PE91" i="2"/>
  <c r="PF90" i="2"/>
  <c r="PF91" i="2"/>
  <c r="PG90" i="2"/>
  <c r="PG91" i="2"/>
  <c r="PH90" i="2"/>
  <c r="PH91" i="2"/>
  <c r="PI90" i="2"/>
  <c r="PI91" i="2"/>
  <c r="PJ90" i="2"/>
  <c r="PJ91" i="2"/>
  <c r="PK90" i="2"/>
  <c r="PK91" i="2"/>
  <c r="PL90" i="2"/>
  <c r="PL91" i="2"/>
  <c r="PM90" i="2"/>
  <c r="PM91" i="2"/>
  <c r="PN90" i="2"/>
  <c r="PN91" i="2"/>
  <c r="PO90" i="2"/>
  <c r="PO91" i="2"/>
  <c r="PP90" i="2"/>
  <c r="PP91" i="2"/>
  <c r="PQ90" i="2"/>
  <c r="PQ91" i="2"/>
  <c r="PR90" i="2"/>
  <c r="PR91" i="2"/>
  <c r="PS90" i="2"/>
  <c r="PS91" i="2"/>
  <c r="PT90" i="2"/>
  <c r="PT91" i="2"/>
  <c r="PU90" i="2"/>
  <c r="PU91" i="2"/>
  <c r="PV90" i="2"/>
  <c r="PV91" i="2"/>
  <c r="PW90" i="2"/>
  <c r="PW91" i="2"/>
  <c r="PX90" i="2"/>
  <c r="PX91" i="2"/>
  <c r="PY90" i="2"/>
  <c r="PY91" i="2"/>
  <c r="PZ90" i="2"/>
  <c r="PZ91" i="2"/>
  <c r="QA90" i="2"/>
  <c r="QA91" i="2"/>
  <c r="QB90" i="2"/>
  <c r="QB91" i="2"/>
  <c r="QC90" i="2"/>
  <c r="QC91" i="2"/>
  <c r="QD90" i="2"/>
  <c r="QD91" i="2"/>
  <c r="QE90" i="2"/>
  <c r="QE91" i="2"/>
  <c r="QF90" i="2"/>
  <c r="QF91" i="2"/>
  <c r="QG90" i="2"/>
  <c r="QG91" i="2"/>
  <c r="QH90" i="2"/>
  <c r="QH91" i="2"/>
  <c r="QI90" i="2"/>
  <c r="QI91" i="2"/>
  <c r="QJ90" i="2"/>
  <c r="QJ91" i="2"/>
  <c r="QK90" i="2"/>
  <c r="QK91" i="2"/>
  <c r="QL90" i="2"/>
  <c r="QL91" i="2"/>
  <c r="QM90" i="2"/>
  <c r="QM91" i="2"/>
  <c r="QN90" i="2"/>
  <c r="QN91" i="2"/>
  <c r="QO90" i="2"/>
  <c r="QO91" i="2"/>
  <c r="QP90" i="2"/>
  <c r="QP91" i="2"/>
  <c r="QQ90" i="2"/>
  <c r="QQ91" i="2"/>
  <c r="QR90" i="2"/>
  <c r="QR91" i="2"/>
  <c r="QS90" i="2"/>
  <c r="QS91" i="2"/>
  <c r="QT90" i="2"/>
  <c r="QT91" i="2"/>
  <c r="QU90" i="2"/>
  <c r="QU91" i="2"/>
  <c r="QV90" i="2"/>
  <c r="QV91" i="2"/>
  <c r="QW90" i="2"/>
  <c r="QW91" i="2"/>
  <c r="QX90" i="2"/>
  <c r="QX91" i="2"/>
  <c r="QY90" i="2"/>
  <c r="QY91" i="2"/>
  <c r="QZ90" i="2"/>
  <c r="QZ91" i="2"/>
  <c r="RA90" i="2"/>
  <c r="RA91" i="2"/>
  <c r="RB90" i="2"/>
  <c r="RB91" i="2"/>
  <c r="RC90" i="2"/>
  <c r="RC91" i="2"/>
  <c r="RD90" i="2"/>
  <c r="RD91" i="2"/>
  <c r="RE90" i="2"/>
  <c r="RE91" i="2"/>
  <c r="RF90" i="2"/>
  <c r="RF91" i="2"/>
  <c r="RG90" i="2"/>
  <c r="RG91" i="2"/>
  <c r="RH90" i="2"/>
  <c r="RH91" i="2"/>
  <c r="RI90" i="2"/>
  <c r="RI91" i="2"/>
  <c r="RJ90" i="2"/>
  <c r="RJ91" i="2"/>
  <c r="RK90" i="2"/>
  <c r="RK91" i="2"/>
  <c r="RL90" i="2"/>
  <c r="RL91" i="2"/>
  <c r="RM90" i="2"/>
  <c r="RM91" i="2"/>
  <c r="RN90" i="2"/>
  <c r="RN91" i="2"/>
  <c r="RO90" i="2"/>
  <c r="RO91" i="2"/>
  <c r="RP90" i="2"/>
  <c r="RP91" i="2"/>
  <c r="RQ90" i="2"/>
  <c r="RQ91" i="2"/>
  <c r="RR90" i="2"/>
  <c r="RR91" i="2"/>
  <c r="E91" i="2"/>
  <c r="I45" i="2"/>
  <c r="E87" i="2"/>
  <c r="O4" i="6"/>
  <c r="R4" i="6"/>
  <c r="O5" i="6"/>
  <c r="R5" i="6"/>
  <c r="O6" i="6"/>
  <c r="O7" i="6"/>
  <c r="O8" i="6"/>
  <c r="O9" i="6"/>
  <c r="O10" i="6"/>
  <c r="O11" i="6"/>
  <c r="O12" i="6"/>
  <c r="O13" i="6"/>
  <c r="O14" i="6"/>
  <c r="O15" i="6"/>
  <c r="O16" i="6"/>
  <c r="O17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V7" i="6"/>
  <c r="L5" i="6"/>
  <c r="L6" i="6"/>
  <c r="L7" i="6"/>
  <c r="L8" i="6"/>
  <c r="L9" i="6"/>
  <c r="L10" i="6"/>
  <c r="L11" i="6"/>
  <c r="L12" i="6"/>
  <c r="L13" i="6"/>
  <c r="L14" i="6"/>
  <c r="L15" i="6"/>
  <c r="L16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V5" i="6"/>
  <c r="V6" i="6"/>
  <c r="AB5" i="6"/>
  <c r="R192" i="6"/>
  <c r="R193" i="6"/>
  <c r="R194" i="6"/>
  <c r="O192" i="6"/>
  <c r="O193" i="6"/>
  <c r="O194" i="6"/>
  <c r="AB4" i="6"/>
  <c r="I183" i="6"/>
  <c r="I184" i="6"/>
  <c r="I185" i="6"/>
  <c r="I186" i="6"/>
  <c r="I187" i="6"/>
  <c r="I188" i="6"/>
  <c r="I189" i="6"/>
  <c r="I190" i="6"/>
  <c r="I191" i="6"/>
  <c r="E183" i="6"/>
  <c r="E184" i="6"/>
  <c r="E185" i="6"/>
  <c r="E186" i="6"/>
  <c r="E187" i="6"/>
  <c r="E188" i="6"/>
  <c r="E189" i="6"/>
  <c r="E190" i="6"/>
  <c r="E191" i="6"/>
  <c r="C183" i="6"/>
  <c r="C184" i="6"/>
  <c r="C185" i="6"/>
  <c r="C186" i="6"/>
  <c r="C187" i="6"/>
  <c r="C188" i="6"/>
  <c r="C189" i="6"/>
  <c r="C190" i="6"/>
  <c r="C191" i="6"/>
  <c r="I182" i="6"/>
  <c r="C182" i="6"/>
  <c r="E182" i="6"/>
  <c r="B55" i="2"/>
  <c r="E46" i="2"/>
  <c r="E4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ND87" i="2"/>
  <c r="NE87" i="2"/>
  <c r="NF87" i="2"/>
  <c r="NG87" i="2"/>
  <c r="NH87" i="2"/>
  <c r="NI87" i="2"/>
  <c r="NJ87" i="2"/>
  <c r="NK87" i="2"/>
  <c r="NL87" i="2"/>
  <c r="NM87" i="2"/>
  <c r="NN87" i="2"/>
  <c r="NO87" i="2"/>
  <c r="NP87" i="2"/>
  <c r="NQ87" i="2"/>
  <c r="NR87" i="2"/>
  <c r="NS87" i="2"/>
  <c r="NT87" i="2"/>
  <c r="NU87" i="2"/>
  <c r="NV87" i="2"/>
  <c r="NW87" i="2"/>
  <c r="NX87" i="2"/>
  <c r="NY87" i="2"/>
  <c r="NZ87" i="2"/>
  <c r="OA87" i="2"/>
  <c r="OB87" i="2"/>
  <c r="OC87" i="2"/>
  <c r="OD87" i="2"/>
  <c r="OE87" i="2"/>
  <c r="OF87" i="2"/>
  <c r="OG87" i="2"/>
  <c r="OH87" i="2"/>
  <c r="OI87" i="2"/>
  <c r="OJ87" i="2"/>
  <c r="OK87" i="2"/>
  <c r="OL87" i="2"/>
  <c r="OM87" i="2"/>
  <c r="ON87" i="2"/>
  <c r="OO87" i="2"/>
  <c r="OP87" i="2"/>
  <c r="OQ87" i="2"/>
  <c r="OR87" i="2"/>
  <c r="OS87" i="2"/>
  <c r="OT87" i="2"/>
  <c r="OU87" i="2"/>
  <c r="OV87" i="2"/>
  <c r="OW87" i="2"/>
  <c r="OX87" i="2"/>
  <c r="OY87" i="2"/>
  <c r="OZ87" i="2"/>
  <c r="PA87" i="2"/>
  <c r="PB87" i="2"/>
  <c r="PC87" i="2"/>
  <c r="PD87" i="2"/>
  <c r="PE87" i="2"/>
  <c r="PF87" i="2"/>
  <c r="PG87" i="2"/>
  <c r="PH87" i="2"/>
  <c r="PI87" i="2"/>
  <c r="PJ87" i="2"/>
  <c r="PK87" i="2"/>
  <c r="PL87" i="2"/>
  <c r="PM87" i="2"/>
  <c r="PN87" i="2"/>
  <c r="PO87" i="2"/>
  <c r="PP87" i="2"/>
  <c r="PQ87" i="2"/>
  <c r="PR87" i="2"/>
  <c r="PS87" i="2"/>
  <c r="PT87" i="2"/>
  <c r="PU87" i="2"/>
  <c r="PV87" i="2"/>
  <c r="PW87" i="2"/>
  <c r="PX87" i="2"/>
  <c r="PY87" i="2"/>
  <c r="PZ87" i="2"/>
  <c r="QA87" i="2"/>
  <c r="QB87" i="2"/>
  <c r="QC87" i="2"/>
  <c r="QD87" i="2"/>
  <c r="QE87" i="2"/>
  <c r="QF87" i="2"/>
  <c r="QG87" i="2"/>
  <c r="QH87" i="2"/>
  <c r="QI87" i="2"/>
  <c r="QJ87" i="2"/>
  <c r="QK87" i="2"/>
  <c r="QL87" i="2"/>
  <c r="QM87" i="2"/>
  <c r="QN87" i="2"/>
  <c r="QO87" i="2"/>
  <c r="QP87" i="2"/>
  <c r="QQ87" i="2"/>
  <c r="QR87" i="2"/>
  <c r="QS87" i="2"/>
  <c r="QT87" i="2"/>
  <c r="QU87" i="2"/>
  <c r="QV87" i="2"/>
  <c r="QW87" i="2"/>
  <c r="QX87" i="2"/>
  <c r="QY87" i="2"/>
  <c r="QZ87" i="2"/>
  <c r="RA87" i="2"/>
  <c r="RB87" i="2"/>
  <c r="RC87" i="2"/>
  <c r="RD87" i="2"/>
  <c r="RE87" i="2"/>
  <c r="RF87" i="2"/>
  <c r="RG87" i="2"/>
  <c r="RH87" i="2"/>
  <c r="RI87" i="2"/>
  <c r="RJ87" i="2"/>
  <c r="RK87" i="2"/>
  <c r="RL87" i="2"/>
  <c r="RM87" i="2"/>
  <c r="RN87" i="2"/>
  <c r="RO87" i="2"/>
  <c r="RP87" i="2"/>
  <c r="RQ87" i="2"/>
  <c r="RR87" i="2"/>
  <c r="G46" i="2"/>
  <c r="V22" i="6"/>
  <c r="V21" i="6"/>
  <c r="Y19" i="6"/>
  <c r="X19" i="6"/>
  <c r="W19" i="6"/>
  <c r="V20" i="6"/>
  <c r="E203" i="2"/>
  <c r="E239" i="2"/>
  <c r="F203" i="2"/>
  <c r="F239" i="2"/>
  <c r="G203" i="2"/>
  <c r="G239" i="2"/>
  <c r="H203" i="2"/>
  <c r="H239" i="2"/>
  <c r="I203" i="2"/>
  <c r="I239" i="2"/>
  <c r="J203" i="2"/>
  <c r="J239" i="2"/>
  <c r="K203" i="2"/>
  <c r="K239" i="2"/>
  <c r="L203" i="2"/>
  <c r="L239" i="2"/>
  <c r="M203" i="2"/>
  <c r="M239" i="2"/>
  <c r="N203" i="2"/>
  <c r="N239" i="2"/>
  <c r="O203" i="2"/>
  <c r="O239" i="2"/>
  <c r="P203" i="2"/>
  <c r="P239" i="2"/>
  <c r="Q203" i="2"/>
  <c r="Q239" i="2"/>
  <c r="R203" i="2"/>
  <c r="R239" i="2"/>
  <c r="S203" i="2"/>
  <c r="S239" i="2"/>
  <c r="T203" i="2"/>
  <c r="T239" i="2"/>
  <c r="U203" i="2"/>
  <c r="U239" i="2"/>
  <c r="V203" i="2"/>
  <c r="V239" i="2"/>
  <c r="W203" i="2"/>
  <c r="W239" i="2"/>
  <c r="X203" i="2"/>
  <c r="X239" i="2"/>
  <c r="Y203" i="2"/>
  <c r="Y239" i="2"/>
  <c r="Z203" i="2"/>
  <c r="Z239" i="2"/>
  <c r="AA203" i="2"/>
  <c r="AA239" i="2"/>
  <c r="AB203" i="2"/>
  <c r="AB239" i="2"/>
  <c r="AC203" i="2"/>
  <c r="AC239" i="2"/>
  <c r="AD203" i="2"/>
  <c r="AD239" i="2"/>
  <c r="AE203" i="2"/>
  <c r="AE239" i="2"/>
  <c r="AF203" i="2"/>
  <c r="AF239" i="2"/>
  <c r="AG203" i="2"/>
  <c r="AG239" i="2"/>
  <c r="AH203" i="2"/>
  <c r="AH239" i="2"/>
  <c r="AI203" i="2"/>
  <c r="AI239" i="2"/>
  <c r="AJ203" i="2"/>
  <c r="AJ239" i="2"/>
  <c r="AK203" i="2"/>
  <c r="AK239" i="2"/>
  <c r="AL203" i="2"/>
  <c r="AL239" i="2"/>
  <c r="AM203" i="2"/>
  <c r="AM239" i="2"/>
  <c r="AN203" i="2"/>
  <c r="AN239" i="2"/>
  <c r="AO203" i="2"/>
  <c r="AO239" i="2"/>
  <c r="AP203" i="2"/>
  <c r="AP239" i="2"/>
  <c r="AQ203" i="2"/>
  <c r="AQ239" i="2"/>
  <c r="AR203" i="2"/>
  <c r="AR239" i="2"/>
  <c r="AS203" i="2"/>
  <c r="AS239" i="2"/>
  <c r="AT203" i="2"/>
  <c r="AT239" i="2"/>
  <c r="AU203" i="2"/>
  <c r="AU239" i="2"/>
  <c r="AV203" i="2"/>
  <c r="AV239" i="2"/>
  <c r="AW203" i="2"/>
  <c r="AW239" i="2"/>
  <c r="AX203" i="2"/>
  <c r="AX239" i="2"/>
  <c r="AY203" i="2"/>
  <c r="AY239" i="2"/>
  <c r="AZ203" i="2"/>
  <c r="AZ239" i="2"/>
  <c r="BA203" i="2"/>
  <c r="BA239" i="2"/>
  <c r="BB203" i="2"/>
  <c r="BB239" i="2"/>
  <c r="BC203" i="2"/>
  <c r="BC239" i="2"/>
  <c r="BD203" i="2"/>
  <c r="BD239" i="2"/>
  <c r="BE203" i="2"/>
  <c r="BE239" i="2"/>
  <c r="BF203" i="2"/>
  <c r="BF239" i="2"/>
  <c r="BG203" i="2"/>
  <c r="BG239" i="2"/>
  <c r="BH203" i="2"/>
  <c r="BH239" i="2"/>
  <c r="BI203" i="2"/>
  <c r="BI239" i="2"/>
  <c r="BJ203" i="2"/>
  <c r="BJ239" i="2"/>
  <c r="BK203" i="2"/>
  <c r="BK239" i="2"/>
  <c r="BL203" i="2"/>
  <c r="BL239" i="2"/>
  <c r="BM203" i="2"/>
  <c r="BM239" i="2"/>
  <c r="BN203" i="2"/>
  <c r="BN239" i="2"/>
  <c r="BO203" i="2"/>
  <c r="BO239" i="2"/>
  <c r="BP203" i="2"/>
  <c r="BP239" i="2"/>
  <c r="BQ203" i="2"/>
  <c r="BQ239" i="2"/>
  <c r="BR203" i="2"/>
  <c r="BR239" i="2"/>
  <c r="BS203" i="2"/>
  <c r="BS239" i="2"/>
  <c r="BT203" i="2"/>
  <c r="BT239" i="2"/>
  <c r="BU203" i="2"/>
  <c r="BU239" i="2"/>
  <c r="BV203" i="2"/>
  <c r="BV239" i="2"/>
  <c r="BW203" i="2"/>
  <c r="BW239" i="2"/>
  <c r="BX203" i="2"/>
  <c r="BX239" i="2"/>
  <c r="BY203" i="2"/>
  <c r="BY239" i="2"/>
  <c r="BZ203" i="2"/>
  <c r="BZ239" i="2"/>
  <c r="CA203" i="2"/>
  <c r="CA239" i="2"/>
  <c r="CB203" i="2"/>
  <c r="CB239" i="2"/>
  <c r="CC203" i="2"/>
  <c r="CC239" i="2"/>
  <c r="CD203" i="2"/>
  <c r="CD239" i="2"/>
  <c r="CE203" i="2"/>
  <c r="CE239" i="2"/>
  <c r="CF203" i="2"/>
  <c r="CF239" i="2"/>
  <c r="CG203" i="2"/>
  <c r="CG239" i="2"/>
  <c r="CH203" i="2"/>
  <c r="CH239" i="2"/>
  <c r="CI203" i="2"/>
  <c r="CI239" i="2"/>
  <c r="CJ203" i="2"/>
  <c r="CJ239" i="2"/>
  <c r="CK203" i="2"/>
  <c r="CK239" i="2"/>
  <c r="CL203" i="2"/>
  <c r="CL239" i="2"/>
  <c r="CM203" i="2"/>
  <c r="CM239" i="2"/>
  <c r="CN203" i="2"/>
  <c r="CN239" i="2"/>
  <c r="CO203" i="2"/>
  <c r="CO239" i="2"/>
  <c r="CP203" i="2"/>
  <c r="CP239" i="2"/>
  <c r="CQ203" i="2"/>
  <c r="CQ239" i="2"/>
  <c r="CR203" i="2"/>
  <c r="CR239" i="2"/>
  <c r="CS203" i="2"/>
  <c r="CS239" i="2"/>
  <c r="CT203" i="2"/>
  <c r="CT239" i="2"/>
  <c r="CU203" i="2"/>
  <c r="CU239" i="2"/>
  <c r="CV203" i="2"/>
  <c r="CV239" i="2"/>
  <c r="CW203" i="2"/>
  <c r="CW239" i="2"/>
  <c r="CX203" i="2"/>
  <c r="CX239" i="2"/>
  <c r="CY203" i="2"/>
  <c r="CY239" i="2"/>
  <c r="CZ203" i="2"/>
  <c r="CZ239" i="2"/>
  <c r="DA203" i="2"/>
  <c r="DA239" i="2"/>
  <c r="DB203" i="2"/>
  <c r="DB239" i="2"/>
  <c r="DC203" i="2"/>
  <c r="DC239" i="2"/>
  <c r="DD203" i="2"/>
  <c r="DD239" i="2"/>
  <c r="DE203" i="2"/>
  <c r="DE239" i="2"/>
  <c r="DF203" i="2"/>
  <c r="DF239" i="2"/>
  <c r="DG203" i="2"/>
  <c r="DG239" i="2"/>
  <c r="DH203" i="2"/>
  <c r="DH239" i="2"/>
  <c r="DI203" i="2"/>
  <c r="DI239" i="2"/>
  <c r="DJ203" i="2"/>
  <c r="DJ239" i="2"/>
  <c r="DK203" i="2"/>
  <c r="DK239" i="2"/>
  <c r="DL203" i="2"/>
  <c r="DL239" i="2"/>
  <c r="DM203" i="2"/>
  <c r="DM239" i="2"/>
  <c r="DN203" i="2"/>
  <c r="DN239" i="2"/>
  <c r="DO203" i="2"/>
  <c r="DO239" i="2"/>
  <c r="DP203" i="2"/>
  <c r="DP239" i="2"/>
  <c r="DQ203" i="2"/>
  <c r="DQ239" i="2"/>
  <c r="DR203" i="2"/>
  <c r="DR239" i="2"/>
  <c r="DS203" i="2"/>
  <c r="DS239" i="2"/>
  <c r="DT203" i="2"/>
  <c r="DT239" i="2"/>
  <c r="DU203" i="2"/>
  <c r="DU239" i="2"/>
  <c r="DV203" i="2"/>
  <c r="DV239" i="2"/>
  <c r="DW203" i="2"/>
  <c r="DW239" i="2"/>
  <c r="DX203" i="2"/>
  <c r="DX239" i="2"/>
  <c r="DY203" i="2"/>
  <c r="DY239" i="2"/>
  <c r="DZ203" i="2"/>
  <c r="DZ239" i="2"/>
  <c r="EA203" i="2"/>
  <c r="EA239" i="2"/>
  <c r="EB203" i="2"/>
  <c r="EB239" i="2"/>
  <c r="EC203" i="2"/>
  <c r="EC239" i="2"/>
  <c r="ED203" i="2"/>
  <c r="ED239" i="2"/>
  <c r="EE203" i="2"/>
  <c r="EE239" i="2"/>
  <c r="EF203" i="2"/>
  <c r="EF239" i="2"/>
  <c r="EG203" i="2"/>
  <c r="EG239" i="2"/>
  <c r="EH203" i="2"/>
  <c r="EH239" i="2"/>
  <c r="EI203" i="2"/>
  <c r="EI239" i="2"/>
  <c r="EJ203" i="2"/>
  <c r="EJ239" i="2"/>
  <c r="EK203" i="2"/>
  <c r="EK239" i="2"/>
  <c r="EL203" i="2"/>
  <c r="EL239" i="2"/>
  <c r="EM203" i="2"/>
  <c r="EM239" i="2"/>
  <c r="EN203" i="2"/>
  <c r="EN239" i="2"/>
  <c r="EO203" i="2"/>
  <c r="EO239" i="2"/>
  <c r="EP203" i="2"/>
  <c r="EP239" i="2"/>
  <c r="EQ203" i="2"/>
  <c r="EQ239" i="2"/>
  <c r="ER203" i="2"/>
  <c r="ER239" i="2"/>
  <c r="ES203" i="2"/>
  <c r="ES239" i="2"/>
  <c r="ET203" i="2"/>
  <c r="ET239" i="2"/>
  <c r="EU203" i="2"/>
  <c r="EU239" i="2"/>
  <c r="EV203" i="2"/>
  <c r="EV239" i="2"/>
  <c r="EW203" i="2"/>
  <c r="EW239" i="2"/>
  <c r="EX203" i="2"/>
  <c r="EX239" i="2"/>
  <c r="EY203" i="2"/>
  <c r="EY239" i="2"/>
  <c r="EZ203" i="2"/>
  <c r="EZ239" i="2"/>
  <c r="FA203" i="2"/>
  <c r="FA239" i="2"/>
  <c r="FB203" i="2"/>
  <c r="FB239" i="2"/>
  <c r="FC203" i="2"/>
  <c r="FC239" i="2"/>
  <c r="FD203" i="2"/>
  <c r="FD239" i="2"/>
  <c r="FE203" i="2"/>
  <c r="FE239" i="2"/>
  <c r="FF203" i="2"/>
  <c r="FF239" i="2"/>
  <c r="FG203" i="2"/>
  <c r="FG239" i="2"/>
  <c r="FH203" i="2"/>
  <c r="FH239" i="2"/>
  <c r="FI203" i="2"/>
  <c r="FI239" i="2"/>
  <c r="FJ203" i="2"/>
  <c r="FJ239" i="2"/>
  <c r="FK203" i="2"/>
  <c r="FK239" i="2"/>
  <c r="FL203" i="2"/>
  <c r="FL239" i="2"/>
  <c r="FM203" i="2"/>
  <c r="FM239" i="2"/>
  <c r="FN203" i="2"/>
  <c r="FN239" i="2"/>
  <c r="FO203" i="2"/>
  <c r="FO239" i="2"/>
  <c r="FP203" i="2"/>
  <c r="FP239" i="2"/>
  <c r="FQ203" i="2"/>
  <c r="FQ239" i="2"/>
  <c r="FR203" i="2"/>
  <c r="FR239" i="2"/>
  <c r="FS203" i="2"/>
  <c r="FS239" i="2"/>
  <c r="FT203" i="2"/>
  <c r="FT239" i="2"/>
  <c r="FU203" i="2"/>
  <c r="FU239" i="2"/>
  <c r="FV203" i="2"/>
  <c r="FV239" i="2"/>
  <c r="FW203" i="2"/>
  <c r="FW239" i="2"/>
  <c r="FX203" i="2"/>
  <c r="FX239" i="2"/>
  <c r="FY203" i="2"/>
  <c r="FY239" i="2"/>
  <c r="FZ203" i="2"/>
  <c r="FZ239" i="2"/>
  <c r="GA203" i="2"/>
  <c r="GA239" i="2"/>
  <c r="GB203" i="2"/>
  <c r="GB239" i="2"/>
  <c r="GC203" i="2"/>
  <c r="GC239" i="2"/>
  <c r="GD203" i="2"/>
  <c r="GD239" i="2"/>
  <c r="GE203" i="2"/>
  <c r="GE239" i="2"/>
  <c r="GF203" i="2"/>
  <c r="GF239" i="2"/>
  <c r="GG203" i="2"/>
  <c r="GG239" i="2"/>
  <c r="GH203" i="2"/>
  <c r="GH239" i="2"/>
  <c r="GI203" i="2"/>
  <c r="GI239" i="2"/>
  <c r="GJ203" i="2"/>
  <c r="GJ239" i="2"/>
  <c r="GK203" i="2"/>
  <c r="GK239" i="2"/>
  <c r="GL203" i="2"/>
  <c r="GL239" i="2"/>
  <c r="GM203" i="2"/>
  <c r="GM239" i="2"/>
  <c r="GN203" i="2"/>
  <c r="GN239" i="2"/>
  <c r="GO203" i="2"/>
  <c r="GO239" i="2"/>
  <c r="GP203" i="2"/>
  <c r="GP239" i="2"/>
  <c r="GQ203" i="2"/>
  <c r="GQ239" i="2"/>
  <c r="GR203" i="2"/>
  <c r="GR239" i="2"/>
  <c r="GS203" i="2"/>
  <c r="GS239" i="2"/>
  <c r="GT203" i="2"/>
  <c r="GT239" i="2"/>
  <c r="GU203" i="2"/>
  <c r="GU239" i="2"/>
  <c r="GV203" i="2"/>
  <c r="GV239" i="2"/>
  <c r="GW203" i="2"/>
  <c r="GW239" i="2"/>
  <c r="GX203" i="2"/>
  <c r="GX239" i="2"/>
  <c r="GY203" i="2"/>
  <c r="GY239" i="2"/>
  <c r="GZ203" i="2"/>
  <c r="GZ239" i="2"/>
  <c r="HA203" i="2"/>
  <c r="HA239" i="2"/>
  <c r="HB203" i="2"/>
  <c r="HB239" i="2"/>
  <c r="HC203" i="2"/>
  <c r="HC239" i="2"/>
  <c r="HD203" i="2"/>
  <c r="HD239" i="2"/>
  <c r="HE203" i="2"/>
  <c r="HE239" i="2"/>
  <c r="HF203" i="2"/>
  <c r="HF239" i="2"/>
  <c r="HG203" i="2"/>
  <c r="HG239" i="2"/>
  <c r="HH203" i="2"/>
  <c r="HH239" i="2"/>
  <c r="HI203" i="2"/>
  <c r="HI239" i="2"/>
  <c r="HJ203" i="2"/>
  <c r="HJ239" i="2"/>
  <c r="HK203" i="2"/>
  <c r="HK239" i="2"/>
  <c r="HL203" i="2"/>
  <c r="HL239" i="2"/>
  <c r="HM203" i="2"/>
  <c r="HM239" i="2"/>
  <c r="HN203" i="2"/>
  <c r="HN239" i="2"/>
  <c r="HO203" i="2"/>
  <c r="HO239" i="2"/>
  <c r="HP203" i="2"/>
  <c r="HP239" i="2"/>
  <c r="HQ203" i="2"/>
  <c r="HQ239" i="2"/>
  <c r="HR203" i="2"/>
  <c r="HR239" i="2"/>
  <c r="HS203" i="2"/>
  <c r="HS239" i="2"/>
  <c r="HT203" i="2"/>
  <c r="HT239" i="2"/>
  <c r="HU203" i="2"/>
  <c r="HU239" i="2"/>
  <c r="HV203" i="2"/>
  <c r="HV239" i="2"/>
  <c r="HW203" i="2"/>
  <c r="HW239" i="2"/>
  <c r="HX203" i="2"/>
  <c r="HX239" i="2"/>
  <c r="HY203" i="2"/>
  <c r="HY239" i="2"/>
  <c r="HZ203" i="2"/>
  <c r="HZ239" i="2"/>
  <c r="IA203" i="2"/>
  <c r="IA239" i="2"/>
  <c r="IB203" i="2"/>
  <c r="IB239" i="2"/>
  <c r="IC203" i="2"/>
  <c r="IC239" i="2"/>
  <c r="ID203" i="2"/>
  <c r="ID239" i="2"/>
  <c r="IE203" i="2"/>
  <c r="IE239" i="2"/>
  <c r="IF203" i="2"/>
  <c r="IF239" i="2"/>
  <c r="IG203" i="2"/>
  <c r="IG239" i="2"/>
  <c r="IH203" i="2"/>
  <c r="IH239" i="2"/>
  <c r="II203" i="2"/>
  <c r="II239" i="2"/>
  <c r="IJ203" i="2"/>
  <c r="IJ239" i="2"/>
  <c r="IK203" i="2"/>
  <c r="IK239" i="2"/>
  <c r="IL203" i="2"/>
  <c r="IL239" i="2"/>
  <c r="IM203" i="2"/>
  <c r="IM239" i="2"/>
  <c r="IN203" i="2"/>
  <c r="IN239" i="2"/>
  <c r="IO203" i="2"/>
  <c r="IO239" i="2"/>
  <c r="IP203" i="2"/>
  <c r="IP239" i="2"/>
  <c r="IQ203" i="2"/>
  <c r="IQ239" i="2"/>
  <c r="IR203" i="2"/>
  <c r="IR239" i="2"/>
  <c r="IS203" i="2"/>
  <c r="IS239" i="2"/>
  <c r="IT203" i="2"/>
  <c r="IT239" i="2"/>
  <c r="IU203" i="2"/>
  <c r="IU239" i="2"/>
  <c r="IV203" i="2"/>
  <c r="IV239" i="2"/>
  <c r="IW203" i="2"/>
  <c r="IW239" i="2"/>
  <c r="IX203" i="2"/>
  <c r="IX239" i="2"/>
  <c r="IY203" i="2"/>
  <c r="IY239" i="2"/>
  <c r="IZ203" i="2"/>
  <c r="IZ239" i="2"/>
  <c r="JA203" i="2"/>
  <c r="JA239" i="2"/>
  <c r="JB203" i="2"/>
  <c r="JB239" i="2"/>
  <c r="JC203" i="2"/>
  <c r="JC239" i="2"/>
  <c r="JD203" i="2"/>
  <c r="JD239" i="2"/>
  <c r="JE203" i="2"/>
  <c r="JE239" i="2"/>
  <c r="JF203" i="2"/>
  <c r="JF239" i="2"/>
  <c r="JG203" i="2"/>
  <c r="JG239" i="2"/>
  <c r="JH203" i="2"/>
  <c r="JH239" i="2"/>
  <c r="JI203" i="2"/>
  <c r="JI239" i="2"/>
  <c r="JJ203" i="2"/>
  <c r="JJ239" i="2"/>
  <c r="JK203" i="2"/>
  <c r="JK239" i="2"/>
  <c r="JL203" i="2"/>
  <c r="JL239" i="2"/>
  <c r="JM203" i="2"/>
  <c r="JM239" i="2"/>
  <c r="JN203" i="2"/>
  <c r="JN239" i="2"/>
  <c r="JO203" i="2"/>
  <c r="JO239" i="2"/>
  <c r="JP203" i="2"/>
  <c r="JP239" i="2"/>
  <c r="JQ203" i="2"/>
  <c r="JQ239" i="2"/>
  <c r="JR203" i="2"/>
  <c r="JR239" i="2"/>
  <c r="JS203" i="2"/>
  <c r="JS239" i="2"/>
  <c r="JT203" i="2"/>
  <c r="JT239" i="2"/>
  <c r="JU203" i="2"/>
  <c r="JU239" i="2"/>
  <c r="JV203" i="2"/>
  <c r="JV239" i="2"/>
  <c r="JW203" i="2"/>
  <c r="JW239" i="2"/>
  <c r="JX203" i="2"/>
  <c r="JX239" i="2"/>
  <c r="JY203" i="2"/>
  <c r="JY239" i="2"/>
  <c r="JZ203" i="2"/>
  <c r="JZ239" i="2"/>
  <c r="KA203" i="2"/>
  <c r="KA239" i="2"/>
  <c r="KB203" i="2"/>
  <c r="KB239" i="2"/>
  <c r="KC203" i="2"/>
  <c r="KC239" i="2"/>
  <c r="KD203" i="2"/>
  <c r="KD239" i="2"/>
  <c r="KE203" i="2"/>
  <c r="KE239" i="2"/>
  <c r="KF203" i="2"/>
  <c r="KF239" i="2"/>
  <c r="KG203" i="2"/>
  <c r="KG239" i="2"/>
  <c r="KH203" i="2"/>
  <c r="KH239" i="2"/>
  <c r="KI203" i="2"/>
  <c r="KI239" i="2"/>
  <c r="KJ203" i="2"/>
  <c r="KJ239" i="2"/>
  <c r="KK203" i="2"/>
  <c r="KK239" i="2"/>
  <c r="KL203" i="2"/>
  <c r="KL239" i="2"/>
  <c r="KM203" i="2"/>
  <c r="KM239" i="2"/>
  <c r="KN203" i="2"/>
  <c r="KN239" i="2"/>
  <c r="KO203" i="2"/>
  <c r="KO239" i="2"/>
  <c r="KP203" i="2"/>
  <c r="KP239" i="2"/>
  <c r="KQ203" i="2"/>
  <c r="KQ239" i="2"/>
  <c r="KR203" i="2"/>
  <c r="KR239" i="2"/>
  <c r="KS203" i="2"/>
  <c r="KS239" i="2"/>
  <c r="KT203" i="2"/>
  <c r="KT239" i="2"/>
  <c r="KU203" i="2"/>
  <c r="KU239" i="2"/>
  <c r="KV203" i="2"/>
  <c r="KV239" i="2"/>
  <c r="KW203" i="2"/>
  <c r="KW239" i="2"/>
  <c r="KX203" i="2"/>
  <c r="KX239" i="2"/>
  <c r="KY203" i="2"/>
  <c r="KY239" i="2"/>
  <c r="KZ203" i="2"/>
  <c r="KZ239" i="2"/>
  <c r="LA203" i="2"/>
  <c r="LA239" i="2"/>
  <c r="LB203" i="2"/>
  <c r="LB239" i="2"/>
  <c r="LC203" i="2"/>
  <c r="LC239" i="2"/>
  <c r="LD203" i="2"/>
  <c r="LD239" i="2"/>
  <c r="LE203" i="2"/>
  <c r="LE239" i="2"/>
  <c r="LF203" i="2"/>
  <c r="LF239" i="2"/>
  <c r="LG203" i="2"/>
  <c r="LG239" i="2"/>
  <c r="LH203" i="2"/>
  <c r="LH239" i="2"/>
  <c r="LI203" i="2"/>
  <c r="LI239" i="2"/>
  <c r="LJ203" i="2"/>
  <c r="LJ239" i="2"/>
  <c r="LK203" i="2"/>
  <c r="LK239" i="2"/>
  <c r="LL203" i="2"/>
  <c r="LL239" i="2"/>
  <c r="LM203" i="2"/>
  <c r="LM239" i="2"/>
  <c r="LN203" i="2"/>
  <c r="LN239" i="2"/>
  <c r="LO203" i="2"/>
  <c r="LO239" i="2"/>
  <c r="LP203" i="2"/>
  <c r="LP239" i="2"/>
  <c r="LQ203" i="2"/>
  <c r="LQ239" i="2"/>
  <c r="LR203" i="2"/>
  <c r="LR239" i="2"/>
  <c r="LS203" i="2"/>
  <c r="LS239" i="2"/>
  <c r="LT203" i="2"/>
  <c r="LT239" i="2"/>
  <c r="LU203" i="2"/>
  <c r="LU239" i="2"/>
  <c r="LV203" i="2"/>
  <c r="LV239" i="2"/>
  <c r="LW203" i="2"/>
  <c r="LW239" i="2"/>
  <c r="LX203" i="2"/>
  <c r="LX239" i="2"/>
  <c r="LY203" i="2"/>
  <c r="LY239" i="2"/>
  <c r="LZ203" i="2"/>
  <c r="LZ239" i="2"/>
  <c r="MA203" i="2"/>
  <c r="MA239" i="2"/>
  <c r="MB203" i="2"/>
  <c r="MB239" i="2"/>
  <c r="MC203" i="2"/>
  <c r="MC239" i="2"/>
  <c r="MD203" i="2"/>
  <c r="MD239" i="2"/>
  <c r="ME203" i="2"/>
  <c r="ME239" i="2"/>
  <c r="MF203" i="2"/>
  <c r="MF239" i="2"/>
  <c r="MG203" i="2"/>
  <c r="MG239" i="2"/>
  <c r="MH203" i="2"/>
  <c r="MH239" i="2"/>
  <c r="MI203" i="2"/>
  <c r="MI239" i="2"/>
  <c r="MJ203" i="2"/>
  <c r="MJ239" i="2"/>
  <c r="MK203" i="2"/>
  <c r="MK239" i="2"/>
  <c r="ML203" i="2"/>
  <c r="ML239" i="2"/>
  <c r="MM203" i="2"/>
  <c r="MM239" i="2"/>
  <c r="MN203" i="2"/>
  <c r="MN239" i="2"/>
  <c r="MO203" i="2"/>
  <c r="MO239" i="2"/>
  <c r="MP203" i="2"/>
  <c r="MP239" i="2"/>
  <c r="MQ203" i="2"/>
  <c r="MQ239" i="2"/>
  <c r="MR203" i="2"/>
  <c r="MR239" i="2"/>
  <c r="MS203" i="2"/>
  <c r="MS239" i="2"/>
  <c r="MT203" i="2"/>
  <c r="MT239" i="2"/>
  <c r="MU203" i="2"/>
  <c r="MU239" i="2"/>
  <c r="MV203" i="2"/>
  <c r="MV239" i="2"/>
  <c r="MW203" i="2"/>
  <c r="MW239" i="2"/>
  <c r="MX203" i="2"/>
  <c r="MX239" i="2"/>
  <c r="MY203" i="2"/>
  <c r="MY239" i="2"/>
  <c r="MZ203" i="2"/>
  <c r="MZ239" i="2"/>
  <c r="NA203" i="2"/>
  <c r="NA239" i="2"/>
  <c r="NB203" i="2"/>
  <c r="NB239" i="2"/>
  <c r="NC203" i="2"/>
  <c r="NC239" i="2"/>
  <c r="ND203" i="2"/>
  <c r="ND239" i="2"/>
  <c r="NE203" i="2"/>
  <c r="NE239" i="2"/>
  <c r="NF203" i="2"/>
  <c r="NF239" i="2"/>
  <c r="NG203" i="2"/>
  <c r="NG239" i="2"/>
  <c r="NH203" i="2"/>
  <c r="NH239" i="2"/>
  <c r="NI203" i="2"/>
  <c r="NI239" i="2"/>
  <c r="NJ203" i="2"/>
  <c r="NJ239" i="2"/>
  <c r="NK203" i="2"/>
  <c r="NK239" i="2"/>
  <c r="NL203" i="2"/>
  <c r="NL239" i="2"/>
  <c r="NM203" i="2"/>
  <c r="NM239" i="2"/>
  <c r="NN203" i="2"/>
  <c r="NN239" i="2"/>
  <c r="NO203" i="2"/>
  <c r="NO239" i="2"/>
  <c r="NP203" i="2"/>
  <c r="NP239" i="2"/>
  <c r="NQ203" i="2"/>
  <c r="NQ239" i="2"/>
  <c r="NR203" i="2"/>
  <c r="NR239" i="2"/>
  <c r="NS203" i="2"/>
  <c r="NS239" i="2"/>
  <c r="NT203" i="2"/>
  <c r="NT239" i="2"/>
  <c r="NU203" i="2"/>
  <c r="NU239" i="2"/>
  <c r="NV203" i="2"/>
  <c r="NV239" i="2"/>
  <c r="NW203" i="2"/>
  <c r="NW239" i="2"/>
  <c r="NX203" i="2"/>
  <c r="NX239" i="2"/>
  <c r="NY203" i="2"/>
  <c r="NY239" i="2"/>
  <c r="NZ203" i="2"/>
  <c r="NZ239" i="2"/>
  <c r="OA203" i="2"/>
  <c r="OA239" i="2"/>
  <c r="OB203" i="2"/>
  <c r="OB239" i="2"/>
  <c r="OC203" i="2"/>
  <c r="OC239" i="2"/>
  <c r="OD203" i="2"/>
  <c r="OD239" i="2"/>
  <c r="OE203" i="2"/>
  <c r="OE239" i="2"/>
  <c r="OF203" i="2"/>
  <c r="OF239" i="2"/>
  <c r="OG203" i="2"/>
  <c r="OG239" i="2"/>
  <c r="OH203" i="2"/>
  <c r="OH239" i="2"/>
  <c r="OI203" i="2"/>
  <c r="OI239" i="2"/>
  <c r="OJ203" i="2"/>
  <c r="OJ239" i="2"/>
  <c r="OK203" i="2"/>
  <c r="OK239" i="2"/>
  <c r="OL203" i="2"/>
  <c r="OL239" i="2"/>
  <c r="OM203" i="2"/>
  <c r="OM239" i="2"/>
  <c r="ON203" i="2"/>
  <c r="ON239" i="2"/>
  <c r="OO203" i="2"/>
  <c r="OO239" i="2"/>
  <c r="OP203" i="2"/>
  <c r="OP239" i="2"/>
  <c r="OQ203" i="2"/>
  <c r="OQ239" i="2"/>
  <c r="OR203" i="2"/>
  <c r="OR239" i="2"/>
  <c r="OS203" i="2"/>
  <c r="OS239" i="2"/>
  <c r="OT203" i="2"/>
  <c r="OT239" i="2"/>
  <c r="OU203" i="2"/>
  <c r="OU239" i="2"/>
  <c r="OV203" i="2"/>
  <c r="OV239" i="2"/>
  <c r="OW203" i="2"/>
  <c r="OW239" i="2"/>
  <c r="OX203" i="2"/>
  <c r="OX239" i="2"/>
  <c r="OY203" i="2"/>
  <c r="OY239" i="2"/>
  <c r="OZ203" i="2"/>
  <c r="OZ239" i="2"/>
  <c r="PA203" i="2"/>
  <c r="PA239" i="2"/>
  <c r="PB203" i="2"/>
  <c r="PB239" i="2"/>
  <c r="PC203" i="2"/>
  <c r="PC239" i="2"/>
  <c r="PD203" i="2"/>
  <c r="PD239" i="2"/>
  <c r="PE203" i="2"/>
  <c r="PE239" i="2"/>
  <c r="PF203" i="2"/>
  <c r="PF239" i="2"/>
  <c r="PG203" i="2"/>
  <c r="PG239" i="2"/>
  <c r="PH203" i="2"/>
  <c r="PH239" i="2"/>
  <c r="PI203" i="2"/>
  <c r="PI239" i="2"/>
  <c r="PJ203" i="2"/>
  <c r="PJ239" i="2"/>
  <c r="PK203" i="2"/>
  <c r="PK239" i="2"/>
  <c r="PL203" i="2"/>
  <c r="PL239" i="2"/>
  <c r="PM203" i="2"/>
  <c r="PM239" i="2"/>
  <c r="PN203" i="2"/>
  <c r="PN239" i="2"/>
  <c r="PO203" i="2"/>
  <c r="PO239" i="2"/>
  <c r="PP203" i="2"/>
  <c r="PP239" i="2"/>
  <c r="PQ203" i="2"/>
  <c r="PQ239" i="2"/>
  <c r="PR203" i="2"/>
  <c r="PR239" i="2"/>
  <c r="PS203" i="2"/>
  <c r="PS239" i="2"/>
  <c r="PT203" i="2"/>
  <c r="PT239" i="2"/>
  <c r="PU203" i="2"/>
  <c r="PU239" i="2"/>
  <c r="PV203" i="2"/>
  <c r="PV239" i="2"/>
  <c r="PW203" i="2"/>
  <c r="PW239" i="2"/>
  <c r="PX203" i="2"/>
  <c r="PX239" i="2"/>
  <c r="PY203" i="2"/>
  <c r="PY239" i="2"/>
  <c r="PZ203" i="2"/>
  <c r="PZ239" i="2"/>
  <c r="QA203" i="2"/>
  <c r="QA239" i="2"/>
  <c r="QB203" i="2"/>
  <c r="QB239" i="2"/>
  <c r="QC203" i="2"/>
  <c r="QC239" i="2"/>
  <c r="QD203" i="2"/>
  <c r="QD239" i="2"/>
  <c r="QE203" i="2"/>
  <c r="QE239" i="2"/>
  <c r="QF203" i="2"/>
  <c r="QF239" i="2"/>
  <c r="QG203" i="2"/>
  <c r="QG239" i="2"/>
  <c r="QH203" i="2"/>
  <c r="QH239" i="2"/>
  <c r="QI203" i="2"/>
  <c r="QI239" i="2"/>
  <c r="QJ203" i="2"/>
  <c r="QJ239" i="2"/>
  <c r="QK203" i="2"/>
  <c r="QK239" i="2"/>
  <c r="QL203" i="2"/>
  <c r="QL239" i="2"/>
  <c r="QM203" i="2"/>
  <c r="QM239" i="2"/>
  <c r="QN203" i="2"/>
  <c r="QN239" i="2"/>
  <c r="QO203" i="2"/>
  <c r="QO239" i="2"/>
  <c r="QP203" i="2"/>
  <c r="QP239" i="2"/>
  <c r="QQ203" i="2"/>
  <c r="QQ239" i="2"/>
  <c r="QR203" i="2"/>
  <c r="QR239" i="2"/>
  <c r="QS203" i="2"/>
  <c r="QS239" i="2"/>
  <c r="QT203" i="2"/>
  <c r="QT239" i="2"/>
  <c r="QU203" i="2"/>
  <c r="QU239" i="2"/>
  <c r="QV203" i="2"/>
  <c r="QV239" i="2"/>
  <c r="QW203" i="2"/>
  <c r="QW239" i="2"/>
  <c r="QX203" i="2"/>
  <c r="QX239" i="2"/>
  <c r="QY203" i="2"/>
  <c r="QY239" i="2"/>
  <c r="QZ203" i="2"/>
  <c r="QZ239" i="2"/>
  <c r="RA203" i="2"/>
  <c r="RA239" i="2"/>
  <c r="RB203" i="2"/>
  <c r="RB239" i="2"/>
  <c r="RC203" i="2"/>
  <c r="RC239" i="2"/>
  <c r="RD203" i="2"/>
  <c r="RD239" i="2"/>
  <c r="RE203" i="2"/>
  <c r="RE239" i="2"/>
  <c r="RF203" i="2"/>
  <c r="RF239" i="2"/>
  <c r="RG203" i="2"/>
  <c r="RG239" i="2"/>
  <c r="RH203" i="2"/>
  <c r="RH239" i="2"/>
  <c r="RI203" i="2"/>
  <c r="RI239" i="2"/>
  <c r="RJ203" i="2"/>
  <c r="RJ239" i="2"/>
  <c r="RK203" i="2"/>
  <c r="RK239" i="2"/>
  <c r="RL203" i="2"/>
  <c r="RL239" i="2"/>
  <c r="RM203" i="2"/>
  <c r="RM239" i="2"/>
  <c r="RN203" i="2"/>
  <c r="RN239" i="2"/>
  <c r="RO203" i="2"/>
  <c r="RO239" i="2"/>
  <c r="RP203" i="2"/>
  <c r="RP239" i="2"/>
  <c r="RQ203" i="2"/>
  <c r="RQ239" i="2"/>
  <c r="RR203" i="2"/>
  <c r="RR239" i="2"/>
  <c r="I70" i="12"/>
  <c r="J70" i="12"/>
  <c r="K70" i="12"/>
  <c r="H70" i="12"/>
  <c r="I74" i="12"/>
  <c r="J74" i="12"/>
  <c r="K74" i="12"/>
  <c r="H74" i="12"/>
  <c r="I73" i="12"/>
  <c r="J73" i="12"/>
  <c r="K73" i="12"/>
  <c r="H73" i="12"/>
  <c r="I72" i="12"/>
  <c r="J72" i="12"/>
  <c r="K72" i="12"/>
  <c r="H72" i="12"/>
  <c r="I71" i="12"/>
  <c r="J71" i="12"/>
  <c r="K71" i="12"/>
  <c r="H71" i="12"/>
  <c r="F200" i="2"/>
  <c r="F236" i="2"/>
  <c r="F243" i="2"/>
  <c r="G200" i="2"/>
  <c r="G236" i="2"/>
  <c r="G243" i="2"/>
  <c r="H200" i="2"/>
  <c r="H236" i="2"/>
  <c r="H243" i="2"/>
  <c r="I200" i="2"/>
  <c r="I236" i="2"/>
  <c r="I243" i="2"/>
  <c r="J200" i="2"/>
  <c r="J236" i="2"/>
  <c r="J243" i="2"/>
  <c r="K200" i="2"/>
  <c r="K236" i="2"/>
  <c r="K243" i="2"/>
  <c r="L200" i="2"/>
  <c r="L236" i="2"/>
  <c r="L243" i="2"/>
  <c r="M200" i="2"/>
  <c r="M236" i="2"/>
  <c r="M243" i="2"/>
  <c r="N200" i="2"/>
  <c r="N236" i="2"/>
  <c r="N243" i="2"/>
  <c r="O200" i="2"/>
  <c r="O236" i="2"/>
  <c r="O243" i="2"/>
  <c r="P200" i="2"/>
  <c r="P236" i="2"/>
  <c r="P243" i="2"/>
  <c r="Q200" i="2"/>
  <c r="Q236" i="2"/>
  <c r="Q243" i="2"/>
  <c r="R200" i="2"/>
  <c r="R236" i="2"/>
  <c r="R243" i="2"/>
  <c r="S200" i="2"/>
  <c r="S236" i="2"/>
  <c r="S243" i="2"/>
  <c r="T200" i="2"/>
  <c r="T236" i="2"/>
  <c r="T243" i="2"/>
  <c r="U200" i="2"/>
  <c r="U236" i="2"/>
  <c r="U243" i="2"/>
  <c r="V200" i="2"/>
  <c r="V236" i="2"/>
  <c r="V243" i="2"/>
  <c r="W200" i="2"/>
  <c r="W236" i="2"/>
  <c r="W243" i="2"/>
  <c r="X200" i="2"/>
  <c r="X236" i="2"/>
  <c r="X243" i="2"/>
  <c r="Y200" i="2"/>
  <c r="Y236" i="2"/>
  <c r="Y243" i="2"/>
  <c r="Z200" i="2"/>
  <c r="Z236" i="2"/>
  <c r="Z243" i="2"/>
  <c r="AA200" i="2"/>
  <c r="AA236" i="2"/>
  <c r="AA243" i="2"/>
  <c r="AB200" i="2"/>
  <c r="AB236" i="2"/>
  <c r="AB243" i="2"/>
  <c r="AC200" i="2"/>
  <c r="AC236" i="2"/>
  <c r="AC243" i="2"/>
  <c r="AD200" i="2"/>
  <c r="AD236" i="2"/>
  <c r="AD243" i="2"/>
  <c r="AE200" i="2"/>
  <c r="AE236" i="2"/>
  <c r="AE243" i="2"/>
  <c r="AF200" i="2"/>
  <c r="AF236" i="2"/>
  <c r="AF243" i="2"/>
  <c r="AG200" i="2"/>
  <c r="AG236" i="2"/>
  <c r="AG243" i="2"/>
  <c r="AH200" i="2"/>
  <c r="AH236" i="2"/>
  <c r="AH243" i="2"/>
  <c r="AI200" i="2"/>
  <c r="AI236" i="2"/>
  <c r="AI243" i="2"/>
  <c r="AJ200" i="2"/>
  <c r="AJ236" i="2"/>
  <c r="AJ243" i="2"/>
  <c r="AK200" i="2"/>
  <c r="AK236" i="2"/>
  <c r="AK243" i="2"/>
  <c r="AL200" i="2"/>
  <c r="AL236" i="2"/>
  <c r="AL243" i="2"/>
  <c r="AM200" i="2"/>
  <c r="AM236" i="2"/>
  <c r="AM243" i="2"/>
  <c r="AN200" i="2"/>
  <c r="AN236" i="2"/>
  <c r="AN243" i="2"/>
  <c r="AO200" i="2"/>
  <c r="AO236" i="2"/>
  <c r="AO243" i="2"/>
  <c r="AP200" i="2"/>
  <c r="AP236" i="2"/>
  <c r="AP243" i="2"/>
  <c r="AQ200" i="2"/>
  <c r="AQ236" i="2"/>
  <c r="AQ243" i="2"/>
  <c r="AR200" i="2"/>
  <c r="AR236" i="2"/>
  <c r="AR243" i="2"/>
  <c r="AS200" i="2"/>
  <c r="AS236" i="2"/>
  <c r="AS243" i="2"/>
  <c r="AT200" i="2"/>
  <c r="AT236" i="2"/>
  <c r="AT243" i="2"/>
  <c r="AU200" i="2"/>
  <c r="AU236" i="2"/>
  <c r="AU243" i="2"/>
  <c r="AV200" i="2"/>
  <c r="AV236" i="2"/>
  <c r="AV243" i="2"/>
  <c r="AW200" i="2"/>
  <c r="AW236" i="2"/>
  <c r="AW243" i="2"/>
  <c r="AX200" i="2"/>
  <c r="AX236" i="2"/>
  <c r="AX243" i="2"/>
  <c r="AY200" i="2"/>
  <c r="AY236" i="2"/>
  <c r="AY243" i="2"/>
  <c r="AZ200" i="2"/>
  <c r="AZ236" i="2"/>
  <c r="AZ243" i="2"/>
  <c r="BA200" i="2"/>
  <c r="BA236" i="2"/>
  <c r="BA243" i="2"/>
  <c r="BB200" i="2"/>
  <c r="BB236" i="2"/>
  <c r="BB243" i="2"/>
  <c r="BC200" i="2"/>
  <c r="BC236" i="2"/>
  <c r="BC243" i="2"/>
  <c r="BD200" i="2"/>
  <c r="BD236" i="2"/>
  <c r="BD243" i="2"/>
  <c r="BE200" i="2"/>
  <c r="BE236" i="2"/>
  <c r="BE243" i="2"/>
  <c r="BF200" i="2"/>
  <c r="BF236" i="2"/>
  <c r="BF243" i="2"/>
  <c r="BG200" i="2"/>
  <c r="BG236" i="2"/>
  <c r="BG243" i="2"/>
  <c r="BH200" i="2"/>
  <c r="BH236" i="2"/>
  <c r="BH243" i="2"/>
  <c r="BI200" i="2"/>
  <c r="BI236" i="2"/>
  <c r="BI243" i="2"/>
  <c r="BJ200" i="2"/>
  <c r="BJ236" i="2"/>
  <c r="BJ243" i="2"/>
  <c r="BK200" i="2"/>
  <c r="BK236" i="2"/>
  <c r="BK243" i="2"/>
  <c r="BL200" i="2"/>
  <c r="BL236" i="2"/>
  <c r="BL243" i="2"/>
  <c r="BM200" i="2"/>
  <c r="BM236" i="2"/>
  <c r="BM243" i="2"/>
  <c r="BN200" i="2"/>
  <c r="BN236" i="2"/>
  <c r="BN243" i="2"/>
  <c r="BO200" i="2"/>
  <c r="BO236" i="2"/>
  <c r="BO243" i="2"/>
  <c r="BP200" i="2"/>
  <c r="BP236" i="2"/>
  <c r="BP243" i="2"/>
  <c r="BQ200" i="2"/>
  <c r="BQ236" i="2"/>
  <c r="BQ243" i="2"/>
  <c r="BR200" i="2"/>
  <c r="BR236" i="2"/>
  <c r="BR243" i="2"/>
  <c r="BS200" i="2"/>
  <c r="BS236" i="2"/>
  <c r="BS243" i="2"/>
  <c r="BT200" i="2"/>
  <c r="BT236" i="2"/>
  <c r="BT243" i="2"/>
  <c r="BU200" i="2"/>
  <c r="BU236" i="2"/>
  <c r="BU243" i="2"/>
  <c r="BV200" i="2"/>
  <c r="BV236" i="2"/>
  <c r="BV243" i="2"/>
  <c r="BW200" i="2"/>
  <c r="BW236" i="2"/>
  <c r="BW243" i="2"/>
  <c r="BX200" i="2"/>
  <c r="BX236" i="2"/>
  <c r="BX243" i="2"/>
  <c r="BY200" i="2"/>
  <c r="BY236" i="2"/>
  <c r="BY243" i="2"/>
  <c r="BZ200" i="2"/>
  <c r="BZ236" i="2"/>
  <c r="BZ243" i="2"/>
  <c r="CA200" i="2"/>
  <c r="CA236" i="2"/>
  <c r="CA243" i="2"/>
  <c r="CB200" i="2"/>
  <c r="CB236" i="2"/>
  <c r="CB243" i="2"/>
  <c r="CC200" i="2"/>
  <c r="CC236" i="2"/>
  <c r="CC243" i="2"/>
  <c r="CD200" i="2"/>
  <c r="CD236" i="2"/>
  <c r="CD243" i="2"/>
  <c r="CE200" i="2"/>
  <c r="CE236" i="2"/>
  <c r="CE243" i="2"/>
  <c r="CF200" i="2"/>
  <c r="CF236" i="2"/>
  <c r="CF243" i="2"/>
  <c r="CG200" i="2"/>
  <c r="CG236" i="2"/>
  <c r="CG243" i="2"/>
  <c r="CH200" i="2"/>
  <c r="CH236" i="2"/>
  <c r="CH243" i="2"/>
  <c r="CI200" i="2"/>
  <c r="CI236" i="2"/>
  <c r="CI243" i="2"/>
  <c r="CJ200" i="2"/>
  <c r="CJ236" i="2"/>
  <c r="CJ243" i="2"/>
  <c r="CK200" i="2"/>
  <c r="CK236" i="2"/>
  <c r="CK243" i="2"/>
  <c r="CL200" i="2"/>
  <c r="CL236" i="2"/>
  <c r="CL243" i="2"/>
  <c r="CM200" i="2"/>
  <c r="CM236" i="2"/>
  <c r="CM243" i="2"/>
  <c r="CN200" i="2"/>
  <c r="CN236" i="2"/>
  <c r="CN243" i="2"/>
  <c r="CO200" i="2"/>
  <c r="CO236" i="2"/>
  <c r="CO243" i="2"/>
  <c r="CP200" i="2"/>
  <c r="CP236" i="2"/>
  <c r="CP243" i="2"/>
  <c r="CQ200" i="2"/>
  <c r="CQ236" i="2"/>
  <c r="CQ243" i="2"/>
  <c r="CR200" i="2"/>
  <c r="CR236" i="2"/>
  <c r="CR243" i="2"/>
  <c r="CS200" i="2"/>
  <c r="CS236" i="2"/>
  <c r="CS243" i="2"/>
  <c r="CT200" i="2"/>
  <c r="CT236" i="2"/>
  <c r="CT243" i="2"/>
  <c r="CU200" i="2"/>
  <c r="CU236" i="2"/>
  <c r="CU243" i="2"/>
  <c r="CV200" i="2"/>
  <c r="CV236" i="2"/>
  <c r="CV243" i="2"/>
  <c r="CW200" i="2"/>
  <c r="CW236" i="2"/>
  <c r="CW243" i="2"/>
  <c r="CX200" i="2"/>
  <c r="CX236" i="2"/>
  <c r="CX243" i="2"/>
  <c r="CY200" i="2"/>
  <c r="CY236" i="2"/>
  <c r="CY243" i="2"/>
  <c r="CZ200" i="2"/>
  <c r="CZ236" i="2"/>
  <c r="CZ243" i="2"/>
  <c r="DA200" i="2"/>
  <c r="DA236" i="2"/>
  <c r="DA243" i="2"/>
  <c r="DB200" i="2"/>
  <c r="DB236" i="2"/>
  <c r="DB243" i="2"/>
  <c r="DC200" i="2"/>
  <c r="DC236" i="2"/>
  <c r="DC243" i="2"/>
  <c r="DD200" i="2"/>
  <c r="DD236" i="2"/>
  <c r="DD243" i="2"/>
  <c r="DE200" i="2"/>
  <c r="DE236" i="2"/>
  <c r="DE243" i="2"/>
  <c r="DF200" i="2"/>
  <c r="DF236" i="2"/>
  <c r="DF243" i="2"/>
  <c r="DG200" i="2"/>
  <c r="DG236" i="2"/>
  <c r="DG243" i="2"/>
  <c r="DH200" i="2"/>
  <c r="DH236" i="2"/>
  <c r="DH243" i="2"/>
  <c r="DI200" i="2"/>
  <c r="DI236" i="2"/>
  <c r="DI243" i="2"/>
  <c r="DJ200" i="2"/>
  <c r="DJ236" i="2"/>
  <c r="DJ243" i="2"/>
  <c r="DK200" i="2"/>
  <c r="DK236" i="2"/>
  <c r="DK243" i="2"/>
  <c r="DL200" i="2"/>
  <c r="DL236" i="2"/>
  <c r="DL243" i="2"/>
  <c r="DM200" i="2"/>
  <c r="DM236" i="2"/>
  <c r="DM243" i="2"/>
  <c r="DN200" i="2"/>
  <c r="DN236" i="2"/>
  <c r="DN243" i="2"/>
  <c r="DO200" i="2"/>
  <c r="DO236" i="2"/>
  <c r="DO243" i="2"/>
  <c r="DP200" i="2"/>
  <c r="DP236" i="2"/>
  <c r="DP243" i="2"/>
  <c r="DQ200" i="2"/>
  <c r="DQ236" i="2"/>
  <c r="DQ243" i="2"/>
  <c r="DR200" i="2"/>
  <c r="DR236" i="2"/>
  <c r="DR243" i="2"/>
  <c r="DS200" i="2"/>
  <c r="DS236" i="2"/>
  <c r="DS243" i="2"/>
  <c r="DT200" i="2"/>
  <c r="DT236" i="2"/>
  <c r="DT243" i="2"/>
  <c r="DU200" i="2"/>
  <c r="DU236" i="2"/>
  <c r="DU243" i="2"/>
  <c r="DV200" i="2"/>
  <c r="DV236" i="2"/>
  <c r="DV243" i="2"/>
  <c r="DW200" i="2"/>
  <c r="DW236" i="2"/>
  <c r="DW243" i="2"/>
  <c r="DX200" i="2"/>
  <c r="DX236" i="2"/>
  <c r="DX243" i="2"/>
  <c r="DY200" i="2"/>
  <c r="DY236" i="2"/>
  <c r="DY243" i="2"/>
  <c r="DZ200" i="2"/>
  <c r="DZ236" i="2"/>
  <c r="DZ243" i="2"/>
  <c r="EA200" i="2"/>
  <c r="EA236" i="2"/>
  <c r="EA243" i="2"/>
  <c r="EB200" i="2"/>
  <c r="EB236" i="2"/>
  <c r="EB243" i="2"/>
  <c r="EC200" i="2"/>
  <c r="EC236" i="2"/>
  <c r="EC243" i="2"/>
  <c r="ED200" i="2"/>
  <c r="ED236" i="2"/>
  <c r="ED243" i="2"/>
  <c r="EE200" i="2"/>
  <c r="EE236" i="2"/>
  <c r="EE243" i="2"/>
  <c r="EF200" i="2"/>
  <c r="EF236" i="2"/>
  <c r="EF243" i="2"/>
  <c r="EG200" i="2"/>
  <c r="EG236" i="2"/>
  <c r="EG243" i="2"/>
  <c r="EH200" i="2"/>
  <c r="EH236" i="2"/>
  <c r="EH243" i="2"/>
  <c r="EI200" i="2"/>
  <c r="EI236" i="2"/>
  <c r="EI243" i="2"/>
  <c r="EJ200" i="2"/>
  <c r="EJ236" i="2"/>
  <c r="EJ243" i="2"/>
  <c r="EK200" i="2"/>
  <c r="EK236" i="2"/>
  <c r="EK243" i="2"/>
  <c r="EL200" i="2"/>
  <c r="EL236" i="2"/>
  <c r="EL243" i="2"/>
  <c r="EM200" i="2"/>
  <c r="EM236" i="2"/>
  <c r="EM243" i="2"/>
  <c r="EN200" i="2"/>
  <c r="EN236" i="2"/>
  <c r="EN243" i="2"/>
  <c r="EO200" i="2"/>
  <c r="EO236" i="2"/>
  <c r="EO243" i="2"/>
  <c r="EP200" i="2"/>
  <c r="EP236" i="2"/>
  <c r="EP243" i="2"/>
  <c r="EQ200" i="2"/>
  <c r="EQ236" i="2"/>
  <c r="EQ243" i="2"/>
  <c r="ER200" i="2"/>
  <c r="ER236" i="2"/>
  <c r="ER243" i="2"/>
  <c r="ES200" i="2"/>
  <c r="ES236" i="2"/>
  <c r="ES243" i="2"/>
  <c r="ET200" i="2"/>
  <c r="ET236" i="2"/>
  <c r="ET243" i="2"/>
  <c r="EU200" i="2"/>
  <c r="EU236" i="2"/>
  <c r="EU243" i="2"/>
  <c r="EV200" i="2"/>
  <c r="EV236" i="2"/>
  <c r="EV243" i="2"/>
  <c r="EW200" i="2"/>
  <c r="EW236" i="2"/>
  <c r="EW243" i="2"/>
  <c r="EX200" i="2"/>
  <c r="EX236" i="2"/>
  <c r="EX243" i="2"/>
  <c r="EY200" i="2"/>
  <c r="EY236" i="2"/>
  <c r="EY243" i="2"/>
  <c r="EZ200" i="2"/>
  <c r="EZ236" i="2"/>
  <c r="EZ243" i="2"/>
  <c r="FA200" i="2"/>
  <c r="FA236" i="2"/>
  <c r="FA243" i="2"/>
  <c r="FB200" i="2"/>
  <c r="FB236" i="2"/>
  <c r="FB243" i="2"/>
  <c r="FC200" i="2"/>
  <c r="FC236" i="2"/>
  <c r="FC243" i="2"/>
  <c r="FD200" i="2"/>
  <c r="FD236" i="2"/>
  <c r="FD243" i="2"/>
  <c r="FE200" i="2"/>
  <c r="FE236" i="2"/>
  <c r="FE243" i="2"/>
  <c r="FF200" i="2"/>
  <c r="FF236" i="2"/>
  <c r="FF243" i="2"/>
  <c r="FG200" i="2"/>
  <c r="FG236" i="2"/>
  <c r="FG243" i="2"/>
  <c r="FH200" i="2"/>
  <c r="FH236" i="2"/>
  <c r="FH243" i="2"/>
  <c r="FI200" i="2"/>
  <c r="FI236" i="2"/>
  <c r="FI243" i="2"/>
  <c r="FJ200" i="2"/>
  <c r="FJ236" i="2"/>
  <c r="FJ243" i="2"/>
  <c r="FK200" i="2"/>
  <c r="FK236" i="2"/>
  <c r="FK243" i="2"/>
  <c r="FL200" i="2"/>
  <c r="FL236" i="2"/>
  <c r="FL243" i="2"/>
  <c r="FM200" i="2"/>
  <c r="FM236" i="2"/>
  <c r="FM243" i="2"/>
  <c r="FN200" i="2"/>
  <c r="FN236" i="2"/>
  <c r="FN243" i="2"/>
  <c r="FO200" i="2"/>
  <c r="FO236" i="2"/>
  <c r="FO243" i="2"/>
  <c r="FP200" i="2"/>
  <c r="FP236" i="2"/>
  <c r="FP243" i="2"/>
  <c r="FQ200" i="2"/>
  <c r="FQ236" i="2"/>
  <c r="FQ243" i="2"/>
  <c r="FR200" i="2"/>
  <c r="FR236" i="2"/>
  <c r="FR243" i="2"/>
  <c r="FS200" i="2"/>
  <c r="FS236" i="2"/>
  <c r="FS243" i="2"/>
  <c r="FT200" i="2"/>
  <c r="FT236" i="2"/>
  <c r="FT243" i="2"/>
  <c r="FU200" i="2"/>
  <c r="FU236" i="2"/>
  <c r="FU243" i="2"/>
  <c r="FV200" i="2"/>
  <c r="FV236" i="2"/>
  <c r="FV243" i="2"/>
  <c r="FW200" i="2"/>
  <c r="FW236" i="2"/>
  <c r="FW243" i="2"/>
  <c r="FX200" i="2"/>
  <c r="FX236" i="2"/>
  <c r="FX243" i="2"/>
  <c r="FY200" i="2"/>
  <c r="FY236" i="2"/>
  <c r="FY243" i="2"/>
  <c r="FZ200" i="2"/>
  <c r="FZ236" i="2"/>
  <c r="FZ243" i="2"/>
  <c r="GA200" i="2"/>
  <c r="GA236" i="2"/>
  <c r="GA243" i="2"/>
  <c r="GB200" i="2"/>
  <c r="GB236" i="2"/>
  <c r="GB243" i="2"/>
  <c r="GC200" i="2"/>
  <c r="GC236" i="2"/>
  <c r="GC243" i="2"/>
  <c r="GD200" i="2"/>
  <c r="GD236" i="2"/>
  <c r="GD243" i="2"/>
  <c r="GE200" i="2"/>
  <c r="GE236" i="2"/>
  <c r="GE243" i="2"/>
  <c r="GF200" i="2"/>
  <c r="GF236" i="2"/>
  <c r="GF243" i="2"/>
  <c r="GG200" i="2"/>
  <c r="GG236" i="2"/>
  <c r="GG243" i="2"/>
  <c r="GH200" i="2"/>
  <c r="GH236" i="2"/>
  <c r="GH243" i="2"/>
  <c r="GI200" i="2"/>
  <c r="GI236" i="2"/>
  <c r="GI243" i="2"/>
  <c r="GJ200" i="2"/>
  <c r="GJ236" i="2"/>
  <c r="GJ243" i="2"/>
  <c r="GK200" i="2"/>
  <c r="GK236" i="2"/>
  <c r="GK243" i="2"/>
  <c r="GL200" i="2"/>
  <c r="GL236" i="2"/>
  <c r="GL243" i="2"/>
  <c r="GM200" i="2"/>
  <c r="GM236" i="2"/>
  <c r="GM243" i="2"/>
  <c r="GN200" i="2"/>
  <c r="GN236" i="2"/>
  <c r="GN243" i="2"/>
  <c r="GO200" i="2"/>
  <c r="GO236" i="2"/>
  <c r="GO243" i="2"/>
  <c r="GP200" i="2"/>
  <c r="GP236" i="2"/>
  <c r="GP243" i="2"/>
  <c r="GQ200" i="2"/>
  <c r="GQ236" i="2"/>
  <c r="GQ243" i="2"/>
  <c r="GR200" i="2"/>
  <c r="GR236" i="2"/>
  <c r="GR243" i="2"/>
  <c r="GS200" i="2"/>
  <c r="GS236" i="2"/>
  <c r="GS243" i="2"/>
  <c r="GT200" i="2"/>
  <c r="GT236" i="2"/>
  <c r="GT243" i="2"/>
  <c r="GU200" i="2"/>
  <c r="GU236" i="2"/>
  <c r="GU243" i="2"/>
  <c r="GV200" i="2"/>
  <c r="GV236" i="2"/>
  <c r="GV243" i="2"/>
  <c r="GW200" i="2"/>
  <c r="GW236" i="2"/>
  <c r="GW243" i="2"/>
  <c r="GX200" i="2"/>
  <c r="GX236" i="2"/>
  <c r="GX243" i="2"/>
  <c r="GY200" i="2"/>
  <c r="GY236" i="2"/>
  <c r="GY243" i="2"/>
  <c r="GZ200" i="2"/>
  <c r="GZ236" i="2"/>
  <c r="GZ243" i="2"/>
  <c r="HA200" i="2"/>
  <c r="HA236" i="2"/>
  <c r="HA243" i="2"/>
  <c r="HB200" i="2"/>
  <c r="HB236" i="2"/>
  <c r="HB243" i="2"/>
  <c r="HC200" i="2"/>
  <c r="HC236" i="2"/>
  <c r="HC243" i="2"/>
  <c r="HD200" i="2"/>
  <c r="HD236" i="2"/>
  <c r="HD243" i="2"/>
  <c r="HE200" i="2"/>
  <c r="HE236" i="2"/>
  <c r="HE243" i="2"/>
  <c r="HF200" i="2"/>
  <c r="HF236" i="2"/>
  <c r="HF243" i="2"/>
  <c r="HG200" i="2"/>
  <c r="HG236" i="2"/>
  <c r="HG243" i="2"/>
  <c r="HH200" i="2"/>
  <c r="HH236" i="2"/>
  <c r="HH243" i="2"/>
  <c r="HI200" i="2"/>
  <c r="HI236" i="2"/>
  <c r="HI243" i="2"/>
  <c r="HJ200" i="2"/>
  <c r="HJ236" i="2"/>
  <c r="HJ243" i="2"/>
  <c r="HK200" i="2"/>
  <c r="HK236" i="2"/>
  <c r="HK243" i="2"/>
  <c r="HL200" i="2"/>
  <c r="HL236" i="2"/>
  <c r="HL243" i="2"/>
  <c r="HM200" i="2"/>
  <c r="HM236" i="2"/>
  <c r="HM243" i="2"/>
  <c r="HN200" i="2"/>
  <c r="HN236" i="2"/>
  <c r="HN243" i="2"/>
  <c r="HO200" i="2"/>
  <c r="HO236" i="2"/>
  <c r="HO243" i="2"/>
  <c r="HP200" i="2"/>
  <c r="HP236" i="2"/>
  <c r="HP243" i="2"/>
  <c r="HQ200" i="2"/>
  <c r="HQ236" i="2"/>
  <c r="HQ243" i="2"/>
  <c r="HR200" i="2"/>
  <c r="HR236" i="2"/>
  <c r="HR243" i="2"/>
  <c r="HS200" i="2"/>
  <c r="HS236" i="2"/>
  <c r="HS243" i="2"/>
  <c r="HT200" i="2"/>
  <c r="HT236" i="2"/>
  <c r="HT243" i="2"/>
  <c r="HU200" i="2"/>
  <c r="HU236" i="2"/>
  <c r="HU243" i="2"/>
  <c r="HV200" i="2"/>
  <c r="HV236" i="2"/>
  <c r="HV243" i="2"/>
  <c r="HW200" i="2"/>
  <c r="HW236" i="2"/>
  <c r="HW243" i="2"/>
  <c r="HX200" i="2"/>
  <c r="HX236" i="2"/>
  <c r="HX243" i="2"/>
  <c r="HY200" i="2"/>
  <c r="HY236" i="2"/>
  <c r="HY243" i="2"/>
  <c r="HZ200" i="2"/>
  <c r="HZ236" i="2"/>
  <c r="HZ243" i="2"/>
  <c r="IA200" i="2"/>
  <c r="IA236" i="2"/>
  <c r="IA243" i="2"/>
  <c r="IB200" i="2"/>
  <c r="IB236" i="2"/>
  <c r="IB243" i="2"/>
  <c r="IC200" i="2"/>
  <c r="IC236" i="2"/>
  <c r="IC243" i="2"/>
  <c r="ID200" i="2"/>
  <c r="ID236" i="2"/>
  <c r="ID243" i="2"/>
  <c r="IE200" i="2"/>
  <c r="IE236" i="2"/>
  <c r="IE243" i="2"/>
  <c r="IF200" i="2"/>
  <c r="IF236" i="2"/>
  <c r="IF243" i="2"/>
  <c r="IG200" i="2"/>
  <c r="IG236" i="2"/>
  <c r="IG243" i="2"/>
  <c r="IH200" i="2"/>
  <c r="IH236" i="2"/>
  <c r="IH243" i="2"/>
  <c r="II200" i="2"/>
  <c r="II236" i="2"/>
  <c r="II243" i="2"/>
  <c r="IJ200" i="2"/>
  <c r="IJ236" i="2"/>
  <c r="IJ243" i="2"/>
  <c r="IK200" i="2"/>
  <c r="IK236" i="2"/>
  <c r="IK243" i="2"/>
  <c r="IL200" i="2"/>
  <c r="IL236" i="2"/>
  <c r="IL243" i="2"/>
  <c r="IM200" i="2"/>
  <c r="IM236" i="2"/>
  <c r="IM243" i="2"/>
  <c r="IN200" i="2"/>
  <c r="IN236" i="2"/>
  <c r="IN243" i="2"/>
  <c r="IO200" i="2"/>
  <c r="IO236" i="2"/>
  <c r="IO243" i="2"/>
  <c r="IP200" i="2"/>
  <c r="IP236" i="2"/>
  <c r="IP243" i="2"/>
  <c r="IQ200" i="2"/>
  <c r="IQ236" i="2"/>
  <c r="IQ243" i="2"/>
  <c r="IR200" i="2"/>
  <c r="IR236" i="2"/>
  <c r="IR243" i="2"/>
  <c r="IS200" i="2"/>
  <c r="IS236" i="2"/>
  <c r="IS243" i="2"/>
  <c r="IT200" i="2"/>
  <c r="IT236" i="2"/>
  <c r="IT243" i="2"/>
  <c r="IU200" i="2"/>
  <c r="IU236" i="2"/>
  <c r="IU243" i="2"/>
  <c r="IV200" i="2"/>
  <c r="IV236" i="2"/>
  <c r="IV243" i="2"/>
  <c r="IW200" i="2"/>
  <c r="IW236" i="2"/>
  <c r="IW243" i="2"/>
  <c r="IX200" i="2"/>
  <c r="IX236" i="2"/>
  <c r="IX243" i="2"/>
  <c r="IY200" i="2"/>
  <c r="IY236" i="2"/>
  <c r="IY243" i="2"/>
  <c r="IZ200" i="2"/>
  <c r="IZ236" i="2"/>
  <c r="IZ243" i="2"/>
  <c r="JA200" i="2"/>
  <c r="JA236" i="2"/>
  <c r="JA243" i="2"/>
  <c r="JB200" i="2"/>
  <c r="JB236" i="2"/>
  <c r="JB243" i="2"/>
  <c r="JC200" i="2"/>
  <c r="JC236" i="2"/>
  <c r="JC243" i="2"/>
  <c r="JD200" i="2"/>
  <c r="JD236" i="2"/>
  <c r="JD243" i="2"/>
  <c r="JE200" i="2"/>
  <c r="JE236" i="2"/>
  <c r="JE243" i="2"/>
  <c r="JF200" i="2"/>
  <c r="JF236" i="2"/>
  <c r="JF243" i="2"/>
  <c r="JG200" i="2"/>
  <c r="JG236" i="2"/>
  <c r="JG243" i="2"/>
  <c r="JH200" i="2"/>
  <c r="JH236" i="2"/>
  <c r="JH243" i="2"/>
  <c r="JI200" i="2"/>
  <c r="JI236" i="2"/>
  <c r="JI243" i="2"/>
  <c r="JJ200" i="2"/>
  <c r="JJ236" i="2"/>
  <c r="JJ243" i="2"/>
  <c r="JK200" i="2"/>
  <c r="JK236" i="2"/>
  <c r="JK243" i="2"/>
  <c r="JL200" i="2"/>
  <c r="JL236" i="2"/>
  <c r="JL243" i="2"/>
  <c r="JM200" i="2"/>
  <c r="JM236" i="2"/>
  <c r="JM243" i="2"/>
  <c r="JN200" i="2"/>
  <c r="JN236" i="2"/>
  <c r="JN243" i="2"/>
  <c r="JO200" i="2"/>
  <c r="JO236" i="2"/>
  <c r="JO243" i="2"/>
  <c r="JP200" i="2"/>
  <c r="JP236" i="2"/>
  <c r="JP243" i="2"/>
  <c r="JQ200" i="2"/>
  <c r="JQ236" i="2"/>
  <c r="JQ243" i="2"/>
  <c r="JR200" i="2"/>
  <c r="JR236" i="2"/>
  <c r="JR243" i="2"/>
  <c r="JS200" i="2"/>
  <c r="JS236" i="2"/>
  <c r="JS243" i="2"/>
  <c r="JT200" i="2"/>
  <c r="JT236" i="2"/>
  <c r="JT243" i="2"/>
  <c r="JU200" i="2"/>
  <c r="JU236" i="2"/>
  <c r="JU243" i="2"/>
  <c r="JV200" i="2"/>
  <c r="JV236" i="2"/>
  <c r="JV243" i="2"/>
  <c r="JW200" i="2"/>
  <c r="JW236" i="2"/>
  <c r="JW243" i="2"/>
  <c r="JX200" i="2"/>
  <c r="JX236" i="2"/>
  <c r="JX243" i="2"/>
  <c r="JY200" i="2"/>
  <c r="JY236" i="2"/>
  <c r="JY243" i="2"/>
  <c r="JZ200" i="2"/>
  <c r="JZ236" i="2"/>
  <c r="JZ243" i="2"/>
  <c r="KA200" i="2"/>
  <c r="KA236" i="2"/>
  <c r="KA243" i="2"/>
  <c r="KB200" i="2"/>
  <c r="KB236" i="2"/>
  <c r="KB243" i="2"/>
  <c r="KC200" i="2"/>
  <c r="KC236" i="2"/>
  <c r="KC243" i="2"/>
  <c r="KD200" i="2"/>
  <c r="KD236" i="2"/>
  <c r="KD243" i="2"/>
  <c r="KE200" i="2"/>
  <c r="KE236" i="2"/>
  <c r="KE243" i="2"/>
  <c r="KF200" i="2"/>
  <c r="KF236" i="2"/>
  <c r="KF243" i="2"/>
  <c r="KG200" i="2"/>
  <c r="KG236" i="2"/>
  <c r="KG243" i="2"/>
  <c r="KH200" i="2"/>
  <c r="KH236" i="2"/>
  <c r="KH243" i="2"/>
  <c r="KI200" i="2"/>
  <c r="KI236" i="2"/>
  <c r="KI243" i="2"/>
  <c r="KJ200" i="2"/>
  <c r="KJ236" i="2"/>
  <c r="KJ243" i="2"/>
  <c r="KK200" i="2"/>
  <c r="KK236" i="2"/>
  <c r="KK243" i="2"/>
  <c r="KL200" i="2"/>
  <c r="KL236" i="2"/>
  <c r="KL243" i="2"/>
  <c r="KM200" i="2"/>
  <c r="KM236" i="2"/>
  <c r="KM243" i="2"/>
  <c r="KN200" i="2"/>
  <c r="KN236" i="2"/>
  <c r="KN243" i="2"/>
  <c r="KO200" i="2"/>
  <c r="KO236" i="2"/>
  <c r="KO243" i="2"/>
  <c r="KP200" i="2"/>
  <c r="KP236" i="2"/>
  <c r="KP243" i="2"/>
  <c r="KQ200" i="2"/>
  <c r="KQ236" i="2"/>
  <c r="KQ243" i="2"/>
  <c r="KR200" i="2"/>
  <c r="KR236" i="2"/>
  <c r="KR243" i="2"/>
  <c r="KS200" i="2"/>
  <c r="KS236" i="2"/>
  <c r="KS243" i="2"/>
  <c r="KT200" i="2"/>
  <c r="KT236" i="2"/>
  <c r="KT243" i="2"/>
  <c r="KU200" i="2"/>
  <c r="KU236" i="2"/>
  <c r="KU243" i="2"/>
  <c r="KV200" i="2"/>
  <c r="KV236" i="2"/>
  <c r="KV243" i="2"/>
  <c r="KW200" i="2"/>
  <c r="KW236" i="2"/>
  <c r="KW243" i="2"/>
  <c r="KX200" i="2"/>
  <c r="KX236" i="2"/>
  <c r="KX243" i="2"/>
  <c r="KY200" i="2"/>
  <c r="KY236" i="2"/>
  <c r="KY243" i="2"/>
  <c r="KZ200" i="2"/>
  <c r="KZ236" i="2"/>
  <c r="KZ243" i="2"/>
  <c r="LA200" i="2"/>
  <c r="LA236" i="2"/>
  <c r="LA243" i="2"/>
  <c r="LB200" i="2"/>
  <c r="LB236" i="2"/>
  <c r="LB243" i="2"/>
  <c r="LC200" i="2"/>
  <c r="LC236" i="2"/>
  <c r="LC243" i="2"/>
  <c r="LD200" i="2"/>
  <c r="LD236" i="2"/>
  <c r="LD243" i="2"/>
  <c r="LE200" i="2"/>
  <c r="LE236" i="2"/>
  <c r="LE243" i="2"/>
  <c r="LF200" i="2"/>
  <c r="LF236" i="2"/>
  <c r="LF243" i="2"/>
  <c r="LG200" i="2"/>
  <c r="LG236" i="2"/>
  <c r="LG243" i="2"/>
  <c r="LH200" i="2"/>
  <c r="LH236" i="2"/>
  <c r="LH243" i="2"/>
  <c r="LI200" i="2"/>
  <c r="LI236" i="2"/>
  <c r="LI243" i="2"/>
  <c r="LJ200" i="2"/>
  <c r="LJ236" i="2"/>
  <c r="LJ243" i="2"/>
  <c r="LK200" i="2"/>
  <c r="LK236" i="2"/>
  <c r="LK243" i="2"/>
  <c r="LL200" i="2"/>
  <c r="LL236" i="2"/>
  <c r="LL243" i="2"/>
  <c r="LM200" i="2"/>
  <c r="LM236" i="2"/>
  <c r="LM243" i="2"/>
  <c r="LN200" i="2"/>
  <c r="LN236" i="2"/>
  <c r="LN243" i="2"/>
  <c r="LO200" i="2"/>
  <c r="LO236" i="2"/>
  <c r="LO243" i="2"/>
  <c r="LP200" i="2"/>
  <c r="LP236" i="2"/>
  <c r="LP243" i="2"/>
  <c r="LQ200" i="2"/>
  <c r="LQ236" i="2"/>
  <c r="LQ243" i="2"/>
  <c r="LR200" i="2"/>
  <c r="LR236" i="2"/>
  <c r="LR243" i="2"/>
  <c r="LS200" i="2"/>
  <c r="LS236" i="2"/>
  <c r="LS243" i="2"/>
  <c r="LT200" i="2"/>
  <c r="LT236" i="2"/>
  <c r="LT243" i="2"/>
  <c r="LU200" i="2"/>
  <c r="LU236" i="2"/>
  <c r="LU243" i="2"/>
  <c r="LV200" i="2"/>
  <c r="LV236" i="2"/>
  <c r="LV243" i="2"/>
  <c r="LW200" i="2"/>
  <c r="LW236" i="2"/>
  <c r="LW243" i="2"/>
  <c r="LX200" i="2"/>
  <c r="LX236" i="2"/>
  <c r="LX243" i="2"/>
  <c r="LY200" i="2"/>
  <c r="LY236" i="2"/>
  <c r="LY243" i="2"/>
  <c r="LZ200" i="2"/>
  <c r="LZ236" i="2"/>
  <c r="LZ243" i="2"/>
  <c r="MA200" i="2"/>
  <c r="MA236" i="2"/>
  <c r="MA243" i="2"/>
  <c r="MB200" i="2"/>
  <c r="MB236" i="2"/>
  <c r="MB243" i="2"/>
  <c r="MC200" i="2"/>
  <c r="MC236" i="2"/>
  <c r="MC243" i="2"/>
  <c r="MD200" i="2"/>
  <c r="MD236" i="2"/>
  <c r="MD243" i="2"/>
  <c r="ME200" i="2"/>
  <c r="ME236" i="2"/>
  <c r="ME243" i="2"/>
  <c r="MF200" i="2"/>
  <c r="MF236" i="2"/>
  <c r="MF243" i="2"/>
  <c r="MG200" i="2"/>
  <c r="MG236" i="2"/>
  <c r="MG243" i="2"/>
  <c r="MH200" i="2"/>
  <c r="MH236" i="2"/>
  <c r="MH243" i="2"/>
  <c r="MI200" i="2"/>
  <c r="MI236" i="2"/>
  <c r="MI243" i="2"/>
  <c r="MJ200" i="2"/>
  <c r="MJ236" i="2"/>
  <c r="MJ243" i="2"/>
  <c r="MK200" i="2"/>
  <c r="MK236" i="2"/>
  <c r="MK243" i="2"/>
  <c r="ML200" i="2"/>
  <c r="ML236" i="2"/>
  <c r="ML243" i="2"/>
  <c r="MM200" i="2"/>
  <c r="MM236" i="2"/>
  <c r="MM243" i="2"/>
  <c r="MN200" i="2"/>
  <c r="MN236" i="2"/>
  <c r="MN243" i="2"/>
  <c r="MO200" i="2"/>
  <c r="MO236" i="2"/>
  <c r="MO243" i="2"/>
  <c r="MP200" i="2"/>
  <c r="MP236" i="2"/>
  <c r="MP243" i="2"/>
  <c r="MQ200" i="2"/>
  <c r="MQ236" i="2"/>
  <c r="MQ243" i="2"/>
  <c r="MR200" i="2"/>
  <c r="MR236" i="2"/>
  <c r="MR243" i="2"/>
  <c r="MS200" i="2"/>
  <c r="MS236" i="2"/>
  <c r="MS243" i="2"/>
  <c r="MT200" i="2"/>
  <c r="MT236" i="2"/>
  <c r="MT243" i="2"/>
  <c r="MU200" i="2"/>
  <c r="MU236" i="2"/>
  <c r="MU243" i="2"/>
  <c r="MV200" i="2"/>
  <c r="MV236" i="2"/>
  <c r="MV243" i="2"/>
  <c r="MW200" i="2"/>
  <c r="MW236" i="2"/>
  <c r="MW243" i="2"/>
  <c r="MX200" i="2"/>
  <c r="MX236" i="2"/>
  <c r="MX243" i="2"/>
  <c r="MY200" i="2"/>
  <c r="MY236" i="2"/>
  <c r="MY243" i="2"/>
  <c r="MZ200" i="2"/>
  <c r="MZ236" i="2"/>
  <c r="MZ243" i="2"/>
  <c r="NA200" i="2"/>
  <c r="NA236" i="2"/>
  <c r="NA243" i="2"/>
  <c r="NB200" i="2"/>
  <c r="NB236" i="2"/>
  <c r="NB243" i="2"/>
  <c r="NC200" i="2"/>
  <c r="NC236" i="2"/>
  <c r="NC243" i="2"/>
  <c r="ND200" i="2"/>
  <c r="ND236" i="2"/>
  <c r="ND243" i="2"/>
  <c r="NE200" i="2"/>
  <c r="NE236" i="2"/>
  <c r="NE243" i="2"/>
  <c r="NF200" i="2"/>
  <c r="NF236" i="2"/>
  <c r="NF243" i="2"/>
  <c r="NG200" i="2"/>
  <c r="NG236" i="2"/>
  <c r="NG243" i="2"/>
  <c r="NH200" i="2"/>
  <c r="NH236" i="2"/>
  <c r="NH243" i="2"/>
  <c r="NI200" i="2"/>
  <c r="NI236" i="2"/>
  <c r="NI243" i="2"/>
  <c r="NJ200" i="2"/>
  <c r="NJ236" i="2"/>
  <c r="NJ243" i="2"/>
  <c r="NK200" i="2"/>
  <c r="NK236" i="2"/>
  <c r="NK243" i="2"/>
  <c r="NL200" i="2"/>
  <c r="NL236" i="2"/>
  <c r="NL243" i="2"/>
  <c r="NM200" i="2"/>
  <c r="NM236" i="2"/>
  <c r="NM243" i="2"/>
  <c r="NN200" i="2"/>
  <c r="NN236" i="2"/>
  <c r="NN243" i="2"/>
  <c r="NO200" i="2"/>
  <c r="NO236" i="2"/>
  <c r="NO243" i="2"/>
  <c r="NP200" i="2"/>
  <c r="NP236" i="2"/>
  <c r="NP243" i="2"/>
  <c r="NQ200" i="2"/>
  <c r="NQ236" i="2"/>
  <c r="NQ243" i="2"/>
  <c r="NR200" i="2"/>
  <c r="NR236" i="2"/>
  <c r="NR243" i="2"/>
  <c r="NS200" i="2"/>
  <c r="NS236" i="2"/>
  <c r="NS243" i="2"/>
  <c r="NT200" i="2"/>
  <c r="NT236" i="2"/>
  <c r="NT243" i="2"/>
  <c r="NU200" i="2"/>
  <c r="NU236" i="2"/>
  <c r="NU243" i="2"/>
  <c r="NV200" i="2"/>
  <c r="NV236" i="2"/>
  <c r="NV243" i="2"/>
  <c r="NW200" i="2"/>
  <c r="NW236" i="2"/>
  <c r="NW243" i="2"/>
  <c r="NX200" i="2"/>
  <c r="NX236" i="2"/>
  <c r="NX243" i="2"/>
  <c r="NY200" i="2"/>
  <c r="NY236" i="2"/>
  <c r="NY243" i="2"/>
  <c r="NZ200" i="2"/>
  <c r="NZ236" i="2"/>
  <c r="NZ243" i="2"/>
  <c r="OA200" i="2"/>
  <c r="OA236" i="2"/>
  <c r="OA243" i="2"/>
  <c r="OB200" i="2"/>
  <c r="OB236" i="2"/>
  <c r="OB243" i="2"/>
  <c r="OC200" i="2"/>
  <c r="OC236" i="2"/>
  <c r="OC243" i="2"/>
  <c r="OD200" i="2"/>
  <c r="OD236" i="2"/>
  <c r="OD243" i="2"/>
  <c r="OE200" i="2"/>
  <c r="OE236" i="2"/>
  <c r="OE243" i="2"/>
  <c r="OF200" i="2"/>
  <c r="OF236" i="2"/>
  <c r="OF243" i="2"/>
  <c r="OG200" i="2"/>
  <c r="OG236" i="2"/>
  <c r="OG243" i="2"/>
  <c r="OH200" i="2"/>
  <c r="OH236" i="2"/>
  <c r="OH243" i="2"/>
  <c r="OI200" i="2"/>
  <c r="OI236" i="2"/>
  <c r="OI243" i="2"/>
  <c r="OJ200" i="2"/>
  <c r="OJ236" i="2"/>
  <c r="OJ243" i="2"/>
  <c r="OK200" i="2"/>
  <c r="OK236" i="2"/>
  <c r="OK243" i="2"/>
  <c r="OL200" i="2"/>
  <c r="OL236" i="2"/>
  <c r="OL243" i="2"/>
  <c r="OM200" i="2"/>
  <c r="OM236" i="2"/>
  <c r="OM243" i="2"/>
  <c r="ON200" i="2"/>
  <c r="ON236" i="2"/>
  <c r="ON243" i="2"/>
  <c r="OO200" i="2"/>
  <c r="OO236" i="2"/>
  <c r="OO243" i="2"/>
  <c r="OP200" i="2"/>
  <c r="OP236" i="2"/>
  <c r="OP243" i="2"/>
  <c r="OQ200" i="2"/>
  <c r="OQ236" i="2"/>
  <c r="OQ243" i="2"/>
  <c r="OR200" i="2"/>
  <c r="OR236" i="2"/>
  <c r="OR243" i="2"/>
  <c r="OS200" i="2"/>
  <c r="OS236" i="2"/>
  <c r="OS243" i="2"/>
  <c r="OT200" i="2"/>
  <c r="OT236" i="2"/>
  <c r="OT243" i="2"/>
  <c r="OU200" i="2"/>
  <c r="OU236" i="2"/>
  <c r="OU243" i="2"/>
  <c r="OV200" i="2"/>
  <c r="OV236" i="2"/>
  <c r="OV243" i="2"/>
  <c r="OW200" i="2"/>
  <c r="OW236" i="2"/>
  <c r="OW243" i="2"/>
  <c r="OX200" i="2"/>
  <c r="OX236" i="2"/>
  <c r="OX243" i="2"/>
  <c r="OY200" i="2"/>
  <c r="OY236" i="2"/>
  <c r="OY243" i="2"/>
  <c r="OZ200" i="2"/>
  <c r="OZ236" i="2"/>
  <c r="OZ243" i="2"/>
  <c r="PA200" i="2"/>
  <c r="PA236" i="2"/>
  <c r="PA243" i="2"/>
  <c r="PB200" i="2"/>
  <c r="PB236" i="2"/>
  <c r="PB243" i="2"/>
  <c r="PC200" i="2"/>
  <c r="PC236" i="2"/>
  <c r="PC243" i="2"/>
  <c r="PD200" i="2"/>
  <c r="PD236" i="2"/>
  <c r="PD243" i="2"/>
  <c r="PE200" i="2"/>
  <c r="PE236" i="2"/>
  <c r="PE243" i="2"/>
  <c r="PF200" i="2"/>
  <c r="PF236" i="2"/>
  <c r="PF243" i="2"/>
  <c r="PG200" i="2"/>
  <c r="PG236" i="2"/>
  <c r="PG243" i="2"/>
  <c r="PH200" i="2"/>
  <c r="PH236" i="2"/>
  <c r="PH243" i="2"/>
  <c r="PI200" i="2"/>
  <c r="PI236" i="2"/>
  <c r="PI243" i="2"/>
  <c r="PJ200" i="2"/>
  <c r="PJ236" i="2"/>
  <c r="PJ243" i="2"/>
  <c r="PK200" i="2"/>
  <c r="PK236" i="2"/>
  <c r="PK243" i="2"/>
  <c r="PL200" i="2"/>
  <c r="PL236" i="2"/>
  <c r="PL243" i="2"/>
  <c r="PM200" i="2"/>
  <c r="PM236" i="2"/>
  <c r="PM243" i="2"/>
  <c r="PN200" i="2"/>
  <c r="PN236" i="2"/>
  <c r="PN243" i="2"/>
  <c r="PO200" i="2"/>
  <c r="PO236" i="2"/>
  <c r="PO243" i="2"/>
  <c r="PP200" i="2"/>
  <c r="PP236" i="2"/>
  <c r="PP243" i="2"/>
  <c r="PQ200" i="2"/>
  <c r="PQ236" i="2"/>
  <c r="PQ243" i="2"/>
  <c r="PR200" i="2"/>
  <c r="PR236" i="2"/>
  <c r="PR243" i="2"/>
  <c r="PS200" i="2"/>
  <c r="PS236" i="2"/>
  <c r="PS243" i="2"/>
  <c r="PT200" i="2"/>
  <c r="PT236" i="2"/>
  <c r="PT243" i="2"/>
  <c r="PU200" i="2"/>
  <c r="PU236" i="2"/>
  <c r="PU243" i="2"/>
  <c r="PV200" i="2"/>
  <c r="PV236" i="2"/>
  <c r="PV243" i="2"/>
  <c r="PW200" i="2"/>
  <c r="PW236" i="2"/>
  <c r="PW243" i="2"/>
  <c r="PX200" i="2"/>
  <c r="PX236" i="2"/>
  <c r="PX243" i="2"/>
  <c r="PY200" i="2"/>
  <c r="PY236" i="2"/>
  <c r="PY243" i="2"/>
  <c r="PZ200" i="2"/>
  <c r="PZ236" i="2"/>
  <c r="PZ243" i="2"/>
  <c r="QA200" i="2"/>
  <c r="QA236" i="2"/>
  <c r="QA243" i="2"/>
  <c r="QB200" i="2"/>
  <c r="QB236" i="2"/>
  <c r="QB243" i="2"/>
  <c r="QC200" i="2"/>
  <c r="QC236" i="2"/>
  <c r="QC243" i="2"/>
  <c r="QD200" i="2"/>
  <c r="QD236" i="2"/>
  <c r="QD243" i="2"/>
  <c r="QE200" i="2"/>
  <c r="QE236" i="2"/>
  <c r="QE243" i="2"/>
  <c r="QF200" i="2"/>
  <c r="QF236" i="2"/>
  <c r="QF243" i="2"/>
  <c r="QG200" i="2"/>
  <c r="QG236" i="2"/>
  <c r="QG243" i="2"/>
  <c r="QH200" i="2"/>
  <c r="QH236" i="2"/>
  <c r="QH243" i="2"/>
  <c r="QI200" i="2"/>
  <c r="QI236" i="2"/>
  <c r="QI243" i="2"/>
  <c r="QJ200" i="2"/>
  <c r="QJ236" i="2"/>
  <c r="QJ243" i="2"/>
  <c r="QK200" i="2"/>
  <c r="QK236" i="2"/>
  <c r="QK243" i="2"/>
  <c r="QL200" i="2"/>
  <c r="QL236" i="2"/>
  <c r="QL243" i="2"/>
  <c r="QM200" i="2"/>
  <c r="QM236" i="2"/>
  <c r="QM243" i="2"/>
  <c r="QN200" i="2"/>
  <c r="QN236" i="2"/>
  <c r="QN243" i="2"/>
  <c r="QO200" i="2"/>
  <c r="QO236" i="2"/>
  <c r="QO243" i="2"/>
  <c r="QP200" i="2"/>
  <c r="QP236" i="2"/>
  <c r="QP243" i="2"/>
  <c r="QQ200" i="2"/>
  <c r="QQ236" i="2"/>
  <c r="QQ243" i="2"/>
  <c r="QR200" i="2"/>
  <c r="QR236" i="2"/>
  <c r="QR243" i="2"/>
  <c r="QS200" i="2"/>
  <c r="QS236" i="2"/>
  <c r="QS243" i="2"/>
  <c r="QT200" i="2"/>
  <c r="QT236" i="2"/>
  <c r="QT243" i="2"/>
  <c r="QU200" i="2"/>
  <c r="QU236" i="2"/>
  <c r="QU243" i="2"/>
  <c r="QV200" i="2"/>
  <c r="QV236" i="2"/>
  <c r="QV243" i="2"/>
  <c r="QW200" i="2"/>
  <c r="QW236" i="2"/>
  <c r="QW243" i="2"/>
  <c r="QX200" i="2"/>
  <c r="QX236" i="2"/>
  <c r="QX243" i="2"/>
  <c r="QY200" i="2"/>
  <c r="QY236" i="2"/>
  <c r="QY243" i="2"/>
  <c r="QZ200" i="2"/>
  <c r="QZ236" i="2"/>
  <c r="QZ243" i="2"/>
  <c r="RA200" i="2"/>
  <c r="RA236" i="2"/>
  <c r="RA243" i="2"/>
  <c r="RB200" i="2"/>
  <c r="RB236" i="2"/>
  <c r="RB243" i="2"/>
  <c r="RC200" i="2"/>
  <c r="RC236" i="2"/>
  <c r="RC243" i="2"/>
  <c r="RD200" i="2"/>
  <c r="RD236" i="2"/>
  <c r="RD243" i="2"/>
  <c r="RE200" i="2"/>
  <c r="RE236" i="2"/>
  <c r="RE243" i="2"/>
  <c r="RF200" i="2"/>
  <c r="RF236" i="2"/>
  <c r="RF243" i="2"/>
  <c r="RG200" i="2"/>
  <c r="RG236" i="2"/>
  <c r="RG243" i="2"/>
  <c r="RH200" i="2"/>
  <c r="RH236" i="2"/>
  <c r="RH243" i="2"/>
  <c r="RI200" i="2"/>
  <c r="RI236" i="2"/>
  <c r="RI243" i="2"/>
  <c r="RJ200" i="2"/>
  <c r="RJ236" i="2"/>
  <c r="RJ243" i="2"/>
  <c r="RK200" i="2"/>
  <c r="RK236" i="2"/>
  <c r="RK243" i="2"/>
  <c r="RL200" i="2"/>
  <c r="RL236" i="2"/>
  <c r="RL243" i="2"/>
  <c r="RM200" i="2"/>
  <c r="RM236" i="2"/>
  <c r="RM243" i="2"/>
  <c r="RN200" i="2"/>
  <c r="RN236" i="2"/>
  <c r="RN243" i="2"/>
  <c r="RO200" i="2"/>
  <c r="RO236" i="2"/>
  <c r="RO243" i="2"/>
  <c r="RP200" i="2"/>
  <c r="RP236" i="2"/>
  <c r="RP243" i="2"/>
  <c r="RQ200" i="2"/>
  <c r="RQ236" i="2"/>
  <c r="RQ243" i="2"/>
  <c r="RR200" i="2"/>
  <c r="RR236" i="2"/>
  <c r="RR243" i="2"/>
  <c r="E200" i="2"/>
  <c r="E236" i="2"/>
  <c r="E243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ND80" i="2"/>
  <c r="NE80" i="2"/>
  <c r="NF80" i="2"/>
  <c r="NG80" i="2"/>
  <c r="NH80" i="2"/>
  <c r="NI80" i="2"/>
  <c r="NJ80" i="2"/>
  <c r="NK80" i="2"/>
  <c r="NL80" i="2"/>
  <c r="NM80" i="2"/>
  <c r="NN80" i="2"/>
  <c r="NO80" i="2"/>
  <c r="NP80" i="2"/>
  <c r="NQ80" i="2"/>
  <c r="NR80" i="2"/>
  <c r="NS80" i="2"/>
  <c r="NT80" i="2"/>
  <c r="NU80" i="2"/>
  <c r="NV80" i="2"/>
  <c r="NW80" i="2"/>
  <c r="NX80" i="2"/>
  <c r="NY80" i="2"/>
  <c r="NZ80" i="2"/>
  <c r="OA80" i="2"/>
  <c r="OB80" i="2"/>
  <c r="OC80" i="2"/>
  <c r="OD80" i="2"/>
  <c r="OE80" i="2"/>
  <c r="OF80" i="2"/>
  <c r="OG80" i="2"/>
  <c r="OH80" i="2"/>
  <c r="OI80" i="2"/>
  <c r="OJ80" i="2"/>
  <c r="OK80" i="2"/>
  <c r="OL80" i="2"/>
  <c r="OM80" i="2"/>
  <c r="ON80" i="2"/>
  <c r="OO80" i="2"/>
  <c r="OP80" i="2"/>
  <c r="OQ80" i="2"/>
  <c r="OR80" i="2"/>
  <c r="OS80" i="2"/>
  <c r="OT80" i="2"/>
  <c r="OU80" i="2"/>
  <c r="OV80" i="2"/>
  <c r="OW80" i="2"/>
  <c r="OX80" i="2"/>
  <c r="OY80" i="2"/>
  <c r="OZ80" i="2"/>
  <c r="PA80" i="2"/>
  <c r="PB80" i="2"/>
  <c r="PC80" i="2"/>
  <c r="PD80" i="2"/>
  <c r="PE80" i="2"/>
  <c r="PF80" i="2"/>
  <c r="PG80" i="2"/>
  <c r="PH80" i="2"/>
  <c r="PI80" i="2"/>
  <c r="PJ80" i="2"/>
  <c r="PK80" i="2"/>
  <c r="PL80" i="2"/>
  <c r="PM80" i="2"/>
  <c r="PN80" i="2"/>
  <c r="PO80" i="2"/>
  <c r="PP80" i="2"/>
  <c r="PQ80" i="2"/>
  <c r="PR80" i="2"/>
  <c r="PS80" i="2"/>
  <c r="PT80" i="2"/>
  <c r="PU80" i="2"/>
  <c r="PV80" i="2"/>
  <c r="PW80" i="2"/>
  <c r="PX80" i="2"/>
  <c r="PY80" i="2"/>
  <c r="PZ80" i="2"/>
  <c r="QA80" i="2"/>
  <c r="QB80" i="2"/>
  <c r="QC80" i="2"/>
  <c r="QD80" i="2"/>
  <c r="QE80" i="2"/>
  <c r="QF80" i="2"/>
  <c r="QG80" i="2"/>
  <c r="QH80" i="2"/>
  <c r="QI80" i="2"/>
  <c r="QJ80" i="2"/>
  <c r="QK80" i="2"/>
  <c r="QL80" i="2"/>
  <c r="QM80" i="2"/>
  <c r="QN80" i="2"/>
  <c r="QO80" i="2"/>
  <c r="QP80" i="2"/>
  <c r="QQ80" i="2"/>
  <c r="QR80" i="2"/>
  <c r="QS80" i="2"/>
  <c r="QT80" i="2"/>
  <c r="QU80" i="2"/>
  <c r="QV80" i="2"/>
  <c r="QW80" i="2"/>
  <c r="QX80" i="2"/>
  <c r="QY80" i="2"/>
  <c r="QZ80" i="2"/>
  <c r="RA80" i="2"/>
  <c r="RB80" i="2"/>
  <c r="RC80" i="2"/>
  <c r="RD80" i="2"/>
  <c r="RE80" i="2"/>
  <c r="RF80" i="2"/>
  <c r="RG80" i="2"/>
  <c r="RH80" i="2"/>
  <c r="RI80" i="2"/>
  <c r="RJ80" i="2"/>
  <c r="RK80" i="2"/>
  <c r="RL80" i="2"/>
  <c r="RM80" i="2"/>
  <c r="RN80" i="2"/>
  <c r="RO80" i="2"/>
  <c r="RP80" i="2"/>
  <c r="RQ80" i="2"/>
  <c r="RR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F80" i="2"/>
  <c r="E80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ND73" i="2"/>
  <c r="NE73" i="2"/>
  <c r="NF73" i="2"/>
  <c r="NG73" i="2"/>
  <c r="NH73" i="2"/>
  <c r="NI73" i="2"/>
  <c r="NJ73" i="2"/>
  <c r="NK73" i="2"/>
  <c r="NL73" i="2"/>
  <c r="NM73" i="2"/>
  <c r="NN73" i="2"/>
  <c r="NO73" i="2"/>
  <c r="NP73" i="2"/>
  <c r="NQ73" i="2"/>
  <c r="NR73" i="2"/>
  <c r="NS73" i="2"/>
  <c r="NT73" i="2"/>
  <c r="NU73" i="2"/>
  <c r="NV73" i="2"/>
  <c r="NW73" i="2"/>
  <c r="NX73" i="2"/>
  <c r="NY73" i="2"/>
  <c r="NZ73" i="2"/>
  <c r="OA73" i="2"/>
  <c r="OB73" i="2"/>
  <c r="OC73" i="2"/>
  <c r="OD73" i="2"/>
  <c r="OE73" i="2"/>
  <c r="OF73" i="2"/>
  <c r="OG73" i="2"/>
  <c r="OH73" i="2"/>
  <c r="OI73" i="2"/>
  <c r="OJ73" i="2"/>
  <c r="OK73" i="2"/>
  <c r="OL73" i="2"/>
  <c r="OM73" i="2"/>
  <c r="ON73" i="2"/>
  <c r="OO73" i="2"/>
  <c r="OP73" i="2"/>
  <c r="OQ73" i="2"/>
  <c r="OR73" i="2"/>
  <c r="OS73" i="2"/>
  <c r="OT73" i="2"/>
  <c r="OU73" i="2"/>
  <c r="OV73" i="2"/>
  <c r="OW73" i="2"/>
  <c r="OX73" i="2"/>
  <c r="OY73" i="2"/>
  <c r="OZ73" i="2"/>
  <c r="PA73" i="2"/>
  <c r="PB73" i="2"/>
  <c r="PC73" i="2"/>
  <c r="PD73" i="2"/>
  <c r="PE73" i="2"/>
  <c r="PF73" i="2"/>
  <c r="PG73" i="2"/>
  <c r="PH73" i="2"/>
  <c r="PI73" i="2"/>
  <c r="PJ73" i="2"/>
  <c r="PK73" i="2"/>
  <c r="PL73" i="2"/>
  <c r="PM73" i="2"/>
  <c r="PN73" i="2"/>
  <c r="PO73" i="2"/>
  <c r="PP73" i="2"/>
  <c r="PQ73" i="2"/>
  <c r="PR73" i="2"/>
  <c r="PS73" i="2"/>
  <c r="PT73" i="2"/>
  <c r="PU73" i="2"/>
  <c r="PV73" i="2"/>
  <c r="PW73" i="2"/>
  <c r="PX73" i="2"/>
  <c r="PY73" i="2"/>
  <c r="PZ73" i="2"/>
  <c r="QA73" i="2"/>
  <c r="QB73" i="2"/>
  <c r="QC73" i="2"/>
  <c r="QD73" i="2"/>
  <c r="QE73" i="2"/>
  <c r="QF73" i="2"/>
  <c r="QG73" i="2"/>
  <c r="QH73" i="2"/>
  <c r="QI73" i="2"/>
  <c r="QJ73" i="2"/>
  <c r="QK73" i="2"/>
  <c r="QL73" i="2"/>
  <c r="QM73" i="2"/>
  <c r="QN73" i="2"/>
  <c r="QO73" i="2"/>
  <c r="QP73" i="2"/>
  <c r="QQ73" i="2"/>
  <c r="QR73" i="2"/>
  <c r="QS73" i="2"/>
  <c r="QT73" i="2"/>
  <c r="QU73" i="2"/>
  <c r="QV73" i="2"/>
  <c r="QW73" i="2"/>
  <c r="QX73" i="2"/>
  <c r="QY73" i="2"/>
  <c r="QZ73" i="2"/>
  <c r="RA73" i="2"/>
  <c r="RB73" i="2"/>
  <c r="RC73" i="2"/>
  <c r="RD73" i="2"/>
  <c r="RE73" i="2"/>
  <c r="RF73" i="2"/>
  <c r="RG73" i="2"/>
  <c r="RH73" i="2"/>
  <c r="RI73" i="2"/>
  <c r="RJ73" i="2"/>
  <c r="RK73" i="2"/>
  <c r="RL73" i="2"/>
  <c r="RM73" i="2"/>
  <c r="RN73" i="2"/>
  <c r="RO73" i="2"/>
  <c r="RP73" i="2"/>
  <c r="RQ73" i="2"/>
  <c r="RR73" i="2"/>
  <c r="H3" i="8"/>
  <c r="F3" i="8"/>
  <c r="E28" i="5"/>
  <c r="F28" i="5"/>
  <c r="G28" i="5"/>
  <c r="H28" i="5"/>
  <c r="I28" i="5"/>
  <c r="J28" i="5"/>
  <c r="K28" i="5"/>
  <c r="L28" i="5"/>
  <c r="M28" i="5"/>
  <c r="N28" i="5"/>
  <c r="O28" i="5"/>
  <c r="P28" i="5"/>
  <c r="J3" i="8"/>
  <c r="K3" i="8"/>
  <c r="H4" i="8"/>
  <c r="F4" i="8"/>
  <c r="Q28" i="5"/>
  <c r="R28" i="5"/>
  <c r="S28" i="5"/>
  <c r="T28" i="5"/>
  <c r="U28" i="5"/>
  <c r="V28" i="5"/>
  <c r="W28" i="5"/>
  <c r="X28" i="5"/>
  <c r="Y28" i="5"/>
  <c r="Z28" i="5"/>
  <c r="AA28" i="5"/>
  <c r="AB28" i="5"/>
  <c r="J4" i="8"/>
  <c r="K4" i="8"/>
  <c r="H5" i="8"/>
  <c r="F5" i="8"/>
  <c r="AC28" i="5"/>
  <c r="AD28" i="5"/>
  <c r="AE28" i="5"/>
  <c r="AF28" i="5"/>
  <c r="AG28" i="5"/>
  <c r="AH28" i="5"/>
  <c r="AI28" i="5"/>
  <c r="AJ28" i="5"/>
  <c r="AK28" i="5"/>
  <c r="AL28" i="5"/>
  <c r="AM28" i="5"/>
  <c r="AN28" i="5"/>
  <c r="J5" i="8"/>
  <c r="K5" i="8"/>
  <c r="H6" i="8"/>
  <c r="F6" i="8"/>
  <c r="AO28" i="5"/>
  <c r="AP28" i="5"/>
  <c r="AQ28" i="5"/>
  <c r="AR28" i="5"/>
  <c r="AS28" i="5"/>
  <c r="AT28" i="5"/>
  <c r="AU28" i="5"/>
  <c r="AV28" i="5"/>
  <c r="AW28" i="5"/>
  <c r="AX28" i="5"/>
  <c r="AY28" i="5"/>
  <c r="AZ28" i="5"/>
  <c r="J6" i="8"/>
  <c r="K6" i="8"/>
  <c r="H7" i="8"/>
  <c r="F7" i="8"/>
  <c r="BA28" i="5"/>
  <c r="BB28" i="5"/>
  <c r="BC28" i="5"/>
  <c r="BD28" i="5"/>
  <c r="BE28" i="5"/>
  <c r="BF28" i="5"/>
  <c r="BG28" i="5"/>
  <c r="BH28" i="5"/>
  <c r="BI28" i="5"/>
  <c r="BJ28" i="5"/>
  <c r="BK28" i="5"/>
  <c r="BL28" i="5"/>
  <c r="J7" i="8"/>
  <c r="K7" i="8"/>
  <c r="H8" i="8"/>
  <c r="F8" i="8"/>
  <c r="BM28" i="5"/>
  <c r="BN28" i="5"/>
  <c r="BO28" i="5"/>
  <c r="BP28" i="5"/>
  <c r="BQ28" i="5"/>
  <c r="BR28" i="5"/>
  <c r="BS28" i="5"/>
  <c r="BT28" i="5"/>
  <c r="BU28" i="5"/>
  <c r="BV28" i="5"/>
  <c r="BW28" i="5"/>
  <c r="BX28" i="5"/>
  <c r="J8" i="8"/>
  <c r="K8" i="8"/>
  <c r="H9" i="8"/>
  <c r="F9" i="8"/>
  <c r="J9" i="8"/>
  <c r="K9" i="8"/>
  <c r="H10" i="8"/>
  <c r="F10" i="8"/>
  <c r="J10" i="8"/>
  <c r="K10" i="8"/>
  <c r="H11" i="8"/>
  <c r="F11" i="8"/>
  <c r="J11" i="8"/>
  <c r="K11" i="8"/>
  <c r="H12" i="8"/>
  <c r="F12" i="8"/>
  <c r="J12" i="8"/>
  <c r="K12" i="8"/>
  <c r="H13" i="8"/>
  <c r="F13" i="8"/>
  <c r="J13" i="8"/>
  <c r="K13" i="8"/>
  <c r="H14" i="8"/>
  <c r="F14" i="8"/>
  <c r="J14" i="8"/>
  <c r="K14" i="8"/>
  <c r="H15" i="8"/>
  <c r="F15" i="8"/>
  <c r="J15" i="8"/>
  <c r="K15" i="8"/>
  <c r="H16" i="8"/>
  <c r="F16" i="8"/>
  <c r="J16" i="8"/>
  <c r="K16" i="8"/>
  <c r="H17" i="8"/>
  <c r="F17" i="8"/>
  <c r="J17" i="8"/>
  <c r="K17" i="8"/>
  <c r="K19" i="8"/>
  <c r="E205" i="2"/>
  <c r="C207" i="2"/>
  <c r="B207" i="2"/>
  <c r="A207" i="2"/>
  <c r="F201" i="2"/>
  <c r="F237" i="2"/>
  <c r="G201" i="2"/>
  <c r="G237" i="2"/>
  <c r="H201" i="2"/>
  <c r="H237" i="2"/>
  <c r="I201" i="2"/>
  <c r="I237" i="2"/>
  <c r="J201" i="2"/>
  <c r="J237" i="2"/>
  <c r="K201" i="2"/>
  <c r="K237" i="2"/>
  <c r="L201" i="2"/>
  <c r="L237" i="2"/>
  <c r="M201" i="2"/>
  <c r="M237" i="2"/>
  <c r="N201" i="2"/>
  <c r="N237" i="2"/>
  <c r="O201" i="2"/>
  <c r="O237" i="2"/>
  <c r="P201" i="2"/>
  <c r="P237" i="2"/>
  <c r="Q201" i="2"/>
  <c r="Q237" i="2"/>
  <c r="R201" i="2"/>
  <c r="R237" i="2"/>
  <c r="S201" i="2"/>
  <c r="S237" i="2"/>
  <c r="T201" i="2"/>
  <c r="T237" i="2"/>
  <c r="U201" i="2"/>
  <c r="U237" i="2"/>
  <c r="V201" i="2"/>
  <c r="V237" i="2"/>
  <c r="W201" i="2"/>
  <c r="W237" i="2"/>
  <c r="X201" i="2"/>
  <c r="X237" i="2"/>
  <c r="Y201" i="2"/>
  <c r="Y237" i="2"/>
  <c r="Z201" i="2"/>
  <c r="Z237" i="2"/>
  <c r="AA201" i="2"/>
  <c r="AA237" i="2"/>
  <c r="AB201" i="2"/>
  <c r="AB237" i="2"/>
  <c r="AC201" i="2"/>
  <c r="AC237" i="2"/>
  <c r="AD201" i="2"/>
  <c r="AD237" i="2"/>
  <c r="AE201" i="2"/>
  <c r="AE237" i="2"/>
  <c r="AF201" i="2"/>
  <c r="AF237" i="2"/>
  <c r="AG201" i="2"/>
  <c r="AG237" i="2"/>
  <c r="AH201" i="2"/>
  <c r="AH237" i="2"/>
  <c r="AI201" i="2"/>
  <c r="AI237" i="2"/>
  <c r="AJ201" i="2"/>
  <c r="AJ237" i="2"/>
  <c r="AK201" i="2"/>
  <c r="AK237" i="2"/>
  <c r="AL201" i="2"/>
  <c r="AL237" i="2"/>
  <c r="AM201" i="2"/>
  <c r="AM237" i="2"/>
  <c r="AN201" i="2"/>
  <c r="AN237" i="2"/>
  <c r="AO201" i="2"/>
  <c r="AO237" i="2"/>
  <c r="AP201" i="2"/>
  <c r="AP237" i="2"/>
  <c r="AQ201" i="2"/>
  <c r="AQ237" i="2"/>
  <c r="AR201" i="2"/>
  <c r="AR237" i="2"/>
  <c r="AS201" i="2"/>
  <c r="AS237" i="2"/>
  <c r="AT201" i="2"/>
  <c r="AT237" i="2"/>
  <c r="AU201" i="2"/>
  <c r="AU237" i="2"/>
  <c r="AV201" i="2"/>
  <c r="AV237" i="2"/>
  <c r="AW201" i="2"/>
  <c r="AW237" i="2"/>
  <c r="AX201" i="2"/>
  <c r="AX237" i="2"/>
  <c r="AY201" i="2"/>
  <c r="AY237" i="2"/>
  <c r="AZ201" i="2"/>
  <c r="AZ237" i="2"/>
  <c r="BA201" i="2"/>
  <c r="BA237" i="2"/>
  <c r="BB201" i="2"/>
  <c r="BB237" i="2"/>
  <c r="BC201" i="2"/>
  <c r="BC237" i="2"/>
  <c r="BD201" i="2"/>
  <c r="BD237" i="2"/>
  <c r="BE201" i="2"/>
  <c r="BE237" i="2"/>
  <c r="BF201" i="2"/>
  <c r="BF237" i="2"/>
  <c r="BG201" i="2"/>
  <c r="BG237" i="2"/>
  <c r="BH201" i="2"/>
  <c r="BH237" i="2"/>
  <c r="BI201" i="2"/>
  <c r="BI237" i="2"/>
  <c r="BJ201" i="2"/>
  <c r="BJ237" i="2"/>
  <c r="BK201" i="2"/>
  <c r="BK237" i="2"/>
  <c r="BL201" i="2"/>
  <c r="BL237" i="2"/>
  <c r="BM201" i="2"/>
  <c r="BM237" i="2"/>
  <c r="BN201" i="2"/>
  <c r="BN237" i="2"/>
  <c r="BO201" i="2"/>
  <c r="BO237" i="2"/>
  <c r="BP201" i="2"/>
  <c r="BP237" i="2"/>
  <c r="BQ201" i="2"/>
  <c r="BQ237" i="2"/>
  <c r="BR201" i="2"/>
  <c r="BR237" i="2"/>
  <c r="BS201" i="2"/>
  <c r="BS237" i="2"/>
  <c r="BT201" i="2"/>
  <c r="BT237" i="2"/>
  <c r="BU201" i="2"/>
  <c r="BU237" i="2"/>
  <c r="BV201" i="2"/>
  <c r="BV237" i="2"/>
  <c r="BW201" i="2"/>
  <c r="BW237" i="2"/>
  <c r="BX201" i="2"/>
  <c r="BX237" i="2"/>
  <c r="BY201" i="2"/>
  <c r="BY237" i="2"/>
  <c r="BZ201" i="2"/>
  <c r="BZ237" i="2"/>
  <c r="CA201" i="2"/>
  <c r="CA237" i="2"/>
  <c r="CB201" i="2"/>
  <c r="CB237" i="2"/>
  <c r="CC201" i="2"/>
  <c r="CC237" i="2"/>
  <c r="CD201" i="2"/>
  <c r="CD237" i="2"/>
  <c r="CE201" i="2"/>
  <c r="CE237" i="2"/>
  <c r="CF201" i="2"/>
  <c r="CF237" i="2"/>
  <c r="CG201" i="2"/>
  <c r="CG237" i="2"/>
  <c r="CH201" i="2"/>
  <c r="CH237" i="2"/>
  <c r="CI201" i="2"/>
  <c r="CI237" i="2"/>
  <c r="CJ201" i="2"/>
  <c r="CJ237" i="2"/>
  <c r="CK201" i="2"/>
  <c r="CK237" i="2"/>
  <c r="CL201" i="2"/>
  <c r="CL237" i="2"/>
  <c r="CM201" i="2"/>
  <c r="CM237" i="2"/>
  <c r="CN201" i="2"/>
  <c r="CN237" i="2"/>
  <c r="CO201" i="2"/>
  <c r="CO237" i="2"/>
  <c r="CP201" i="2"/>
  <c r="CP237" i="2"/>
  <c r="CQ201" i="2"/>
  <c r="CQ237" i="2"/>
  <c r="CR201" i="2"/>
  <c r="CR237" i="2"/>
  <c r="CS201" i="2"/>
  <c r="CS237" i="2"/>
  <c r="CT201" i="2"/>
  <c r="CT237" i="2"/>
  <c r="CU201" i="2"/>
  <c r="CU237" i="2"/>
  <c r="CV201" i="2"/>
  <c r="CV237" i="2"/>
  <c r="CW201" i="2"/>
  <c r="CW237" i="2"/>
  <c r="CX201" i="2"/>
  <c r="CX237" i="2"/>
  <c r="CY201" i="2"/>
  <c r="CY237" i="2"/>
  <c r="CZ201" i="2"/>
  <c r="CZ237" i="2"/>
  <c r="DA201" i="2"/>
  <c r="DA237" i="2"/>
  <c r="DB201" i="2"/>
  <c r="DB237" i="2"/>
  <c r="DC201" i="2"/>
  <c r="DC237" i="2"/>
  <c r="DD201" i="2"/>
  <c r="DD237" i="2"/>
  <c r="DE201" i="2"/>
  <c r="DE237" i="2"/>
  <c r="DF201" i="2"/>
  <c r="DF237" i="2"/>
  <c r="DG201" i="2"/>
  <c r="DG237" i="2"/>
  <c r="DH201" i="2"/>
  <c r="DH237" i="2"/>
  <c r="DI201" i="2"/>
  <c r="DI237" i="2"/>
  <c r="DJ201" i="2"/>
  <c r="DJ237" i="2"/>
  <c r="DK201" i="2"/>
  <c r="DK237" i="2"/>
  <c r="DL201" i="2"/>
  <c r="DL237" i="2"/>
  <c r="DM201" i="2"/>
  <c r="DM237" i="2"/>
  <c r="DN201" i="2"/>
  <c r="DN237" i="2"/>
  <c r="DO201" i="2"/>
  <c r="DO237" i="2"/>
  <c r="DP201" i="2"/>
  <c r="DP237" i="2"/>
  <c r="DQ201" i="2"/>
  <c r="DQ237" i="2"/>
  <c r="DR201" i="2"/>
  <c r="DR237" i="2"/>
  <c r="DS201" i="2"/>
  <c r="DS237" i="2"/>
  <c r="DT201" i="2"/>
  <c r="DT237" i="2"/>
  <c r="DU201" i="2"/>
  <c r="DU237" i="2"/>
  <c r="DV201" i="2"/>
  <c r="DV237" i="2"/>
  <c r="DW201" i="2"/>
  <c r="DW237" i="2"/>
  <c r="DX201" i="2"/>
  <c r="DX237" i="2"/>
  <c r="DY201" i="2"/>
  <c r="DY237" i="2"/>
  <c r="DZ201" i="2"/>
  <c r="DZ237" i="2"/>
  <c r="EA201" i="2"/>
  <c r="EA237" i="2"/>
  <c r="EB201" i="2"/>
  <c r="EB237" i="2"/>
  <c r="EC201" i="2"/>
  <c r="EC237" i="2"/>
  <c r="ED201" i="2"/>
  <c r="ED237" i="2"/>
  <c r="EE201" i="2"/>
  <c r="EE237" i="2"/>
  <c r="EF201" i="2"/>
  <c r="EF237" i="2"/>
  <c r="EG201" i="2"/>
  <c r="EG237" i="2"/>
  <c r="EH201" i="2"/>
  <c r="EH237" i="2"/>
  <c r="EI201" i="2"/>
  <c r="EI237" i="2"/>
  <c r="EJ201" i="2"/>
  <c r="EJ237" i="2"/>
  <c r="EK201" i="2"/>
  <c r="EK237" i="2"/>
  <c r="EL201" i="2"/>
  <c r="EL237" i="2"/>
  <c r="EM201" i="2"/>
  <c r="EM237" i="2"/>
  <c r="EN201" i="2"/>
  <c r="EN237" i="2"/>
  <c r="EO201" i="2"/>
  <c r="EO237" i="2"/>
  <c r="EP201" i="2"/>
  <c r="EP237" i="2"/>
  <c r="EQ201" i="2"/>
  <c r="EQ237" i="2"/>
  <c r="ER201" i="2"/>
  <c r="ER237" i="2"/>
  <c r="ES201" i="2"/>
  <c r="ES237" i="2"/>
  <c r="ET201" i="2"/>
  <c r="ET237" i="2"/>
  <c r="EU201" i="2"/>
  <c r="EU237" i="2"/>
  <c r="EV201" i="2"/>
  <c r="EV237" i="2"/>
  <c r="EW201" i="2"/>
  <c r="EW237" i="2"/>
  <c r="EX201" i="2"/>
  <c r="EX237" i="2"/>
  <c r="EY201" i="2"/>
  <c r="EY237" i="2"/>
  <c r="EZ201" i="2"/>
  <c r="EZ237" i="2"/>
  <c r="FA201" i="2"/>
  <c r="FA237" i="2"/>
  <c r="FB201" i="2"/>
  <c r="FB237" i="2"/>
  <c r="FC201" i="2"/>
  <c r="FC237" i="2"/>
  <c r="FD201" i="2"/>
  <c r="FD237" i="2"/>
  <c r="FE201" i="2"/>
  <c r="FE237" i="2"/>
  <c r="FF201" i="2"/>
  <c r="FF237" i="2"/>
  <c r="FG201" i="2"/>
  <c r="FG237" i="2"/>
  <c r="FH201" i="2"/>
  <c r="FH237" i="2"/>
  <c r="FI201" i="2"/>
  <c r="FI237" i="2"/>
  <c r="FJ201" i="2"/>
  <c r="FJ237" i="2"/>
  <c r="FK201" i="2"/>
  <c r="FK237" i="2"/>
  <c r="FL201" i="2"/>
  <c r="FL237" i="2"/>
  <c r="FM201" i="2"/>
  <c r="FM237" i="2"/>
  <c r="FN201" i="2"/>
  <c r="FN237" i="2"/>
  <c r="FO201" i="2"/>
  <c r="FO237" i="2"/>
  <c r="FP201" i="2"/>
  <c r="FP237" i="2"/>
  <c r="FQ201" i="2"/>
  <c r="FQ237" i="2"/>
  <c r="FR201" i="2"/>
  <c r="FR237" i="2"/>
  <c r="FS201" i="2"/>
  <c r="FS237" i="2"/>
  <c r="FT201" i="2"/>
  <c r="FT237" i="2"/>
  <c r="FU201" i="2"/>
  <c r="FU237" i="2"/>
  <c r="FV201" i="2"/>
  <c r="FV237" i="2"/>
  <c r="FW201" i="2"/>
  <c r="FW237" i="2"/>
  <c r="FX201" i="2"/>
  <c r="FX237" i="2"/>
  <c r="FY201" i="2"/>
  <c r="FY237" i="2"/>
  <c r="FZ201" i="2"/>
  <c r="FZ237" i="2"/>
  <c r="GA201" i="2"/>
  <c r="GA237" i="2"/>
  <c r="GB201" i="2"/>
  <c r="GB237" i="2"/>
  <c r="GC201" i="2"/>
  <c r="GC237" i="2"/>
  <c r="GD201" i="2"/>
  <c r="GD237" i="2"/>
  <c r="GE201" i="2"/>
  <c r="GE237" i="2"/>
  <c r="GF201" i="2"/>
  <c r="GF237" i="2"/>
  <c r="GG201" i="2"/>
  <c r="GG237" i="2"/>
  <c r="GH201" i="2"/>
  <c r="GH237" i="2"/>
  <c r="GI201" i="2"/>
  <c r="GI237" i="2"/>
  <c r="GJ201" i="2"/>
  <c r="GJ237" i="2"/>
  <c r="GK201" i="2"/>
  <c r="GK237" i="2"/>
  <c r="GL201" i="2"/>
  <c r="GL237" i="2"/>
  <c r="GM201" i="2"/>
  <c r="GM237" i="2"/>
  <c r="GN201" i="2"/>
  <c r="GN237" i="2"/>
  <c r="GO201" i="2"/>
  <c r="GO237" i="2"/>
  <c r="GP201" i="2"/>
  <c r="GP237" i="2"/>
  <c r="GQ201" i="2"/>
  <c r="GQ237" i="2"/>
  <c r="GR201" i="2"/>
  <c r="GR237" i="2"/>
  <c r="GS201" i="2"/>
  <c r="GS237" i="2"/>
  <c r="GT201" i="2"/>
  <c r="GT237" i="2"/>
  <c r="GU201" i="2"/>
  <c r="GU237" i="2"/>
  <c r="GV201" i="2"/>
  <c r="GV237" i="2"/>
  <c r="GW201" i="2"/>
  <c r="GW237" i="2"/>
  <c r="GX201" i="2"/>
  <c r="GX237" i="2"/>
  <c r="GY201" i="2"/>
  <c r="GY237" i="2"/>
  <c r="GZ201" i="2"/>
  <c r="GZ237" i="2"/>
  <c r="HA201" i="2"/>
  <c r="HA237" i="2"/>
  <c r="HB201" i="2"/>
  <c r="HB237" i="2"/>
  <c r="HC201" i="2"/>
  <c r="HC237" i="2"/>
  <c r="HD201" i="2"/>
  <c r="HD237" i="2"/>
  <c r="HE201" i="2"/>
  <c r="HE237" i="2"/>
  <c r="HF201" i="2"/>
  <c r="HF237" i="2"/>
  <c r="HG201" i="2"/>
  <c r="HG237" i="2"/>
  <c r="HH201" i="2"/>
  <c r="HH237" i="2"/>
  <c r="HI201" i="2"/>
  <c r="HI237" i="2"/>
  <c r="HJ201" i="2"/>
  <c r="HJ237" i="2"/>
  <c r="HK201" i="2"/>
  <c r="HK237" i="2"/>
  <c r="HL201" i="2"/>
  <c r="HL237" i="2"/>
  <c r="HM201" i="2"/>
  <c r="HM237" i="2"/>
  <c r="HN201" i="2"/>
  <c r="HN237" i="2"/>
  <c r="HO201" i="2"/>
  <c r="HO237" i="2"/>
  <c r="HP201" i="2"/>
  <c r="HP237" i="2"/>
  <c r="HQ201" i="2"/>
  <c r="HQ237" i="2"/>
  <c r="HR201" i="2"/>
  <c r="HR237" i="2"/>
  <c r="HS201" i="2"/>
  <c r="HS237" i="2"/>
  <c r="HT201" i="2"/>
  <c r="HT237" i="2"/>
  <c r="HU201" i="2"/>
  <c r="HU237" i="2"/>
  <c r="HV201" i="2"/>
  <c r="HV237" i="2"/>
  <c r="HW201" i="2"/>
  <c r="HW237" i="2"/>
  <c r="HX201" i="2"/>
  <c r="HX237" i="2"/>
  <c r="HY201" i="2"/>
  <c r="HY237" i="2"/>
  <c r="HZ201" i="2"/>
  <c r="HZ237" i="2"/>
  <c r="IA201" i="2"/>
  <c r="IA237" i="2"/>
  <c r="IB201" i="2"/>
  <c r="IB237" i="2"/>
  <c r="IC201" i="2"/>
  <c r="IC237" i="2"/>
  <c r="ID201" i="2"/>
  <c r="ID237" i="2"/>
  <c r="IE201" i="2"/>
  <c r="IE237" i="2"/>
  <c r="IF201" i="2"/>
  <c r="IF237" i="2"/>
  <c r="IG201" i="2"/>
  <c r="IG237" i="2"/>
  <c r="IH201" i="2"/>
  <c r="IH237" i="2"/>
  <c r="II201" i="2"/>
  <c r="II237" i="2"/>
  <c r="IJ201" i="2"/>
  <c r="IJ237" i="2"/>
  <c r="IK201" i="2"/>
  <c r="IK237" i="2"/>
  <c r="IL201" i="2"/>
  <c r="IL237" i="2"/>
  <c r="IM201" i="2"/>
  <c r="IM237" i="2"/>
  <c r="IN201" i="2"/>
  <c r="IN237" i="2"/>
  <c r="IO201" i="2"/>
  <c r="IO237" i="2"/>
  <c r="IP201" i="2"/>
  <c r="IP237" i="2"/>
  <c r="IQ201" i="2"/>
  <c r="IQ237" i="2"/>
  <c r="IR201" i="2"/>
  <c r="IR237" i="2"/>
  <c r="IS201" i="2"/>
  <c r="IS237" i="2"/>
  <c r="IT201" i="2"/>
  <c r="IT237" i="2"/>
  <c r="IU201" i="2"/>
  <c r="IU237" i="2"/>
  <c r="IV201" i="2"/>
  <c r="IV237" i="2"/>
  <c r="IW201" i="2"/>
  <c r="IW237" i="2"/>
  <c r="IX201" i="2"/>
  <c r="IX237" i="2"/>
  <c r="IY201" i="2"/>
  <c r="IY237" i="2"/>
  <c r="IZ201" i="2"/>
  <c r="IZ237" i="2"/>
  <c r="JA201" i="2"/>
  <c r="JA237" i="2"/>
  <c r="JB201" i="2"/>
  <c r="JB237" i="2"/>
  <c r="JC201" i="2"/>
  <c r="JC237" i="2"/>
  <c r="JD201" i="2"/>
  <c r="JD237" i="2"/>
  <c r="JE201" i="2"/>
  <c r="JE237" i="2"/>
  <c r="JF201" i="2"/>
  <c r="JF237" i="2"/>
  <c r="JG201" i="2"/>
  <c r="JG237" i="2"/>
  <c r="JH201" i="2"/>
  <c r="JH237" i="2"/>
  <c r="JI201" i="2"/>
  <c r="JI237" i="2"/>
  <c r="JJ201" i="2"/>
  <c r="JJ237" i="2"/>
  <c r="JK201" i="2"/>
  <c r="JK237" i="2"/>
  <c r="JL201" i="2"/>
  <c r="JL237" i="2"/>
  <c r="JM201" i="2"/>
  <c r="JM237" i="2"/>
  <c r="JN201" i="2"/>
  <c r="JN237" i="2"/>
  <c r="JO201" i="2"/>
  <c r="JO237" i="2"/>
  <c r="JP201" i="2"/>
  <c r="JP237" i="2"/>
  <c r="JQ201" i="2"/>
  <c r="JQ237" i="2"/>
  <c r="JR201" i="2"/>
  <c r="JR237" i="2"/>
  <c r="JS201" i="2"/>
  <c r="JS237" i="2"/>
  <c r="JT201" i="2"/>
  <c r="JT237" i="2"/>
  <c r="JU201" i="2"/>
  <c r="JU237" i="2"/>
  <c r="JV201" i="2"/>
  <c r="JV237" i="2"/>
  <c r="JW201" i="2"/>
  <c r="JW237" i="2"/>
  <c r="JX201" i="2"/>
  <c r="JX237" i="2"/>
  <c r="JY201" i="2"/>
  <c r="JY237" i="2"/>
  <c r="JZ201" i="2"/>
  <c r="JZ237" i="2"/>
  <c r="KA201" i="2"/>
  <c r="KA237" i="2"/>
  <c r="KB201" i="2"/>
  <c r="KB237" i="2"/>
  <c r="KC201" i="2"/>
  <c r="KC237" i="2"/>
  <c r="KD201" i="2"/>
  <c r="KD237" i="2"/>
  <c r="KE201" i="2"/>
  <c r="KE237" i="2"/>
  <c r="KF201" i="2"/>
  <c r="KF237" i="2"/>
  <c r="KG201" i="2"/>
  <c r="KG237" i="2"/>
  <c r="KH201" i="2"/>
  <c r="KH237" i="2"/>
  <c r="KI201" i="2"/>
  <c r="KI237" i="2"/>
  <c r="KJ201" i="2"/>
  <c r="KJ237" i="2"/>
  <c r="KK201" i="2"/>
  <c r="KK237" i="2"/>
  <c r="KL201" i="2"/>
  <c r="KL237" i="2"/>
  <c r="KM201" i="2"/>
  <c r="KM237" i="2"/>
  <c r="KN201" i="2"/>
  <c r="KN237" i="2"/>
  <c r="KO201" i="2"/>
  <c r="KO237" i="2"/>
  <c r="KP201" i="2"/>
  <c r="KP237" i="2"/>
  <c r="KQ201" i="2"/>
  <c r="KQ237" i="2"/>
  <c r="KR201" i="2"/>
  <c r="KR237" i="2"/>
  <c r="KS201" i="2"/>
  <c r="KS237" i="2"/>
  <c r="KT201" i="2"/>
  <c r="KT237" i="2"/>
  <c r="KU201" i="2"/>
  <c r="KU237" i="2"/>
  <c r="KV201" i="2"/>
  <c r="KV237" i="2"/>
  <c r="KW201" i="2"/>
  <c r="KW237" i="2"/>
  <c r="KX201" i="2"/>
  <c r="KX237" i="2"/>
  <c r="KY201" i="2"/>
  <c r="KY237" i="2"/>
  <c r="KZ201" i="2"/>
  <c r="KZ237" i="2"/>
  <c r="LA201" i="2"/>
  <c r="LA237" i="2"/>
  <c r="LB201" i="2"/>
  <c r="LB237" i="2"/>
  <c r="LC201" i="2"/>
  <c r="LC237" i="2"/>
  <c r="LD201" i="2"/>
  <c r="LD237" i="2"/>
  <c r="LE201" i="2"/>
  <c r="LE237" i="2"/>
  <c r="LF201" i="2"/>
  <c r="LF237" i="2"/>
  <c r="LG201" i="2"/>
  <c r="LG237" i="2"/>
  <c r="LH201" i="2"/>
  <c r="LH237" i="2"/>
  <c r="LI201" i="2"/>
  <c r="LI237" i="2"/>
  <c r="LJ201" i="2"/>
  <c r="LJ237" i="2"/>
  <c r="LK201" i="2"/>
  <c r="LK237" i="2"/>
  <c r="LL201" i="2"/>
  <c r="LL237" i="2"/>
  <c r="LM201" i="2"/>
  <c r="LM237" i="2"/>
  <c r="LN201" i="2"/>
  <c r="LN237" i="2"/>
  <c r="LO201" i="2"/>
  <c r="LO237" i="2"/>
  <c r="LP201" i="2"/>
  <c r="LP237" i="2"/>
  <c r="LQ201" i="2"/>
  <c r="LQ237" i="2"/>
  <c r="LR201" i="2"/>
  <c r="LR237" i="2"/>
  <c r="LS201" i="2"/>
  <c r="LS237" i="2"/>
  <c r="LT201" i="2"/>
  <c r="LT237" i="2"/>
  <c r="LU201" i="2"/>
  <c r="LU237" i="2"/>
  <c r="LV201" i="2"/>
  <c r="LV237" i="2"/>
  <c r="LW201" i="2"/>
  <c r="LW237" i="2"/>
  <c r="LX201" i="2"/>
  <c r="LX237" i="2"/>
  <c r="LY201" i="2"/>
  <c r="LY237" i="2"/>
  <c r="LZ201" i="2"/>
  <c r="LZ237" i="2"/>
  <c r="MA201" i="2"/>
  <c r="MA237" i="2"/>
  <c r="MB201" i="2"/>
  <c r="MB237" i="2"/>
  <c r="MC201" i="2"/>
  <c r="MC237" i="2"/>
  <c r="MD201" i="2"/>
  <c r="MD237" i="2"/>
  <c r="ME201" i="2"/>
  <c r="ME237" i="2"/>
  <c r="MF201" i="2"/>
  <c r="MF237" i="2"/>
  <c r="MG201" i="2"/>
  <c r="MG237" i="2"/>
  <c r="MH201" i="2"/>
  <c r="MH237" i="2"/>
  <c r="MI201" i="2"/>
  <c r="MI237" i="2"/>
  <c r="MJ201" i="2"/>
  <c r="MJ237" i="2"/>
  <c r="MK201" i="2"/>
  <c r="MK237" i="2"/>
  <c r="ML201" i="2"/>
  <c r="ML237" i="2"/>
  <c r="MM201" i="2"/>
  <c r="MM237" i="2"/>
  <c r="MN201" i="2"/>
  <c r="MN237" i="2"/>
  <c r="MO201" i="2"/>
  <c r="MO237" i="2"/>
  <c r="MP201" i="2"/>
  <c r="MP237" i="2"/>
  <c r="MQ201" i="2"/>
  <c r="MQ237" i="2"/>
  <c r="MR201" i="2"/>
  <c r="MR237" i="2"/>
  <c r="MS201" i="2"/>
  <c r="MS237" i="2"/>
  <c r="MT201" i="2"/>
  <c r="MT237" i="2"/>
  <c r="MU201" i="2"/>
  <c r="MU237" i="2"/>
  <c r="MV201" i="2"/>
  <c r="MV237" i="2"/>
  <c r="MW201" i="2"/>
  <c r="MW237" i="2"/>
  <c r="MX201" i="2"/>
  <c r="MX237" i="2"/>
  <c r="MY201" i="2"/>
  <c r="MY237" i="2"/>
  <c r="MZ201" i="2"/>
  <c r="MZ237" i="2"/>
  <c r="NA201" i="2"/>
  <c r="NA237" i="2"/>
  <c r="NB201" i="2"/>
  <c r="NB237" i="2"/>
  <c r="NC201" i="2"/>
  <c r="NC237" i="2"/>
  <c r="ND201" i="2"/>
  <c r="ND237" i="2"/>
  <c r="NE201" i="2"/>
  <c r="NE237" i="2"/>
  <c r="NF201" i="2"/>
  <c r="NF237" i="2"/>
  <c r="NG201" i="2"/>
  <c r="NG237" i="2"/>
  <c r="NH201" i="2"/>
  <c r="NH237" i="2"/>
  <c r="NI201" i="2"/>
  <c r="NI237" i="2"/>
  <c r="NJ201" i="2"/>
  <c r="NJ237" i="2"/>
  <c r="NK201" i="2"/>
  <c r="NK237" i="2"/>
  <c r="NL201" i="2"/>
  <c r="NL237" i="2"/>
  <c r="NM201" i="2"/>
  <c r="NM237" i="2"/>
  <c r="NN201" i="2"/>
  <c r="NN237" i="2"/>
  <c r="NO201" i="2"/>
  <c r="NO237" i="2"/>
  <c r="NP201" i="2"/>
  <c r="NP237" i="2"/>
  <c r="NQ201" i="2"/>
  <c r="NQ237" i="2"/>
  <c r="NR201" i="2"/>
  <c r="NR237" i="2"/>
  <c r="NS201" i="2"/>
  <c r="NS237" i="2"/>
  <c r="NT201" i="2"/>
  <c r="NT237" i="2"/>
  <c r="NU201" i="2"/>
  <c r="NU237" i="2"/>
  <c r="NV201" i="2"/>
  <c r="NV237" i="2"/>
  <c r="NW201" i="2"/>
  <c r="NW237" i="2"/>
  <c r="NX201" i="2"/>
  <c r="NX237" i="2"/>
  <c r="NY201" i="2"/>
  <c r="NY237" i="2"/>
  <c r="NZ201" i="2"/>
  <c r="NZ237" i="2"/>
  <c r="OA201" i="2"/>
  <c r="OA237" i="2"/>
  <c r="OB201" i="2"/>
  <c r="OB237" i="2"/>
  <c r="OC201" i="2"/>
  <c r="OC237" i="2"/>
  <c r="OD201" i="2"/>
  <c r="OD237" i="2"/>
  <c r="OE201" i="2"/>
  <c r="OE237" i="2"/>
  <c r="OF201" i="2"/>
  <c r="OF237" i="2"/>
  <c r="OG201" i="2"/>
  <c r="OG237" i="2"/>
  <c r="OH201" i="2"/>
  <c r="OH237" i="2"/>
  <c r="OI201" i="2"/>
  <c r="OI237" i="2"/>
  <c r="OJ201" i="2"/>
  <c r="OJ237" i="2"/>
  <c r="OK201" i="2"/>
  <c r="OK237" i="2"/>
  <c r="OL201" i="2"/>
  <c r="OL237" i="2"/>
  <c r="OM201" i="2"/>
  <c r="OM237" i="2"/>
  <c r="ON201" i="2"/>
  <c r="ON237" i="2"/>
  <c r="OO201" i="2"/>
  <c r="OO237" i="2"/>
  <c r="OP201" i="2"/>
  <c r="OP237" i="2"/>
  <c r="OQ201" i="2"/>
  <c r="OQ237" i="2"/>
  <c r="OR201" i="2"/>
  <c r="OR237" i="2"/>
  <c r="OS201" i="2"/>
  <c r="OS237" i="2"/>
  <c r="OT201" i="2"/>
  <c r="OT237" i="2"/>
  <c r="OU201" i="2"/>
  <c r="OU237" i="2"/>
  <c r="OV201" i="2"/>
  <c r="OV237" i="2"/>
  <c r="OW201" i="2"/>
  <c r="OW237" i="2"/>
  <c r="OX201" i="2"/>
  <c r="OX237" i="2"/>
  <c r="OY201" i="2"/>
  <c r="OY237" i="2"/>
  <c r="OZ201" i="2"/>
  <c r="OZ237" i="2"/>
  <c r="PA201" i="2"/>
  <c r="PA237" i="2"/>
  <c r="PB201" i="2"/>
  <c r="PB237" i="2"/>
  <c r="PC201" i="2"/>
  <c r="PC237" i="2"/>
  <c r="PD201" i="2"/>
  <c r="PD237" i="2"/>
  <c r="PE201" i="2"/>
  <c r="PE237" i="2"/>
  <c r="PF201" i="2"/>
  <c r="PF237" i="2"/>
  <c r="PG201" i="2"/>
  <c r="PG237" i="2"/>
  <c r="PH201" i="2"/>
  <c r="PH237" i="2"/>
  <c r="PI201" i="2"/>
  <c r="PI237" i="2"/>
  <c r="PJ201" i="2"/>
  <c r="PJ237" i="2"/>
  <c r="PK201" i="2"/>
  <c r="PK237" i="2"/>
  <c r="PL201" i="2"/>
  <c r="PL237" i="2"/>
  <c r="PM201" i="2"/>
  <c r="PM237" i="2"/>
  <c r="PN201" i="2"/>
  <c r="PN237" i="2"/>
  <c r="PO201" i="2"/>
  <c r="PO237" i="2"/>
  <c r="PP201" i="2"/>
  <c r="PP237" i="2"/>
  <c r="PQ201" i="2"/>
  <c r="PQ237" i="2"/>
  <c r="PR201" i="2"/>
  <c r="PR237" i="2"/>
  <c r="PS201" i="2"/>
  <c r="PS237" i="2"/>
  <c r="PT201" i="2"/>
  <c r="PT237" i="2"/>
  <c r="PU201" i="2"/>
  <c r="PU237" i="2"/>
  <c r="PV201" i="2"/>
  <c r="PV237" i="2"/>
  <c r="PW201" i="2"/>
  <c r="PW237" i="2"/>
  <c r="PX201" i="2"/>
  <c r="PX237" i="2"/>
  <c r="PY201" i="2"/>
  <c r="PY237" i="2"/>
  <c r="PZ201" i="2"/>
  <c r="PZ237" i="2"/>
  <c r="QA201" i="2"/>
  <c r="QA237" i="2"/>
  <c r="QB201" i="2"/>
  <c r="QB237" i="2"/>
  <c r="QC201" i="2"/>
  <c r="QC237" i="2"/>
  <c r="QD201" i="2"/>
  <c r="QD237" i="2"/>
  <c r="QE201" i="2"/>
  <c r="QE237" i="2"/>
  <c r="QF201" i="2"/>
  <c r="QF237" i="2"/>
  <c r="QG201" i="2"/>
  <c r="QG237" i="2"/>
  <c r="QH201" i="2"/>
  <c r="QH237" i="2"/>
  <c r="QI201" i="2"/>
  <c r="QI237" i="2"/>
  <c r="QJ201" i="2"/>
  <c r="QJ237" i="2"/>
  <c r="QK201" i="2"/>
  <c r="QK237" i="2"/>
  <c r="QL201" i="2"/>
  <c r="QL237" i="2"/>
  <c r="QM201" i="2"/>
  <c r="QM237" i="2"/>
  <c r="QN201" i="2"/>
  <c r="QN237" i="2"/>
  <c r="QO201" i="2"/>
  <c r="QO237" i="2"/>
  <c r="QP201" i="2"/>
  <c r="QP237" i="2"/>
  <c r="QQ201" i="2"/>
  <c r="QQ237" i="2"/>
  <c r="QR201" i="2"/>
  <c r="QR237" i="2"/>
  <c r="QS201" i="2"/>
  <c r="QS237" i="2"/>
  <c r="QT201" i="2"/>
  <c r="QT237" i="2"/>
  <c r="QU201" i="2"/>
  <c r="QU237" i="2"/>
  <c r="QV201" i="2"/>
  <c r="QV237" i="2"/>
  <c r="QW201" i="2"/>
  <c r="QW237" i="2"/>
  <c r="QX201" i="2"/>
  <c r="QX237" i="2"/>
  <c r="QY201" i="2"/>
  <c r="QY237" i="2"/>
  <c r="QZ201" i="2"/>
  <c r="QZ237" i="2"/>
  <c r="RA201" i="2"/>
  <c r="RA237" i="2"/>
  <c r="RB201" i="2"/>
  <c r="RB237" i="2"/>
  <c r="RC201" i="2"/>
  <c r="RC237" i="2"/>
  <c r="RD201" i="2"/>
  <c r="RD237" i="2"/>
  <c r="RE201" i="2"/>
  <c r="RE237" i="2"/>
  <c r="RF201" i="2"/>
  <c r="RF237" i="2"/>
  <c r="RG201" i="2"/>
  <c r="RG237" i="2"/>
  <c r="RH201" i="2"/>
  <c r="RH237" i="2"/>
  <c r="RI201" i="2"/>
  <c r="RI237" i="2"/>
  <c r="RJ201" i="2"/>
  <c r="RJ237" i="2"/>
  <c r="RK201" i="2"/>
  <c r="RK237" i="2"/>
  <c r="RL201" i="2"/>
  <c r="RL237" i="2"/>
  <c r="RM201" i="2"/>
  <c r="RM237" i="2"/>
  <c r="RN201" i="2"/>
  <c r="RN237" i="2"/>
  <c r="RO201" i="2"/>
  <c r="RO237" i="2"/>
  <c r="RP201" i="2"/>
  <c r="RP237" i="2"/>
  <c r="RQ201" i="2"/>
  <c r="RQ237" i="2"/>
  <c r="RR201" i="2"/>
  <c r="RR237" i="2"/>
  <c r="F202" i="2"/>
  <c r="F238" i="2"/>
  <c r="G202" i="2"/>
  <c r="G238" i="2"/>
  <c r="H202" i="2"/>
  <c r="H238" i="2"/>
  <c r="I202" i="2"/>
  <c r="I238" i="2"/>
  <c r="J202" i="2"/>
  <c r="J238" i="2"/>
  <c r="K202" i="2"/>
  <c r="K238" i="2"/>
  <c r="L202" i="2"/>
  <c r="L238" i="2"/>
  <c r="M202" i="2"/>
  <c r="M238" i="2"/>
  <c r="N202" i="2"/>
  <c r="N238" i="2"/>
  <c r="O202" i="2"/>
  <c r="O238" i="2"/>
  <c r="P202" i="2"/>
  <c r="P238" i="2"/>
  <c r="Q202" i="2"/>
  <c r="Q238" i="2"/>
  <c r="R202" i="2"/>
  <c r="R238" i="2"/>
  <c r="S202" i="2"/>
  <c r="S238" i="2"/>
  <c r="T202" i="2"/>
  <c r="T238" i="2"/>
  <c r="U202" i="2"/>
  <c r="U238" i="2"/>
  <c r="V202" i="2"/>
  <c r="V238" i="2"/>
  <c r="W202" i="2"/>
  <c r="W238" i="2"/>
  <c r="X202" i="2"/>
  <c r="X238" i="2"/>
  <c r="Y202" i="2"/>
  <c r="Y238" i="2"/>
  <c r="Z202" i="2"/>
  <c r="Z238" i="2"/>
  <c r="AA202" i="2"/>
  <c r="AA238" i="2"/>
  <c r="AB202" i="2"/>
  <c r="AB238" i="2"/>
  <c r="AC202" i="2"/>
  <c r="AC238" i="2"/>
  <c r="AD202" i="2"/>
  <c r="AD238" i="2"/>
  <c r="AE202" i="2"/>
  <c r="AE238" i="2"/>
  <c r="AF202" i="2"/>
  <c r="AF238" i="2"/>
  <c r="AG202" i="2"/>
  <c r="AG238" i="2"/>
  <c r="AH202" i="2"/>
  <c r="AH238" i="2"/>
  <c r="AI202" i="2"/>
  <c r="AI238" i="2"/>
  <c r="AJ202" i="2"/>
  <c r="AJ238" i="2"/>
  <c r="AK202" i="2"/>
  <c r="AK238" i="2"/>
  <c r="AL202" i="2"/>
  <c r="AL238" i="2"/>
  <c r="AM202" i="2"/>
  <c r="AM238" i="2"/>
  <c r="AN202" i="2"/>
  <c r="AN238" i="2"/>
  <c r="AO202" i="2"/>
  <c r="AO238" i="2"/>
  <c r="AP202" i="2"/>
  <c r="AP238" i="2"/>
  <c r="AQ202" i="2"/>
  <c r="AQ238" i="2"/>
  <c r="AR202" i="2"/>
  <c r="AR238" i="2"/>
  <c r="AS202" i="2"/>
  <c r="AS238" i="2"/>
  <c r="AT202" i="2"/>
  <c r="AT238" i="2"/>
  <c r="AU202" i="2"/>
  <c r="AU238" i="2"/>
  <c r="AV202" i="2"/>
  <c r="AV238" i="2"/>
  <c r="AW202" i="2"/>
  <c r="AW238" i="2"/>
  <c r="AX202" i="2"/>
  <c r="AX238" i="2"/>
  <c r="AY202" i="2"/>
  <c r="AY238" i="2"/>
  <c r="AZ202" i="2"/>
  <c r="AZ238" i="2"/>
  <c r="BA202" i="2"/>
  <c r="BA238" i="2"/>
  <c r="BB202" i="2"/>
  <c r="BB238" i="2"/>
  <c r="BC202" i="2"/>
  <c r="BC238" i="2"/>
  <c r="BD202" i="2"/>
  <c r="BD238" i="2"/>
  <c r="BE202" i="2"/>
  <c r="BE238" i="2"/>
  <c r="BF202" i="2"/>
  <c r="BF238" i="2"/>
  <c r="BG202" i="2"/>
  <c r="BG238" i="2"/>
  <c r="BH202" i="2"/>
  <c r="BH238" i="2"/>
  <c r="BI202" i="2"/>
  <c r="BI238" i="2"/>
  <c r="BJ202" i="2"/>
  <c r="BJ238" i="2"/>
  <c r="BK202" i="2"/>
  <c r="BK238" i="2"/>
  <c r="BL202" i="2"/>
  <c r="BL238" i="2"/>
  <c r="BM202" i="2"/>
  <c r="BM238" i="2"/>
  <c r="BN202" i="2"/>
  <c r="BN238" i="2"/>
  <c r="BO202" i="2"/>
  <c r="BO238" i="2"/>
  <c r="BP202" i="2"/>
  <c r="BP238" i="2"/>
  <c r="BQ202" i="2"/>
  <c r="BQ238" i="2"/>
  <c r="BR202" i="2"/>
  <c r="BR238" i="2"/>
  <c r="BS202" i="2"/>
  <c r="BS238" i="2"/>
  <c r="BT202" i="2"/>
  <c r="BT238" i="2"/>
  <c r="BU202" i="2"/>
  <c r="BU238" i="2"/>
  <c r="BV202" i="2"/>
  <c r="BV238" i="2"/>
  <c r="BW202" i="2"/>
  <c r="BW238" i="2"/>
  <c r="BX202" i="2"/>
  <c r="BX238" i="2"/>
  <c r="BY202" i="2"/>
  <c r="BY238" i="2"/>
  <c r="BZ202" i="2"/>
  <c r="BZ238" i="2"/>
  <c r="CA202" i="2"/>
  <c r="CA238" i="2"/>
  <c r="CB202" i="2"/>
  <c r="CB238" i="2"/>
  <c r="CC202" i="2"/>
  <c r="CC238" i="2"/>
  <c r="CD202" i="2"/>
  <c r="CD238" i="2"/>
  <c r="CE202" i="2"/>
  <c r="CE238" i="2"/>
  <c r="CF202" i="2"/>
  <c r="CF238" i="2"/>
  <c r="CG202" i="2"/>
  <c r="CG238" i="2"/>
  <c r="CH202" i="2"/>
  <c r="CH238" i="2"/>
  <c r="CI202" i="2"/>
  <c r="CI238" i="2"/>
  <c r="CJ202" i="2"/>
  <c r="CJ238" i="2"/>
  <c r="CK202" i="2"/>
  <c r="CK238" i="2"/>
  <c r="CL202" i="2"/>
  <c r="CL238" i="2"/>
  <c r="CM202" i="2"/>
  <c r="CM238" i="2"/>
  <c r="CN202" i="2"/>
  <c r="CN238" i="2"/>
  <c r="CO202" i="2"/>
  <c r="CO238" i="2"/>
  <c r="CP202" i="2"/>
  <c r="CP238" i="2"/>
  <c r="CQ202" i="2"/>
  <c r="CQ238" i="2"/>
  <c r="CR202" i="2"/>
  <c r="CR238" i="2"/>
  <c r="CS202" i="2"/>
  <c r="CS238" i="2"/>
  <c r="CT202" i="2"/>
  <c r="CT238" i="2"/>
  <c r="CU202" i="2"/>
  <c r="CU238" i="2"/>
  <c r="CV202" i="2"/>
  <c r="CV238" i="2"/>
  <c r="CW202" i="2"/>
  <c r="CW238" i="2"/>
  <c r="CX202" i="2"/>
  <c r="CX238" i="2"/>
  <c r="CY202" i="2"/>
  <c r="CY238" i="2"/>
  <c r="CZ202" i="2"/>
  <c r="CZ238" i="2"/>
  <c r="DA202" i="2"/>
  <c r="DA238" i="2"/>
  <c r="DB202" i="2"/>
  <c r="DB238" i="2"/>
  <c r="DC202" i="2"/>
  <c r="DC238" i="2"/>
  <c r="DD202" i="2"/>
  <c r="DD238" i="2"/>
  <c r="DE202" i="2"/>
  <c r="DE238" i="2"/>
  <c r="DF202" i="2"/>
  <c r="DF238" i="2"/>
  <c r="DG202" i="2"/>
  <c r="DG238" i="2"/>
  <c r="DH202" i="2"/>
  <c r="DH238" i="2"/>
  <c r="DI202" i="2"/>
  <c r="DI238" i="2"/>
  <c r="DJ202" i="2"/>
  <c r="DJ238" i="2"/>
  <c r="DK202" i="2"/>
  <c r="DK238" i="2"/>
  <c r="DL202" i="2"/>
  <c r="DL238" i="2"/>
  <c r="DM202" i="2"/>
  <c r="DM238" i="2"/>
  <c r="DN202" i="2"/>
  <c r="DN238" i="2"/>
  <c r="DO202" i="2"/>
  <c r="DO238" i="2"/>
  <c r="DP202" i="2"/>
  <c r="DP238" i="2"/>
  <c r="DQ202" i="2"/>
  <c r="DQ238" i="2"/>
  <c r="DR202" i="2"/>
  <c r="DR238" i="2"/>
  <c r="DS202" i="2"/>
  <c r="DS238" i="2"/>
  <c r="DT202" i="2"/>
  <c r="DT238" i="2"/>
  <c r="DU202" i="2"/>
  <c r="DU238" i="2"/>
  <c r="DV202" i="2"/>
  <c r="DV238" i="2"/>
  <c r="DW202" i="2"/>
  <c r="DW238" i="2"/>
  <c r="DX202" i="2"/>
  <c r="DX238" i="2"/>
  <c r="DY202" i="2"/>
  <c r="DY238" i="2"/>
  <c r="DZ202" i="2"/>
  <c r="DZ238" i="2"/>
  <c r="EA202" i="2"/>
  <c r="EA238" i="2"/>
  <c r="EB202" i="2"/>
  <c r="EB238" i="2"/>
  <c r="EC202" i="2"/>
  <c r="EC238" i="2"/>
  <c r="ED202" i="2"/>
  <c r="ED238" i="2"/>
  <c r="EE202" i="2"/>
  <c r="EE238" i="2"/>
  <c r="EF202" i="2"/>
  <c r="EF238" i="2"/>
  <c r="EG202" i="2"/>
  <c r="EG238" i="2"/>
  <c r="EH202" i="2"/>
  <c r="EH238" i="2"/>
  <c r="EI202" i="2"/>
  <c r="EI238" i="2"/>
  <c r="EJ202" i="2"/>
  <c r="EJ238" i="2"/>
  <c r="EK202" i="2"/>
  <c r="EK238" i="2"/>
  <c r="EL202" i="2"/>
  <c r="EL238" i="2"/>
  <c r="EM202" i="2"/>
  <c r="EM238" i="2"/>
  <c r="EN202" i="2"/>
  <c r="EN238" i="2"/>
  <c r="EO202" i="2"/>
  <c r="EO238" i="2"/>
  <c r="EP202" i="2"/>
  <c r="EP238" i="2"/>
  <c r="EQ202" i="2"/>
  <c r="EQ238" i="2"/>
  <c r="ER202" i="2"/>
  <c r="ER238" i="2"/>
  <c r="ES202" i="2"/>
  <c r="ES238" i="2"/>
  <c r="ET202" i="2"/>
  <c r="ET238" i="2"/>
  <c r="EU202" i="2"/>
  <c r="EU238" i="2"/>
  <c r="EV202" i="2"/>
  <c r="EV238" i="2"/>
  <c r="EW202" i="2"/>
  <c r="EW238" i="2"/>
  <c r="EX202" i="2"/>
  <c r="EX238" i="2"/>
  <c r="EY202" i="2"/>
  <c r="EY238" i="2"/>
  <c r="EZ202" i="2"/>
  <c r="EZ238" i="2"/>
  <c r="FA202" i="2"/>
  <c r="FA238" i="2"/>
  <c r="FB202" i="2"/>
  <c r="FB238" i="2"/>
  <c r="FC202" i="2"/>
  <c r="FC238" i="2"/>
  <c r="FD202" i="2"/>
  <c r="FD238" i="2"/>
  <c r="FE202" i="2"/>
  <c r="FE238" i="2"/>
  <c r="FF202" i="2"/>
  <c r="FF238" i="2"/>
  <c r="FG202" i="2"/>
  <c r="FG238" i="2"/>
  <c r="FH202" i="2"/>
  <c r="FH238" i="2"/>
  <c r="FI202" i="2"/>
  <c r="FI238" i="2"/>
  <c r="FJ202" i="2"/>
  <c r="FJ238" i="2"/>
  <c r="FK202" i="2"/>
  <c r="FK238" i="2"/>
  <c r="FL202" i="2"/>
  <c r="FL238" i="2"/>
  <c r="FM202" i="2"/>
  <c r="FM238" i="2"/>
  <c r="FN202" i="2"/>
  <c r="FN238" i="2"/>
  <c r="FO202" i="2"/>
  <c r="FO238" i="2"/>
  <c r="FP202" i="2"/>
  <c r="FP238" i="2"/>
  <c r="FQ202" i="2"/>
  <c r="FQ238" i="2"/>
  <c r="FR202" i="2"/>
  <c r="FR238" i="2"/>
  <c r="FS202" i="2"/>
  <c r="FS238" i="2"/>
  <c r="FT202" i="2"/>
  <c r="FT238" i="2"/>
  <c r="FU202" i="2"/>
  <c r="FU238" i="2"/>
  <c r="FV202" i="2"/>
  <c r="FV238" i="2"/>
  <c r="FW202" i="2"/>
  <c r="FW238" i="2"/>
  <c r="FX202" i="2"/>
  <c r="FX238" i="2"/>
  <c r="FY202" i="2"/>
  <c r="FY238" i="2"/>
  <c r="FZ202" i="2"/>
  <c r="FZ238" i="2"/>
  <c r="GA202" i="2"/>
  <c r="GA238" i="2"/>
  <c r="GB202" i="2"/>
  <c r="GB238" i="2"/>
  <c r="GC202" i="2"/>
  <c r="GC238" i="2"/>
  <c r="GD202" i="2"/>
  <c r="GD238" i="2"/>
  <c r="GE202" i="2"/>
  <c r="GE238" i="2"/>
  <c r="GF202" i="2"/>
  <c r="GF238" i="2"/>
  <c r="GG202" i="2"/>
  <c r="GG238" i="2"/>
  <c r="GH202" i="2"/>
  <c r="GH238" i="2"/>
  <c r="GI202" i="2"/>
  <c r="GI238" i="2"/>
  <c r="GJ202" i="2"/>
  <c r="GJ238" i="2"/>
  <c r="GK202" i="2"/>
  <c r="GK238" i="2"/>
  <c r="GL202" i="2"/>
  <c r="GL238" i="2"/>
  <c r="GM202" i="2"/>
  <c r="GM238" i="2"/>
  <c r="GN202" i="2"/>
  <c r="GN238" i="2"/>
  <c r="GO202" i="2"/>
  <c r="GO238" i="2"/>
  <c r="GP202" i="2"/>
  <c r="GP238" i="2"/>
  <c r="GQ202" i="2"/>
  <c r="GQ238" i="2"/>
  <c r="GR202" i="2"/>
  <c r="GR238" i="2"/>
  <c r="GS202" i="2"/>
  <c r="GS238" i="2"/>
  <c r="GT202" i="2"/>
  <c r="GT238" i="2"/>
  <c r="GU202" i="2"/>
  <c r="GU238" i="2"/>
  <c r="GV202" i="2"/>
  <c r="GV238" i="2"/>
  <c r="GW202" i="2"/>
  <c r="GW238" i="2"/>
  <c r="GX202" i="2"/>
  <c r="GX238" i="2"/>
  <c r="GY202" i="2"/>
  <c r="GY238" i="2"/>
  <c r="GZ202" i="2"/>
  <c r="GZ238" i="2"/>
  <c r="HA202" i="2"/>
  <c r="HA238" i="2"/>
  <c r="HB202" i="2"/>
  <c r="HB238" i="2"/>
  <c r="HC202" i="2"/>
  <c r="HC238" i="2"/>
  <c r="HD202" i="2"/>
  <c r="HD238" i="2"/>
  <c r="HE202" i="2"/>
  <c r="HE238" i="2"/>
  <c r="HF202" i="2"/>
  <c r="HF238" i="2"/>
  <c r="HG202" i="2"/>
  <c r="HG238" i="2"/>
  <c r="HH202" i="2"/>
  <c r="HH238" i="2"/>
  <c r="HI202" i="2"/>
  <c r="HI238" i="2"/>
  <c r="HJ202" i="2"/>
  <c r="HJ238" i="2"/>
  <c r="HK202" i="2"/>
  <c r="HK238" i="2"/>
  <c r="HL202" i="2"/>
  <c r="HL238" i="2"/>
  <c r="HM202" i="2"/>
  <c r="HM238" i="2"/>
  <c r="HN202" i="2"/>
  <c r="HN238" i="2"/>
  <c r="HO202" i="2"/>
  <c r="HO238" i="2"/>
  <c r="HP202" i="2"/>
  <c r="HP238" i="2"/>
  <c r="HQ202" i="2"/>
  <c r="HQ238" i="2"/>
  <c r="HR202" i="2"/>
  <c r="HR238" i="2"/>
  <c r="HS202" i="2"/>
  <c r="HS238" i="2"/>
  <c r="HT202" i="2"/>
  <c r="HT238" i="2"/>
  <c r="HU202" i="2"/>
  <c r="HU238" i="2"/>
  <c r="HV202" i="2"/>
  <c r="HV238" i="2"/>
  <c r="HW202" i="2"/>
  <c r="HW238" i="2"/>
  <c r="HX202" i="2"/>
  <c r="HX238" i="2"/>
  <c r="HY202" i="2"/>
  <c r="HY238" i="2"/>
  <c r="HZ202" i="2"/>
  <c r="HZ238" i="2"/>
  <c r="IA202" i="2"/>
  <c r="IA238" i="2"/>
  <c r="IB202" i="2"/>
  <c r="IB238" i="2"/>
  <c r="IC202" i="2"/>
  <c r="IC238" i="2"/>
  <c r="ID202" i="2"/>
  <c r="ID238" i="2"/>
  <c r="IE202" i="2"/>
  <c r="IE238" i="2"/>
  <c r="IF202" i="2"/>
  <c r="IF238" i="2"/>
  <c r="IG202" i="2"/>
  <c r="IG238" i="2"/>
  <c r="IH202" i="2"/>
  <c r="IH238" i="2"/>
  <c r="II202" i="2"/>
  <c r="II238" i="2"/>
  <c r="IJ202" i="2"/>
  <c r="IJ238" i="2"/>
  <c r="IK202" i="2"/>
  <c r="IK238" i="2"/>
  <c r="IL202" i="2"/>
  <c r="IL238" i="2"/>
  <c r="IM202" i="2"/>
  <c r="IM238" i="2"/>
  <c r="IN202" i="2"/>
  <c r="IN238" i="2"/>
  <c r="IO202" i="2"/>
  <c r="IO238" i="2"/>
  <c r="IP202" i="2"/>
  <c r="IP238" i="2"/>
  <c r="IQ202" i="2"/>
  <c r="IQ238" i="2"/>
  <c r="IR202" i="2"/>
  <c r="IR238" i="2"/>
  <c r="IS202" i="2"/>
  <c r="IS238" i="2"/>
  <c r="IT202" i="2"/>
  <c r="IT238" i="2"/>
  <c r="IU202" i="2"/>
  <c r="IU238" i="2"/>
  <c r="IV202" i="2"/>
  <c r="IV238" i="2"/>
  <c r="IW202" i="2"/>
  <c r="IW238" i="2"/>
  <c r="IX202" i="2"/>
  <c r="IX238" i="2"/>
  <c r="IY202" i="2"/>
  <c r="IY238" i="2"/>
  <c r="IZ202" i="2"/>
  <c r="IZ238" i="2"/>
  <c r="JA202" i="2"/>
  <c r="JA238" i="2"/>
  <c r="JB202" i="2"/>
  <c r="JB238" i="2"/>
  <c r="JC202" i="2"/>
  <c r="JC238" i="2"/>
  <c r="JD202" i="2"/>
  <c r="JD238" i="2"/>
  <c r="JE202" i="2"/>
  <c r="JE238" i="2"/>
  <c r="JF202" i="2"/>
  <c r="JF238" i="2"/>
  <c r="JG202" i="2"/>
  <c r="JG238" i="2"/>
  <c r="JH202" i="2"/>
  <c r="JH238" i="2"/>
  <c r="JI202" i="2"/>
  <c r="JI238" i="2"/>
  <c r="JJ202" i="2"/>
  <c r="JJ238" i="2"/>
  <c r="JK202" i="2"/>
  <c r="JK238" i="2"/>
  <c r="JL202" i="2"/>
  <c r="JL238" i="2"/>
  <c r="JM202" i="2"/>
  <c r="JM238" i="2"/>
  <c r="JN202" i="2"/>
  <c r="JN238" i="2"/>
  <c r="JO202" i="2"/>
  <c r="JO238" i="2"/>
  <c r="JP202" i="2"/>
  <c r="JP238" i="2"/>
  <c r="JQ202" i="2"/>
  <c r="JQ238" i="2"/>
  <c r="JR202" i="2"/>
  <c r="JR238" i="2"/>
  <c r="JS202" i="2"/>
  <c r="JS238" i="2"/>
  <c r="JT202" i="2"/>
  <c r="JT238" i="2"/>
  <c r="JU202" i="2"/>
  <c r="JU238" i="2"/>
  <c r="JV202" i="2"/>
  <c r="JV238" i="2"/>
  <c r="JW202" i="2"/>
  <c r="JW238" i="2"/>
  <c r="JX202" i="2"/>
  <c r="JX238" i="2"/>
  <c r="JY202" i="2"/>
  <c r="JY238" i="2"/>
  <c r="JZ202" i="2"/>
  <c r="JZ238" i="2"/>
  <c r="KA202" i="2"/>
  <c r="KA238" i="2"/>
  <c r="KB202" i="2"/>
  <c r="KB238" i="2"/>
  <c r="KC202" i="2"/>
  <c r="KC238" i="2"/>
  <c r="KD202" i="2"/>
  <c r="KD238" i="2"/>
  <c r="KE202" i="2"/>
  <c r="KE238" i="2"/>
  <c r="KF202" i="2"/>
  <c r="KF238" i="2"/>
  <c r="KG202" i="2"/>
  <c r="KG238" i="2"/>
  <c r="KH202" i="2"/>
  <c r="KH238" i="2"/>
  <c r="KI202" i="2"/>
  <c r="KI238" i="2"/>
  <c r="KJ202" i="2"/>
  <c r="KJ238" i="2"/>
  <c r="KK202" i="2"/>
  <c r="KK238" i="2"/>
  <c r="KL202" i="2"/>
  <c r="KL238" i="2"/>
  <c r="KM202" i="2"/>
  <c r="KM238" i="2"/>
  <c r="KN202" i="2"/>
  <c r="KN238" i="2"/>
  <c r="KO202" i="2"/>
  <c r="KO238" i="2"/>
  <c r="KP202" i="2"/>
  <c r="KP238" i="2"/>
  <c r="KQ202" i="2"/>
  <c r="KQ238" i="2"/>
  <c r="KR202" i="2"/>
  <c r="KR238" i="2"/>
  <c r="KS202" i="2"/>
  <c r="KS238" i="2"/>
  <c r="KT202" i="2"/>
  <c r="KT238" i="2"/>
  <c r="KU202" i="2"/>
  <c r="KU238" i="2"/>
  <c r="KV202" i="2"/>
  <c r="KV238" i="2"/>
  <c r="KW202" i="2"/>
  <c r="KW238" i="2"/>
  <c r="KX202" i="2"/>
  <c r="KX238" i="2"/>
  <c r="KY202" i="2"/>
  <c r="KY238" i="2"/>
  <c r="KZ202" i="2"/>
  <c r="KZ238" i="2"/>
  <c r="LA202" i="2"/>
  <c r="LA238" i="2"/>
  <c r="LB202" i="2"/>
  <c r="LB238" i="2"/>
  <c r="LC202" i="2"/>
  <c r="LC238" i="2"/>
  <c r="LD202" i="2"/>
  <c r="LD238" i="2"/>
  <c r="LE202" i="2"/>
  <c r="LE238" i="2"/>
  <c r="LF202" i="2"/>
  <c r="LF238" i="2"/>
  <c r="LG202" i="2"/>
  <c r="LG238" i="2"/>
  <c r="LH202" i="2"/>
  <c r="LH238" i="2"/>
  <c r="LI202" i="2"/>
  <c r="LI238" i="2"/>
  <c r="LJ202" i="2"/>
  <c r="LJ238" i="2"/>
  <c r="LK202" i="2"/>
  <c r="LK238" i="2"/>
  <c r="LL202" i="2"/>
  <c r="LL238" i="2"/>
  <c r="LM202" i="2"/>
  <c r="LM238" i="2"/>
  <c r="LN202" i="2"/>
  <c r="LN238" i="2"/>
  <c r="LO202" i="2"/>
  <c r="LO238" i="2"/>
  <c r="LP202" i="2"/>
  <c r="LP238" i="2"/>
  <c r="LQ202" i="2"/>
  <c r="LQ238" i="2"/>
  <c r="LR202" i="2"/>
  <c r="LR238" i="2"/>
  <c r="LS202" i="2"/>
  <c r="LS238" i="2"/>
  <c r="LT202" i="2"/>
  <c r="LT238" i="2"/>
  <c r="LU202" i="2"/>
  <c r="LU238" i="2"/>
  <c r="LV202" i="2"/>
  <c r="LV238" i="2"/>
  <c r="LW202" i="2"/>
  <c r="LW238" i="2"/>
  <c r="LX202" i="2"/>
  <c r="LX238" i="2"/>
  <c r="LY202" i="2"/>
  <c r="LY238" i="2"/>
  <c r="LZ202" i="2"/>
  <c r="LZ238" i="2"/>
  <c r="MA202" i="2"/>
  <c r="MA238" i="2"/>
  <c r="MB202" i="2"/>
  <c r="MB238" i="2"/>
  <c r="MC202" i="2"/>
  <c r="MC238" i="2"/>
  <c r="MD202" i="2"/>
  <c r="MD238" i="2"/>
  <c r="ME202" i="2"/>
  <c r="ME238" i="2"/>
  <c r="MF202" i="2"/>
  <c r="MF238" i="2"/>
  <c r="MG202" i="2"/>
  <c r="MG238" i="2"/>
  <c r="MH202" i="2"/>
  <c r="MH238" i="2"/>
  <c r="MI202" i="2"/>
  <c r="MI238" i="2"/>
  <c r="MJ202" i="2"/>
  <c r="MJ238" i="2"/>
  <c r="MK202" i="2"/>
  <c r="MK238" i="2"/>
  <c r="ML202" i="2"/>
  <c r="ML238" i="2"/>
  <c r="MM202" i="2"/>
  <c r="MM238" i="2"/>
  <c r="MN202" i="2"/>
  <c r="MN238" i="2"/>
  <c r="MO202" i="2"/>
  <c r="MO238" i="2"/>
  <c r="MP202" i="2"/>
  <c r="MP238" i="2"/>
  <c r="MQ202" i="2"/>
  <c r="MQ238" i="2"/>
  <c r="MR202" i="2"/>
  <c r="MR238" i="2"/>
  <c r="MS202" i="2"/>
  <c r="MS238" i="2"/>
  <c r="MT202" i="2"/>
  <c r="MT238" i="2"/>
  <c r="MU202" i="2"/>
  <c r="MU238" i="2"/>
  <c r="MV202" i="2"/>
  <c r="MV238" i="2"/>
  <c r="MW202" i="2"/>
  <c r="MW238" i="2"/>
  <c r="MX202" i="2"/>
  <c r="MX238" i="2"/>
  <c r="MY202" i="2"/>
  <c r="MY238" i="2"/>
  <c r="MZ202" i="2"/>
  <c r="MZ238" i="2"/>
  <c r="NA202" i="2"/>
  <c r="NA238" i="2"/>
  <c r="NB202" i="2"/>
  <c r="NB238" i="2"/>
  <c r="NC202" i="2"/>
  <c r="NC238" i="2"/>
  <c r="ND202" i="2"/>
  <c r="ND238" i="2"/>
  <c r="NE202" i="2"/>
  <c r="NE238" i="2"/>
  <c r="NF202" i="2"/>
  <c r="NF238" i="2"/>
  <c r="NG202" i="2"/>
  <c r="NG238" i="2"/>
  <c r="NH202" i="2"/>
  <c r="NH238" i="2"/>
  <c r="NI202" i="2"/>
  <c r="NI238" i="2"/>
  <c r="NJ202" i="2"/>
  <c r="NJ238" i="2"/>
  <c r="NK202" i="2"/>
  <c r="NK238" i="2"/>
  <c r="NL202" i="2"/>
  <c r="NL238" i="2"/>
  <c r="NM202" i="2"/>
  <c r="NM238" i="2"/>
  <c r="NN202" i="2"/>
  <c r="NN238" i="2"/>
  <c r="NO202" i="2"/>
  <c r="NO238" i="2"/>
  <c r="NP202" i="2"/>
  <c r="NP238" i="2"/>
  <c r="NQ202" i="2"/>
  <c r="NQ238" i="2"/>
  <c r="NR202" i="2"/>
  <c r="NR238" i="2"/>
  <c r="NS202" i="2"/>
  <c r="NS238" i="2"/>
  <c r="NT202" i="2"/>
  <c r="NT238" i="2"/>
  <c r="NU202" i="2"/>
  <c r="NU238" i="2"/>
  <c r="NV202" i="2"/>
  <c r="NV238" i="2"/>
  <c r="NW202" i="2"/>
  <c r="NW238" i="2"/>
  <c r="NX202" i="2"/>
  <c r="NX238" i="2"/>
  <c r="NY202" i="2"/>
  <c r="NY238" i="2"/>
  <c r="NZ202" i="2"/>
  <c r="NZ238" i="2"/>
  <c r="OA202" i="2"/>
  <c r="OA238" i="2"/>
  <c r="OB202" i="2"/>
  <c r="OB238" i="2"/>
  <c r="OC202" i="2"/>
  <c r="OC238" i="2"/>
  <c r="OD202" i="2"/>
  <c r="OD238" i="2"/>
  <c r="OE202" i="2"/>
  <c r="OE238" i="2"/>
  <c r="OF202" i="2"/>
  <c r="OF238" i="2"/>
  <c r="OG202" i="2"/>
  <c r="OG238" i="2"/>
  <c r="OH202" i="2"/>
  <c r="OH238" i="2"/>
  <c r="OI202" i="2"/>
  <c r="OI238" i="2"/>
  <c r="OJ202" i="2"/>
  <c r="OJ238" i="2"/>
  <c r="OK202" i="2"/>
  <c r="OK238" i="2"/>
  <c r="OL202" i="2"/>
  <c r="OL238" i="2"/>
  <c r="OM202" i="2"/>
  <c r="OM238" i="2"/>
  <c r="ON202" i="2"/>
  <c r="ON238" i="2"/>
  <c r="OO202" i="2"/>
  <c r="OO238" i="2"/>
  <c r="OP202" i="2"/>
  <c r="OP238" i="2"/>
  <c r="OQ202" i="2"/>
  <c r="OQ238" i="2"/>
  <c r="OR202" i="2"/>
  <c r="OR238" i="2"/>
  <c r="OS202" i="2"/>
  <c r="OS238" i="2"/>
  <c r="OT202" i="2"/>
  <c r="OT238" i="2"/>
  <c r="OU202" i="2"/>
  <c r="OU238" i="2"/>
  <c r="OV202" i="2"/>
  <c r="OV238" i="2"/>
  <c r="OW202" i="2"/>
  <c r="OW238" i="2"/>
  <c r="OX202" i="2"/>
  <c r="OX238" i="2"/>
  <c r="OY202" i="2"/>
  <c r="OY238" i="2"/>
  <c r="OZ202" i="2"/>
  <c r="OZ238" i="2"/>
  <c r="PA202" i="2"/>
  <c r="PA238" i="2"/>
  <c r="PB202" i="2"/>
  <c r="PB238" i="2"/>
  <c r="PC202" i="2"/>
  <c r="PC238" i="2"/>
  <c r="PD202" i="2"/>
  <c r="PD238" i="2"/>
  <c r="PE202" i="2"/>
  <c r="PE238" i="2"/>
  <c r="PF202" i="2"/>
  <c r="PF238" i="2"/>
  <c r="PG202" i="2"/>
  <c r="PG238" i="2"/>
  <c r="PH202" i="2"/>
  <c r="PH238" i="2"/>
  <c r="PI202" i="2"/>
  <c r="PI238" i="2"/>
  <c r="PJ202" i="2"/>
  <c r="PJ238" i="2"/>
  <c r="PK202" i="2"/>
  <c r="PK238" i="2"/>
  <c r="PL202" i="2"/>
  <c r="PL238" i="2"/>
  <c r="PM202" i="2"/>
  <c r="PM238" i="2"/>
  <c r="PN202" i="2"/>
  <c r="PN238" i="2"/>
  <c r="PO202" i="2"/>
  <c r="PO238" i="2"/>
  <c r="PP202" i="2"/>
  <c r="PP238" i="2"/>
  <c r="PQ202" i="2"/>
  <c r="PQ238" i="2"/>
  <c r="PR202" i="2"/>
  <c r="PR238" i="2"/>
  <c r="PS202" i="2"/>
  <c r="PS238" i="2"/>
  <c r="PT202" i="2"/>
  <c r="PT238" i="2"/>
  <c r="PU202" i="2"/>
  <c r="PU238" i="2"/>
  <c r="PV202" i="2"/>
  <c r="PV238" i="2"/>
  <c r="PW202" i="2"/>
  <c r="PW238" i="2"/>
  <c r="PX202" i="2"/>
  <c r="PX238" i="2"/>
  <c r="PY202" i="2"/>
  <c r="PY238" i="2"/>
  <c r="PZ202" i="2"/>
  <c r="PZ238" i="2"/>
  <c r="QA202" i="2"/>
  <c r="QA238" i="2"/>
  <c r="QB202" i="2"/>
  <c r="QB238" i="2"/>
  <c r="QC202" i="2"/>
  <c r="QC238" i="2"/>
  <c r="QD202" i="2"/>
  <c r="QD238" i="2"/>
  <c r="QE202" i="2"/>
  <c r="QE238" i="2"/>
  <c r="QF202" i="2"/>
  <c r="QF238" i="2"/>
  <c r="QG202" i="2"/>
  <c r="QG238" i="2"/>
  <c r="QH202" i="2"/>
  <c r="QH238" i="2"/>
  <c r="QI202" i="2"/>
  <c r="QI238" i="2"/>
  <c r="QJ202" i="2"/>
  <c r="QJ238" i="2"/>
  <c r="QK202" i="2"/>
  <c r="QK238" i="2"/>
  <c r="QL202" i="2"/>
  <c r="QL238" i="2"/>
  <c r="QM202" i="2"/>
  <c r="QM238" i="2"/>
  <c r="QN202" i="2"/>
  <c r="QN238" i="2"/>
  <c r="QO202" i="2"/>
  <c r="QO238" i="2"/>
  <c r="QP202" i="2"/>
  <c r="QP238" i="2"/>
  <c r="QQ202" i="2"/>
  <c r="QQ238" i="2"/>
  <c r="QR202" i="2"/>
  <c r="QR238" i="2"/>
  <c r="QS202" i="2"/>
  <c r="QS238" i="2"/>
  <c r="QT202" i="2"/>
  <c r="QT238" i="2"/>
  <c r="QU202" i="2"/>
  <c r="QU238" i="2"/>
  <c r="QV202" i="2"/>
  <c r="QV238" i="2"/>
  <c r="QW202" i="2"/>
  <c r="QW238" i="2"/>
  <c r="QX202" i="2"/>
  <c r="QX238" i="2"/>
  <c r="QY202" i="2"/>
  <c r="QY238" i="2"/>
  <c r="QZ202" i="2"/>
  <c r="QZ238" i="2"/>
  <c r="RA202" i="2"/>
  <c r="RA238" i="2"/>
  <c r="RB202" i="2"/>
  <c r="RB238" i="2"/>
  <c r="RC202" i="2"/>
  <c r="RC238" i="2"/>
  <c r="RD202" i="2"/>
  <c r="RD238" i="2"/>
  <c r="RE202" i="2"/>
  <c r="RE238" i="2"/>
  <c r="RF202" i="2"/>
  <c r="RF238" i="2"/>
  <c r="RG202" i="2"/>
  <c r="RG238" i="2"/>
  <c r="RH202" i="2"/>
  <c r="RH238" i="2"/>
  <c r="RI202" i="2"/>
  <c r="RI238" i="2"/>
  <c r="RJ202" i="2"/>
  <c r="RJ238" i="2"/>
  <c r="RK202" i="2"/>
  <c r="RK238" i="2"/>
  <c r="RL202" i="2"/>
  <c r="RL238" i="2"/>
  <c r="RM202" i="2"/>
  <c r="RM238" i="2"/>
  <c r="RN202" i="2"/>
  <c r="RN238" i="2"/>
  <c r="RO202" i="2"/>
  <c r="RO238" i="2"/>
  <c r="RP202" i="2"/>
  <c r="RP238" i="2"/>
  <c r="RQ202" i="2"/>
  <c r="RQ238" i="2"/>
  <c r="RR202" i="2"/>
  <c r="RR238" i="2"/>
  <c r="F204" i="2"/>
  <c r="F240" i="2"/>
  <c r="G204" i="2"/>
  <c r="G240" i="2"/>
  <c r="H204" i="2"/>
  <c r="H240" i="2"/>
  <c r="I204" i="2"/>
  <c r="I240" i="2"/>
  <c r="J204" i="2"/>
  <c r="J240" i="2"/>
  <c r="K204" i="2"/>
  <c r="K240" i="2"/>
  <c r="L204" i="2"/>
  <c r="L240" i="2"/>
  <c r="M204" i="2"/>
  <c r="M240" i="2"/>
  <c r="N204" i="2"/>
  <c r="N240" i="2"/>
  <c r="O204" i="2"/>
  <c r="O240" i="2"/>
  <c r="P204" i="2"/>
  <c r="P240" i="2"/>
  <c r="Q204" i="2"/>
  <c r="Q240" i="2"/>
  <c r="R204" i="2"/>
  <c r="R240" i="2"/>
  <c r="S204" i="2"/>
  <c r="S240" i="2"/>
  <c r="T204" i="2"/>
  <c r="T240" i="2"/>
  <c r="U204" i="2"/>
  <c r="U240" i="2"/>
  <c r="V204" i="2"/>
  <c r="V240" i="2"/>
  <c r="W204" i="2"/>
  <c r="W240" i="2"/>
  <c r="X204" i="2"/>
  <c r="X240" i="2"/>
  <c r="Y204" i="2"/>
  <c r="Y240" i="2"/>
  <c r="Z204" i="2"/>
  <c r="Z240" i="2"/>
  <c r="AA204" i="2"/>
  <c r="AA240" i="2"/>
  <c r="AB204" i="2"/>
  <c r="AB240" i="2"/>
  <c r="AC204" i="2"/>
  <c r="AC240" i="2"/>
  <c r="AD204" i="2"/>
  <c r="AD240" i="2"/>
  <c r="AE204" i="2"/>
  <c r="AE240" i="2"/>
  <c r="AF204" i="2"/>
  <c r="AF240" i="2"/>
  <c r="AG204" i="2"/>
  <c r="AG240" i="2"/>
  <c r="AH204" i="2"/>
  <c r="AH240" i="2"/>
  <c r="AI204" i="2"/>
  <c r="AI240" i="2"/>
  <c r="AJ204" i="2"/>
  <c r="AJ240" i="2"/>
  <c r="AK204" i="2"/>
  <c r="AK240" i="2"/>
  <c r="AL204" i="2"/>
  <c r="AL240" i="2"/>
  <c r="AM204" i="2"/>
  <c r="AM240" i="2"/>
  <c r="AN204" i="2"/>
  <c r="AN240" i="2"/>
  <c r="AO204" i="2"/>
  <c r="AO240" i="2"/>
  <c r="AP204" i="2"/>
  <c r="AP240" i="2"/>
  <c r="AQ204" i="2"/>
  <c r="AQ240" i="2"/>
  <c r="AR204" i="2"/>
  <c r="AR240" i="2"/>
  <c r="AS204" i="2"/>
  <c r="AS240" i="2"/>
  <c r="AT204" i="2"/>
  <c r="AT240" i="2"/>
  <c r="AU204" i="2"/>
  <c r="AU240" i="2"/>
  <c r="AV204" i="2"/>
  <c r="AV240" i="2"/>
  <c r="AW204" i="2"/>
  <c r="AW240" i="2"/>
  <c r="AX204" i="2"/>
  <c r="AX240" i="2"/>
  <c r="AY204" i="2"/>
  <c r="AY240" i="2"/>
  <c r="AZ204" i="2"/>
  <c r="AZ240" i="2"/>
  <c r="BA204" i="2"/>
  <c r="BA240" i="2"/>
  <c r="BB204" i="2"/>
  <c r="BB240" i="2"/>
  <c r="BC204" i="2"/>
  <c r="BC240" i="2"/>
  <c r="BD204" i="2"/>
  <c r="BD240" i="2"/>
  <c r="BE204" i="2"/>
  <c r="BE240" i="2"/>
  <c r="BF204" i="2"/>
  <c r="BF240" i="2"/>
  <c r="BG204" i="2"/>
  <c r="BG240" i="2"/>
  <c r="BH204" i="2"/>
  <c r="BH240" i="2"/>
  <c r="BI204" i="2"/>
  <c r="BI240" i="2"/>
  <c r="BJ204" i="2"/>
  <c r="BJ240" i="2"/>
  <c r="BK204" i="2"/>
  <c r="BK240" i="2"/>
  <c r="BL204" i="2"/>
  <c r="BL240" i="2"/>
  <c r="BM204" i="2"/>
  <c r="BM240" i="2"/>
  <c r="BN204" i="2"/>
  <c r="BN240" i="2"/>
  <c r="BO204" i="2"/>
  <c r="BO240" i="2"/>
  <c r="BP204" i="2"/>
  <c r="BP240" i="2"/>
  <c r="BQ204" i="2"/>
  <c r="BQ240" i="2"/>
  <c r="BR204" i="2"/>
  <c r="BR240" i="2"/>
  <c r="BS204" i="2"/>
  <c r="BS240" i="2"/>
  <c r="BT204" i="2"/>
  <c r="BT240" i="2"/>
  <c r="BU204" i="2"/>
  <c r="BU240" i="2"/>
  <c r="BV204" i="2"/>
  <c r="BV240" i="2"/>
  <c r="BW204" i="2"/>
  <c r="BW240" i="2"/>
  <c r="BX204" i="2"/>
  <c r="BX240" i="2"/>
  <c r="BY204" i="2"/>
  <c r="BY240" i="2"/>
  <c r="BZ204" i="2"/>
  <c r="BZ240" i="2"/>
  <c r="CA204" i="2"/>
  <c r="CA240" i="2"/>
  <c r="CB204" i="2"/>
  <c r="CB240" i="2"/>
  <c r="CC204" i="2"/>
  <c r="CC240" i="2"/>
  <c r="CD204" i="2"/>
  <c r="CD240" i="2"/>
  <c r="CE204" i="2"/>
  <c r="CE240" i="2"/>
  <c r="CF204" i="2"/>
  <c r="CF240" i="2"/>
  <c r="CG204" i="2"/>
  <c r="CG240" i="2"/>
  <c r="CH204" i="2"/>
  <c r="CH240" i="2"/>
  <c r="CI204" i="2"/>
  <c r="CI240" i="2"/>
  <c r="CJ204" i="2"/>
  <c r="CJ240" i="2"/>
  <c r="CK204" i="2"/>
  <c r="CK240" i="2"/>
  <c r="CL204" i="2"/>
  <c r="CL240" i="2"/>
  <c r="CM204" i="2"/>
  <c r="CM240" i="2"/>
  <c r="CN204" i="2"/>
  <c r="CN240" i="2"/>
  <c r="CO204" i="2"/>
  <c r="CO240" i="2"/>
  <c r="CP204" i="2"/>
  <c r="CP240" i="2"/>
  <c r="CQ204" i="2"/>
  <c r="CQ240" i="2"/>
  <c r="CR204" i="2"/>
  <c r="CR240" i="2"/>
  <c r="CS204" i="2"/>
  <c r="CS240" i="2"/>
  <c r="CT204" i="2"/>
  <c r="CT240" i="2"/>
  <c r="CU204" i="2"/>
  <c r="CU240" i="2"/>
  <c r="CV204" i="2"/>
  <c r="CV240" i="2"/>
  <c r="CW204" i="2"/>
  <c r="CW240" i="2"/>
  <c r="CX204" i="2"/>
  <c r="CX240" i="2"/>
  <c r="CY204" i="2"/>
  <c r="CY240" i="2"/>
  <c r="CZ204" i="2"/>
  <c r="CZ240" i="2"/>
  <c r="DA204" i="2"/>
  <c r="DA240" i="2"/>
  <c r="DB204" i="2"/>
  <c r="DB240" i="2"/>
  <c r="DC204" i="2"/>
  <c r="DC240" i="2"/>
  <c r="DD204" i="2"/>
  <c r="DD240" i="2"/>
  <c r="DE204" i="2"/>
  <c r="DE240" i="2"/>
  <c r="DF204" i="2"/>
  <c r="DF240" i="2"/>
  <c r="DG204" i="2"/>
  <c r="DG240" i="2"/>
  <c r="DH204" i="2"/>
  <c r="DH240" i="2"/>
  <c r="DI204" i="2"/>
  <c r="DI240" i="2"/>
  <c r="DJ204" i="2"/>
  <c r="DJ240" i="2"/>
  <c r="DK204" i="2"/>
  <c r="DK240" i="2"/>
  <c r="DL204" i="2"/>
  <c r="DL240" i="2"/>
  <c r="DM204" i="2"/>
  <c r="DM240" i="2"/>
  <c r="DN204" i="2"/>
  <c r="DN240" i="2"/>
  <c r="DO204" i="2"/>
  <c r="DO240" i="2"/>
  <c r="DP204" i="2"/>
  <c r="DP240" i="2"/>
  <c r="DQ204" i="2"/>
  <c r="DQ240" i="2"/>
  <c r="DR204" i="2"/>
  <c r="DR240" i="2"/>
  <c r="DS204" i="2"/>
  <c r="DS240" i="2"/>
  <c r="DT204" i="2"/>
  <c r="DT240" i="2"/>
  <c r="DU204" i="2"/>
  <c r="DU240" i="2"/>
  <c r="DV204" i="2"/>
  <c r="DV240" i="2"/>
  <c r="DW204" i="2"/>
  <c r="DW240" i="2"/>
  <c r="DX204" i="2"/>
  <c r="DX240" i="2"/>
  <c r="DY204" i="2"/>
  <c r="DY240" i="2"/>
  <c r="DZ204" i="2"/>
  <c r="DZ240" i="2"/>
  <c r="EA204" i="2"/>
  <c r="EA240" i="2"/>
  <c r="EB204" i="2"/>
  <c r="EB240" i="2"/>
  <c r="EC204" i="2"/>
  <c r="EC240" i="2"/>
  <c r="ED204" i="2"/>
  <c r="ED240" i="2"/>
  <c r="EE204" i="2"/>
  <c r="EE240" i="2"/>
  <c r="EF204" i="2"/>
  <c r="EF240" i="2"/>
  <c r="EG204" i="2"/>
  <c r="EG240" i="2"/>
  <c r="EH204" i="2"/>
  <c r="EH240" i="2"/>
  <c r="EI204" i="2"/>
  <c r="EI240" i="2"/>
  <c r="EJ204" i="2"/>
  <c r="EJ240" i="2"/>
  <c r="EK204" i="2"/>
  <c r="EK240" i="2"/>
  <c r="EL204" i="2"/>
  <c r="EL240" i="2"/>
  <c r="EM204" i="2"/>
  <c r="EM240" i="2"/>
  <c r="EN204" i="2"/>
  <c r="EN240" i="2"/>
  <c r="EO204" i="2"/>
  <c r="EO240" i="2"/>
  <c r="EP204" i="2"/>
  <c r="EP240" i="2"/>
  <c r="EQ204" i="2"/>
  <c r="EQ240" i="2"/>
  <c r="ER204" i="2"/>
  <c r="ER240" i="2"/>
  <c r="ES204" i="2"/>
  <c r="ES240" i="2"/>
  <c r="ET204" i="2"/>
  <c r="ET240" i="2"/>
  <c r="EU204" i="2"/>
  <c r="EU240" i="2"/>
  <c r="EV204" i="2"/>
  <c r="EV240" i="2"/>
  <c r="EW204" i="2"/>
  <c r="EW240" i="2"/>
  <c r="EX204" i="2"/>
  <c r="EX240" i="2"/>
  <c r="EY204" i="2"/>
  <c r="EY240" i="2"/>
  <c r="EZ204" i="2"/>
  <c r="EZ240" i="2"/>
  <c r="FA204" i="2"/>
  <c r="FA240" i="2"/>
  <c r="FB204" i="2"/>
  <c r="FB240" i="2"/>
  <c r="FC204" i="2"/>
  <c r="FC240" i="2"/>
  <c r="FD204" i="2"/>
  <c r="FD240" i="2"/>
  <c r="FE204" i="2"/>
  <c r="FE240" i="2"/>
  <c r="FF204" i="2"/>
  <c r="FF240" i="2"/>
  <c r="FG204" i="2"/>
  <c r="FG240" i="2"/>
  <c r="FH204" i="2"/>
  <c r="FH240" i="2"/>
  <c r="FI204" i="2"/>
  <c r="FI240" i="2"/>
  <c r="FJ204" i="2"/>
  <c r="FJ240" i="2"/>
  <c r="FK204" i="2"/>
  <c r="FK240" i="2"/>
  <c r="FL204" i="2"/>
  <c r="FL240" i="2"/>
  <c r="FM204" i="2"/>
  <c r="FM240" i="2"/>
  <c r="FN204" i="2"/>
  <c r="FN240" i="2"/>
  <c r="FO204" i="2"/>
  <c r="FO240" i="2"/>
  <c r="FP204" i="2"/>
  <c r="FP240" i="2"/>
  <c r="FQ204" i="2"/>
  <c r="FQ240" i="2"/>
  <c r="FR204" i="2"/>
  <c r="FR240" i="2"/>
  <c r="FS204" i="2"/>
  <c r="FS240" i="2"/>
  <c r="FT204" i="2"/>
  <c r="FT240" i="2"/>
  <c r="FU204" i="2"/>
  <c r="FU240" i="2"/>
  <c r="FV204" i="2"/>
  <c r="FV240" i="2"/>
  <c r="FW204" i="2"/>
  <c r="FW240" i="2"/>
  <c r="FX204" i="2"/>
  <c r="FX240" i="2"/>
  <c r="FY204" i="2"/>
  <c r="FY240" i="2"/>
  <c r="FZ204" i="2"/>
  <c r="FZ240" i="2"/>
  <c r="GA204" i="2"/>
  <c r="GA240" i="2"/>
  <c r="GB204" i="2"/>
  <c r="GB240" i="2"/>
  <c r="GC204" i="2"/>
  <c r="GC240" i="2"/>
  <c r="GD204" i="2"/>
  <c r="GD240" i="2"/>
  <c r="GE204" i="2"/>
  <c r="GE240" i="2"/>
  <c r="GF204" i="2"/>
  <c r="GF240" i="2"/>
  <c r="GG204" i="2"/>
  <c r="GG240" i="2"/>
  <c r="GH204" i="2"/>
  <c r="GH240" i="2"/>
  <c r="GI204" i="2"/>
  <c r="GI240" i="2"/>
  <c r="GJ204" i="2"/>
  <c r="GJ240" i="2"/>
  <c r="GK204" i="2"/>
  <c r="GK240" i="2"/>
  <c r="GL204" i="2"/>
  <c r="GL240" i="2"/>
  <c r="GM204" i="2"/>
  <c r="GM240" i="2"/>
  <c r="GN204" i="2"/>
  <c r="GN240" i="2"/>
  <c r="GO204" i="2"/>
  <c r="GO240" i="2"/>
  <c r="GP204" i="2"/>
  <c r="GP240" i="2"/>
  <c r="GQ204" i="2"/>
  <c r="GQ240" i="2"/>
  <c r="GR204" i="2"/>
  <c r="GR240" i="2"/>
  <c r="GS204" i="2"/>
  <c r="GS240" i="2"/>
  <c r="GT204" i="2"/>
  <c r="GT240" i="2"/>
  <c r="GU204" i="2"/>
  <c r="GU240" i="2"/>
  <c r="GV204" i="2"/>
  <c r="GV240" i="2"/>
  <c r="GW204" i="2"/>
  <c r="GW240" i="2"/>
  <c r="GX204" i="2"/>
  <c r="GX240" i="2"/>
  <c r="GY204" i="2"/>
  <c r="GY240" i="2"/>
  <c r="GZ204" i="2"/>
  <c r="GZ240" i="2"/>
  <c r="HA204" i="2"/>
  <c r="HA240" i="2"/>
  <c r="HB204" i="2"/>
  <c r="HB240" i="2"/>
  <c r="HC204" i="2"/>
  <c r="HC240" i="2"/>
  <c r="HD204" i="2"/>
  <c r="HD240" i="2"/>
  <c r="HE204" i="2"/>
  <c r="HE240" i="2"/>
  <c r="HF204" i="2"/>
  <c r="HF240" i="2"/>
  <c r="HG204" i="2"/>
  <c r="HG240" i="2"/>
  <c r="HH204" i="2"/>
  <c r="HH240" i="2"/>
  <c r="HI204" i="2"/>
  <c r="HI240" i="2"/>
  <c r="HJ204" i="2"/>
  <c r="HJ240" i="2"/>
  <c r="HK204" i="2"/>
  <c r="HK240" i="2"/>
  <c r="HL204" i="2"/>
  <c r="HL240" i="2"/>
  <c r="HM204" i="2"/>
  <c r="HM240" i="2"/>
  <c r="HN204" i="2"/>
  <c r="HN240" i="2"/>
  <c r="HO204" i="2"/>
  <c r="HO240" i="2"/>
  <c r="HP204" i="2"/>
  <c r="HP240" i="2"/>
  <c r="HQ204" i="2"/>
  <c r="HQ240" i="2"/>
  <c r="HR204" i="2"/>
  <c r="HR240" i="2"/>
  <c r="HS204" i="2"/>
  <c r="HS240" i="2"/>
  <c r="HT204" i="2"/>
  <c r="HT240" i="2"/>
  <c r="HU204" i="2"/>
  <c r="HU240" i="2"/>
  <c r="HV204" i="2"/>
  <c r="HV240" i="2"/>
  <c r="HW204" i="2"/>
  <c r="HW240" i="2"/>
  <c r="HX204" i="2"/>
  <c r="HX240" i="2"/>
  <c r="HY204" i="2"/>
  <c r="HY240" i="2"/>
  <c r="HZ204" i="2"/>
  <c r="HZ240" i="2"/>
  <c r="IA204" i="2"/>
  <c r="IA240" i="2"/>
  <c r="IB204" i="2"/>
  <c r="IB240" i="2"/>
  <c r="IC204" i="2"/>
  <c r="IC240" i="2"/>
  <c r="ID204" i="2"/>
  <c r="ID240" i="2"/>
  <c r="IE204" i="2"/>
  <c r="IE240" i="2"/>
  <c r="IF204" i="2"/>
  <c r="IF240" i="2"/>
  <c r="IG204" i="2"/>
  <c r="IG240" i="2"/>
  <c r="IH204" i="2"/>
  <c r="IH240" i="2"/>
  <c r="II204" i="2"/>
  <c r="II240" i="2"/>
  <c r="IJ204" i="2"/>
  <c r="IJ240" i="2"/>
  <c r="IK204" i="2"/>
  <c r="IK240" i="2"/>
  <c r="IL204" i="2"/>
  <c r="IL240" i="2"/>
  <c r="IM204" i="2"/>
  <c r="IM240" i="2"/>
  <c r="IN204" i="2"/>
  <c r="IN240" i="2"/>
  <c r="IO204" i="2"/>
  <c r="IO240" i="2"/>
  <c r="IP204" i="2"/>
  <c r="IP240" i="2"/>
  <c r="IQ204" i="2"/>
  <c r="IQ240" i="2"/>
  <c r="IR204" i="2"/>
  <c r="IR240" i="2"/>
  <c r="IS204" i="2"/>
  <c r="IS240" i="2"/>
  <c r="IT204" i="2"/>
  <c r="IT240" i="2"/>
  <c r="IU204" i="2"/>
  <c r="IU240" i="2"/>
  <c r="IV204" i="2"/>
  <c r="IV240" i="2"/>
  <c r="IW204" i="2"/>
  <c r="IW240" i="2"/>
  <c r="IX204" i="2"/>
  <c r="IX240" i="2"/>
  <c r="IY204" i="2"/>
  <c r="IY240" i="2"/>
  <c r="IZ204" i="2"/>
  <c r="IZ240" i="2"/>
  <c r="JA204" i="2"/>
  <c r="JA240" i="2"/>
  <c r="JB204" i="2"/>
  <c r="JB240" i="2"/>
  <c r="JC204" i="2"/>
  <c r="JC240" i="2"/>
  <c r="JD204" i="2"/>
  <c r="JD240" i="2"/>
  <c r="JE204" i="2"/>
  <c r="JE240" i="2"/>
  <c r="JF204" i="2"/>
  <c r="JF240" i="2"/>
  <c r="JG204" i="2"/>
  <c r="JG240" i="2"/>
  <c r="JH204" i="2"/>
  <c r="JH240" i="2"/>
  <c r="JI204" i="2"/>
  <c r="JI240" i="2"/>
  <c r="JJ204" i="2"/>
  <c r="JJ240" i="2"/>
  <c r="JK204" i="2"/>
  <c r="JK240" i="2"/>
  <c r="JL204" i="2"/>
  <c r="JL240" i="2"/>
  <c r="JM204" i="2"/>
  <c r="JM240" i="2"/>
  <c r="JN204" i="2"/>
  <c r="JN240" i="2"/>
  <c r="JO204" i="2"/>
  <c r="JO240" i="2"/>
  <c r="JP204" i="2"/>
  <c r="JP240" i="2"/>
  <c r="JQ204" i="2"/>
  <c r="JQ240" i="2"/>
  <c r="JR204" i="2"/>
  <c r="JR240" i="2"/>
  <c r="JS204" i="2"/>
  <c r="JS240" i="2"/>
  <c r="JT204" i="2"/>
  <c r="JT240" i="2"/>
  <c r="JU204" i="2"/>
  <c r="JU240" i="2"/>
  <c r="JV204" i="2"/>
  <c r="JV240" i="2"/>
  <c r="JW204" i="2"/>
  <c r="JW240" i="2"/>
  <c r="JX204" i="2"/>
  <c r="JX240" i="2"/>
  <c r="JY204" i="2"/>
  <c r="JY240" i="2"/>
  <c r="JZ204" i="2"/>
  <c r="JZ240" i="2"/>
  <c r="KA204" i="2"/>
  <c r="KA240" i="2"/>
  <c r="KB204" i="2"/>
  <c r="KB240" i="2"/>
  <c r="KC204" i="2"/>
  <c r="KC240" i="2"/>
  <c r="KD204" i="2"/>
  <c r="KD240" i="2"/>
  <c r="KE204" i="2"/>
  <c r="KE240" i="2"/>
  <c r="KF204" i="2"/>
  <c r="KF240" i="2"/>
  <c r="KG204" i="2"/>
  <c r="KG240" i="2"/>
  <c r="KH204" i="2"/>
  <c r="KH240" i="2"/>
  <c r="KI204" i="2"/>
  <c r="KI240" i="2"/>
  <c r="KJ204" i="2"/>
  <c r="KJ240" i="2"/>
  <c r="KK204" i="2"/>
  <c r="KK240" i="2"/>
  <c r="KL204" i="2"/>
  <c r="KL240" i="2"/>
  <c r="KM204" i="2"/>
  <c r="KM240" i="2"/>
  <c r="KN204" i="2"/>
  <c r="KN240" i="2"/>
  <c r="KO204" i="2"/>
  <c r="KO240" i="2"/>
  <c r="KP204" i="2"/>
  <c r="KP240" i="2"/>
  <c r="KQ204" i="2"/>
  <c r="KQ240" i="2"/>
  <c r="KR204" i="2"/>
  <c r="KR240" i="2"/>
  <c r="KS204" i="2"/>
  <c r="KS240" i="2"/>
  <c r="KT204" i="2"/>
  <c r="KT240" i="2"/>
  <c r="KU204" i="2"/>
  <c r="KU240" i="2"/>
  <c r="KV204" i="2"/>
  <c r="KV240" i="2"/>
  <c r="KW204" i="2"/>
  <c r="KW240" i="2"/>
  <c r="KX204" i="2"/>
  <c r="KX240" i="2"/>
  <c r="KY204" i="2"/>
  <c r="KY240" i="2"/>
  <c r="KZ204" i="2"/>
  <c r="KZ240" i="2"/>
  <c r="LA204" i="2"/>
  <c r="LA240" i="2"/>
  <c r="LB204" i="2"/>
  <c r="LB240" i="2"/>
  <c r="LC204" i="2"/>
  <c r="LC240" i="2"/>
  <c r="LD204" i="2"/>
  <c r="LD240" i="2"/>
  <c r="LE204" i="2"/>
  <c r="LE240" i="2"/>
  <c r="LF204" i="2"/>
  <c r="LF240" i="2"/>
  <c r="LG204" i="2"/>
  <c r="LG240" i="2"/>
  <c r="LH204" i="2"/>
  <c r="LH240" i="2"/>
  <c r="LI204" i="2"/>
  <c r="LI240" i="2"/>
  <c r="LJ204" i="2"/>
  <c r="LJ240" i="2"/>
  <c r="LK204" i="2"/>
  <c r="LK240" i="2"/>
  <c r="LL204" i="2"/>
  <c r="LL240" i="2"/>
  <c r="LM204" i="2"/>
  <c r="LM240" i="2"/>
  <c r="LN204" i="2"/>
  <c r="LN240" i="2"/>
  <c r="LO204" i="2"/>
  <c r="LO240" i="2"/>
  <c r="LP204" i="2"/>
  <c r="LP240" i="2"/>
  <c r="LQ204" i="2"/>
  <c r="LQ240" i="2"/>
  <c r="LR204" i="2"/>
  <c r="LR240" i="2"/>
  <c r="LS204" i="2"/>
  <c r="LS240" i="2"/>
  <c r="LT204" i="2"/>
  <c r="LT240" i="2"/>
  <c r="LU204" i="2"/>
  <c r="LU240" i="2"/>
  <c r="LV204" i="2"/>
  <c r="LV240" i="2"/>
  <c r="LW204" i="2"/>
  <c r="LW240" i="2"/>
  <c r="LX204" i="2"/>
  <c r="LX240" i="2"/>
  <c r="LY204" i="2"/>
  <c r="LY240" i="2"/>
  <c r="LZ204" i="2"/>
  <c r="LZ240" i="2"/>
  <c r="MA204" i="2"/>
  <c r="MA240" i="2"/>
  <c r="MB204" i="2"/>
  <c r="MB240" i="2"/>
  <c r="MC204" i="2"/>
  <c r="MC240" i="2"/>
  <c r="MD204" i="2"/>
  <c r="MD240" i="2"/>
  <c r="ME204" i="2"/>
  <c r="ME240" i="2"/>
  <c r="MF204" i="2"/>
  <c r="MF240" i="2"/>
  <c r="MG204" i="2"/>
  <c r="MG240" i="2"/>
  <c r="MH204" i="2"/>
  <c r="MH240" i="2"/>
  <c r="MI204" i="2"/>
  <c r="MI240" i="2"/>
  <c r="MJ204" i="2"/>
  <c r="MJ240" i="2"/>
  <c r="MK204" i="2"/>
  <c r="MK240" i="2"/>
  <c r="ML204" i="2"/>
  <c r="ML240" i="2"/>
  <c r="MM204" i="2"/>
  <c r="MM240" i="2"/>
  <c r="MN204" i="2"/>
  <c r="MN240" i="2"/>
  <c r="MO204" i="2"/>
  <c r="MO240" i="2"/>
  <c r="MP204" i="2"/>
  <c r="MP240" i="2"/>
  <c r="MQ204" i="2"/>
  <c r="MQ240" i="2"/>
  <c r="MR204" i="2"/>
  <c r="MR240" i="2"/>
  <c r="MS204" i="2"/>
  <c r="MS240" i="2"/>
  <c r="MT204" i="2"/>
  <c r="MT240" i="2"/>
  <c r="MU204" i="2"/>
  <c r="MU240" i="2"/>
  <c r="MV204" i="2"/>
  <c r="MV240" i="2"/>
  <c r="MW204" i="2"/>
  <c r="MW240" i="2"/>
  <c r="MX204" i="2"/>
  <c r="MX240" i="2"/>
  <c r="MY204" i="2"/>
  <c r="MY240" i="2"/>
  <c r="MZ204" i="2"/>
  <c r="MZ240" i="2"/>
  <c r="NA204" i="2"/>
  <c r="NA240" i="2"/>
  <c r="NB204" i="2"/>
  <c r="NB240" i="2"/>
  <c r="NC204" i="2"/>
  <c r="NC240" i="2"/>
  <c r="ND204" i="2"/>
  <c r="ND240" i="2"/>
  <c r="NE204" i="2"/>
  <c r="NE240" i="2"/>
  <c r="NF204" i="2"/>
  <c r="NF240" i="2"/>
  <c r="NG204" i="2"/>
  <c r="NG240" i="2"/>
  <c r="NH204" i="2"/>
  <c r="NH240" i="2"/>
  <c r="NI204" i="2"/>
  <c r="NI240" i="2"/>
  <c r="NJ204" i="2"/>
  <c r="NJ240" i="2"/>
  <c r="NK204" i="2"/>
  <c r="NK240" i="2"/>
  <c r="NL204" i="2"/>
  <c r="NL240" i="2"/>
  <c r="NM204" i="2"/>
  <c r="NM240" i="2"/>
  <c r="NN204" i="2"/>
  <c r="NN240" i="2"/>
  <c r="NO204" i="2"/>
  <c r="NO240" i="2"/>
  <c r="NP204" i="2"/>
  <c r="NP240" i="2"/>
  <c r="NQ204" i="2"/>
  <c r="NQ240" i="2"/>
  <c r="NR204" i="2"/>
  <c r="NR240" i="2"/>
  <c r="NS204" i="2"/>
  <c r="NS240" i="2"/>
  <c r="NT204" i="2"/>
  <c r="NT240" i="2"/>
  <c r="NU204" i="2"/>
  <c r="NU240" i="2"/>
  <c r="NV204" i="2"/>
  <c r="NV240" i="2"/>
  <c r="NW204" i="2"/>
  <c r="NW240" i="2"/>
  <c r="NX204" i="2"/>
  <c r="NX240" i="2"/>
  <c r="NY204" i="2"/>
  <c r="NY240" i="2"/>
  <c r="NZ204" i="2"/>
  <c r="NZ240" i="2"/>
  <c r="OA204" i="2"/>
  <c r="OA240" i="2"/>
  <c r="OB204" i="2"/>
  <c r="OB240" i="2"/>
  <c r="OC204" i="2"/>
  <c r="OC240" i="2"/>
  <c r="OD204" i="2"/>
  <c r="OD240" i="2"/>
  <c r="OE204" i="2"/>
  <c r="OE240" i="2"/>
  <c r="OF204" i="2"/>
  <c r="OF240" i="2"/>
  <c r="OG204" i="2"/>
  <c r="OG240" i="2"/>
  <c r="OH204" i="2"/>
  <c r="OH240" i="2"/>
  <c r="OI204" i="2"/>
  <c r="OI240" i="2"/>
  <c r="OJ204" i="2"/>
  <c r="OJ240" i="2"/>
  <c r="OK204" i="2"/>
  <c r="OK240" i="2"/>
  <c r="OL204" i="2"/>
  <c r="OL240" i="2"/>
  <c r="OM204" i="2"/>
  <c r="OM240" i="2"/>
  <c r="ON204" i="2"/>
  <c r="ON240" i="2"/>
  <c r="OO204" i="2"/>
  <c r="OO240" i="2"/>
  <c r="OP204" i="2"/>
  <c r="OP240" i="2"/>
  <c r="OQ204" i="2"/>
  <c r="OQ240" i="2"/>
  <c r="OR204" i="2"/>
  <c r="OR240" i="2"/>
  <c r="OS204" i="2"/>
  <c r="OS240" i="2"/>
  <c r="OT204" i="2"/>
  <c r="OT240" i="2"/>
  <c r="OU204" i="2"/>
  <c r="OU240" i="2"/>
  <c r="OV204" i="2"/>
  <c r="OV240" i="2"/>
  <c r="OW204" i="2"/>
  <c r="OW240" i="2"/>
  <c r="OX204" i="2"/>
  <c r="OX240" i="2"/>
  <c r="OY204" i="2"/>
  <c r="OY240" i="2"/>
  <c r="OZ204" i="2"/>
  <c r="OZ240" i="2"/>
  <c r="PA204" i="2"/>
  <c r="PA240" i="2"/>
  <c r="PB204" i="2"/>
  <c r="PB240" i="2"/>
  <c r="PC204" i="2"/>
  <c r="PC240" i="2"/>
  <c r="PD204" i="2"/>
  <c r="PD240" i="2"/>
  <c r="PE204" i="2"/>
  <c r="PE240" i="2"/>
  <c r="PF204" i="2"/>
  <c r="PF240" i="2"/>
  <c r="PG204" i="2"/>
  <c r="PG240" i="2"/>
  <c r="PH204" i="2"/>
  <c r="PH240" i="2"/>
  <c r="PI204" i="2"/>
  <c r="PI240" i="2"/>
  <c r="PJ204" i="2"/>
  <c r="PJ240" i="2"/>
  <c r="PK204" i="2"/>
  <c r="PK240" i="2"/>
  <c r="PL204" i="2"/>
  <c r="PL240" i="2"/>
  <c r="PM204" i="2"/>
  <c r="PM240" i="2"/>
  <c r="PN204" i="2"/>
  <c r="PN240" i="2"/>
  <c r="PO204" i="2"/>
  <c r="PO240" i="2"/>
  <c r="PP204" i="2"/>
  <c r="PP240" i="2"/>
  <c r="PQ204" i="2"/>
  <c r="PQ240" i="2"/>
  <c r="PR204" i="2"/>
  <c r="PR240" i="2"/>
  <c r="PS204" i="2"/>
  <c r="PS240" i="2"/>
  <c r="PT204" i="2"/>
  <c r="PT240" i="2"/>
  <c r="PU204" i="2"/>
  <c r="PU240" i="2"/>
  <c r="PV204" i="2"/>
  <c r="PV240" i="2"/>
  <c r="PW204" i="2"/>
  <c r="PW240" i="2"/>
  <c r="PX204" i="2"/>
  <c r="PX240" i="2"/>
  <c r="PY204" i="2"/>
  <c r="PY240" i="2"/>
  <c r="PZ204" i="2"/>
  <c r="PZ240" i="2"/>
  <c r="QA204" i="2"/>
  <c r="QA240" i="2"/>
  <c r="QB204" i="2"/>
  <c r="QB240" i="2"/>
  <c r="QC204" i="2"/>
  <c r="QC240" i="2"/>
  <c r="QD204" i="2"/>
  <c r="QD240" i="2"/>
  <c r="QE204" i="2"/>
  <c r="QE240" i="2"/>
  <c r="QF204" i="2"/>
  <c r="QF240" i="2"/>
  <c r="QG204" i="2"/>
  <c r="QG240" i="2"/>
  <c r="QH204" i="2"/>
  <c r="QH240" i="2"/>
  <c r="QI204" i="2"/>
  <c r="QI240" i="2"/>
  <c r="QJ204" i="2"/>
  <c r="QJ240" i="2"/>
  <c r="QK204" i="2"/>
  <c r="QK240" i="2"/>
  <c r="QL204" i="2"/>
  <c r="QL240" i="2"/>
  <c r="QM204" i="2"/>
  <c r="QM240" i="2"/>
  <c r="QN204" i="2"/>
  <c r="QN240" i="2"/>
  <c r="QO204" i="2"/>
  <c r="QO240" i="2"/>
  <c r="QP204" i="2"/>
  <c r="QP240" i="2"/>
  <c r="QQ204" i="2"/>
  <c r="QQ240" i="2"/>
  <c r="QR204" i="2"/>
  <c r="QR240" i="2"/>
  <c r="QS204" i="2"/>
  <c r="QS240" i="2"/>
  <c r="QT204" i="2"/>
  <c r="QT240" i="2"/>
  <c r="QU204" i="2"/>
  <c r="QU240" i="2"/>
  <c r="QV204" i="2"/>
  <c r="QV240" i="2"/>
  <c r="QW204" i="2"/>
  <c r="QW240" i="2"/>
  <c r="QX204" i="2"/>
  <c r="QX240" i="2"/>
  <c r="QY204" i="2"/>
  <c r="QY240" i="2"/>
  <c r="QZ204" i="2"/>
  <c r="QZ240" i="2"/>
  <c r="RA204" i="2"/>
  <c r="RA240" i="2"/>
  <c r="RB204" i="2"/>
  <c r="RB240" i="2"/>
  <c r="RC204" i="2"/>
  <c r="RC240" i="2"/>
  <c r="RD204" i="2"/>
  <c r="RD240" i="2"/>
  <c r="RE204" i="2"/>
  <c r="RE240" i="2"/>
  <c r="RF204" i="2"/>
  <c r="RF240" i="2"/>
  <c r="RG204" i="2"/>
  <c r="RG240" i="2"/>
  <c r="RH204" i="2"/>
  <c r="RH240" i="2"/>
  <c r="RI204" i="2"/>
  <c r="RI240" i="2"/>
  <c r="RJ204" i="2"/>
  <c r="RJ240" i="2"/>
  <c r="RK204" i="2"/>
  <c r="RK240" i="2"/>
  <c r="RL204" i="2"/>
  <c r="RL240" i="2"/>
  <c r="RM204" i="2"/>
  <c r="RM240" i="2"/>
  <c r="RN204" i="2"/>
  <c r="RN240" i="2"/>
  <c r="RO204" i="2"/>
  <c r="RO240" i="2"/>
  <c r="RP204" i="2"/>
  <c r="RP240" i="2"/>
  <c r="RQ204" i="2"/>
  <c r="RQ240" i="2"/>
  <c r="RR204" i="2"/>
  <c r="RR240" i="2"/>
  <c r="F205" i="2"/>
  <c r="F241" i="2"/>
  <c r="G205" i="2"/>
  <c r="G241" i="2"/>
  <c r="H205" i="2"/>
  <c r="H241" i="2"/>
  <c r="I205" i="2"/>
  <c r="I241" i="2"/>
  <c r="J205" i="2"/>
  <c r="J241" i="2"/>
  <c r="K205" i="2"/>
  <c r="K241" i="2"/>
  <c r="L205" i="2"/>
  <c r="L241" i="2"/>
  <c r="M205" i="2"/>
  <c r="M241" i="2"/>
  <c r="N205" i="2"/>
  <c r="N241" i="2"/>
  <c r="O205" i="2"/>
  <c r="O241" i="2"/>
  <c r="P205" i="2"/>
  <c r="P241" i="2"/>
  <c r="Q205" i="2"/>
  <c r="Q241" i="2"/>
  <c r="R205" i="2"/>
  <c r="R241" i="2"/>
  <c r="S205" i="2"/>
  <c r="S241" i="2"/>
  <c r="T205" i="2"/>
  <c r="T241" i="2"/>
  <c r="U205" i="2"/>
  <c r="U241" i="2"/>
  <c r="V205" i="2"/>
  <c r="V241" i="2"/>
  <c r="W205" i="2"/>
  <c r="W241" i="2"/>
  <c r="X205" i="2"/>
  <c r="X241" i="2"/>
  <c r="Y205" i="2"/>
  <c r="Y241" i="2"/>
  <c r="Z205" i="2"/>
  <c r="Z241" i="2"/>
  <c r="AA205" i="2"/>
  <c r="AA241" i="2"/>
  <c r="AB205" i="2"/>
  <c r="AB241" i="2"/>
  <c r="AC205" i="2"/>
  <c r="AC241" i="2"/>
  <c r="AD205" i="2"/>
  <c r="AD241" i="2"/>
  <c r="AE205" i="2"/>
  <c r="AE241" i="2"/>
  <c r="AF205" i="2"/>
  <c r="AF241" i="2"/>
  <c r="AG205" i="2"/>
  <c r="AG241" i="2"/>
  <c r="AH205" i="2"/>
  <c r="AH241" i="2"/>
  <c r="AI205" i="2"/>
  <c r="AI241" i="2"/>
  <c r="AJ205" i="2"/>
  <c r="AJ241" i="2"/>
  <c r="AK205" i="2"/>
  <c r="AK241" i="2"/>
  <c r="AL205" i="2"/>
  <c r="AL241" i="2"/>
  <c r="AM205" i="2"/>
  <c r="AM241" i="2"/>
  <c r="AN205" i="2"/>
  <c r="AN241" i="2"/>
  <c r="AO205" i="2"/>
  <c r="AO241" i="2"/>
  <c r="AP205" i="2"/>
  <c r="AP241" i="2"/>
  <c r="AQ205" i="2"/>
  <c r="AQ241" i="2"/>
  <c r="AR205" i="2"/>
  <c r="AR241" i="2"/>
  <c r="AS205" i="2"/>
  <c r="AS241" i="2"/>
  <c r="AT205" i="2"/>
  <c r="AT241" i="2"/>
  <c r="AU205" i="2"/>
  <c r="AU241" i="2"/>
  <c r="AV205" i="2"/>
  <c r="AV241" i="2"/>
  <c r="AW205" i="2"/>
  <c r="AW241" i="2"/>
  <c r="AX205" i="2"/>
  <c r="AX241" i="2"/>
  <c r="AY205" i="2"/>
  <c r="AY241" i="2"/>
  <c r="AZ205" i="2"/>
  <c r="AZ241" i="2"/>
  <c r="BA205" i="2"/>
  <c r="BA241" i="2"/>
  <c r="BB205" i="2"/>
  <c r="BB241" i="2"/>
  <c r="BC205" i="2"/>
  <c r="BC241" i="2"/>
  <c r="BD205" i="2"/>
  <c r="BD241" i="2"/>
  <c r="BE205" i="2"/>
  <c r="BE241" i="2"/>
  <c r="BF205" i="2"/>
  <c r="BF241" i="2"/>
  <c r="BG205" i="2"/>
  <c r="BG241" i="2"/>
  <c r="BH205" i="2"/>
  <c r="BH241" i="2"/>
  <c r="BI205" i="2"/>
  <c r="BI241" i="2"/>
  <c r="BJ205" i="2"/>
  <c r="BJ241" i="2"/>
  <c r="BK205" i="2"/>
  <c r="BK241" i="2"/>
  <c r="BL205" i="2"/>
  <c r="BL241" i="2"/>
  <c r="BM205" i="2"/>
  <c r="BM241" i="2"/>
  <c r="BN205" i="2"/>
  <c r="BN241" i="2"/>
  <c r="BO205" i="2"/>
  <c r="BO241" i="2"/>
  <c r="BP205" i="2"/>
  <c r="BP241" i="2"/>
  <c r="BQ205" i="2"/>
  <c r="BQ241" i="2"/>
  <c r="BR205" i="2"/>
  <c r="BR241" i="2"/>
  <c r="BS205" i="2"/>
  <c r="BS241" i="2"/>
  <c r="BT205" i="2"/>
  <c r="BT241" i="2"/>
  <c r="BU205" i="2"/>
  <c r="BU241" i="2"/>
  <c r="BV205" i="2"/>
  <c r="BV241" i="2"/>
  <c r="BW205" i="2"/>
  <c r="BW241" i="2"/>
  <c r="BX205" i="2"/>
  <c r="BX241" i="2"/>
  <c r="BY205" i="2"/>
  <c r="BY241" i="2"/>
  <c r="BZ205" i="2"/>
  <c r="BZ241" i="2"/>
  <c r="CA205" i="2"/>
  <c r="CA241" i="2"/>
  <c r="CB205" i="2"/>
  <c r="CB241" i="2"/>
  <c r="CC205" i="2"/>
  <c r="CC241" i="2"/>
  <c r="CD205" i="2"/>
  <c r="CD241" i="2"/>
  <c r="CE205" i="2"/>
  <c r="CE241" i="2"/>
  <c r="CF205" i="2"/>
  <c r="CF241" i="2"/>
  <c r="CG205" i="2"/>
  <c r="CG241" i="2"/>
  <c r="CH205" i="2"/>
  <c r="CH241" i="2"/>
  <c r="CI205" i="2"/>
  <c r="CI241" i="2"/>
  <c r="CJ205" i="2"/>
  <c r="CJ241" i="2"/>
  <c r="CK205" i="2"/>
  <c r="CK241" i="2"/>
  <c r="CL205" i="2"/>
  <c r="CL241" i="2"/>
  <c r="CM205" i="2"/>
  <c r="CM241" i="2"/>
  <c r="CN205" i="2"/>
  <c r="CN241" i="2"/>
  <c r="CO205" i="2"/>
  <c r="CO241" i="2"/>
  <c r="CP205" i="2"/>
  <c r="CP241" i="2"/>
  <c r="CQ205" i="2"/>
  <c r="CQ241" i="2"/>
  <c r="CR205" i="2"/>
  <c r="CR241" i="2"/>
  <c r="CS205" i="2"/>
  <c r="CS241" i="2"/>
  <c r="CT205" i="2"/>
  <c r="CT241" i="2"/>
  <c r="CU205" i="2"/>
  <c r="CU241" i="2"/>
  <c r="CV205" i="2"/>
  <c r="CV241" i="2"/>
  <c r="CW205" i="2"/>
  <c r="CW241" i="2"/>
  <c r="CX205" i="2"/>
  <c r="CX241" i="2"/>
  <c r="CY205" i="2"/>
  <c r="CY241" i="2"/>
  <c r="CZ205" i="2"/>
  <c r="CZ241" i="2"/>
  <c r="DA205" i="2"/>
  <c r="DA241" i="2"/>
  <c r="DB205" i="2"/>
  <c r="DB241" i="2"/>
  <c r="DC205" i="2"/>
  <c r="DC241" i="2"/>
  <c r="DD205" i="2"/>
  <c r="DD241" i="2"/>
  <c r="DE205" i="2"/>
  <c r="DE241" i="2"/>
  <c r="DF205" i="2"/>
  <c r="DF241" i="2"/>
  <c r="DG205" i="2"/>
  <c r="DG241" i="2"/>
  <c r="DH205" i="2"/>
  <c r="DH241" i="2"/>
  <c r="DI205" i="2"/>
  <c r="DI241" i="2"/>
  <c r="DJ205" i="2"/>
  <c r="DJ241" i="2"/>
  <c r="DK205" i="2"/>
  <c r="DK241" i="2"/>
  <c r="DL205" i="2"/>
  <c r="DL241" i="2"/>
  <c r="DM205" i="2"/>
  <c r="DM241" i="2"/>
  <c r="DN205" i="2"/>
  <c r="DN241" i="2"/>
  <c r="DO205" i="2"/>
  <c r="DO241" i="2"/>
  <c r="DP205" i="2"/>
  <c r="DP241" i="2"/>
  <c r="DQ205" i="2"/>
  <c r="DQ241" i="2"/>
  <c r="DR205" i="2"/>
  <c r="DR241" i="2"/>
  <c r="DS205" i="2"/>
  <c r="DS241" i="2"/>
  <c r="DT205" i="2"/>
  <c r="DT241" i="2"/>
  <c r="DU205" i="2"/>
  <c r="DU241" i="2"/>
  <c r="DV205" i="2"/>
  <c r="DV241" i="2"/>
  <c r="DW205" i="2"/>
  <c r="DW241" i="2"/>
  <c r="DX205" i="2"/>
  <c r="DX241" i="2"/>
  <c r="DY205" i="2"/>
  <c r="DY241" i="2"/>
  <c r="DZ205" i="2"/>
  <c r="DZ241" i="2"/>
  <c r="EA205" i="2"/>
  <c r="EA241" i="2"/>
  <c r="EB205" i="2"/>
  <c r="EB241" i="2"/>
  <c r="EC205" i="2"/>
  <c r="EC241" i="2"/>
  <c r="ED205" i="2"/>
  <c r="ED241" i="2"/>
  <c r="EE205" i="2"/>
  <c r="EE241" i="2"/>
  <c r="EF205" i="2"/>
  <c r="EF241" i="2"/>
  <c r="EG205" i="2"/>
  <c r="EG241" i="2"/>
  <c r="EH205" i="2"/>
  <c r="EH241" i="2"/>
  <c r="EI205" i="2"/>
  <c r="EI241" i="2"/>
  <c r="EJ205" i="2"/>
  <c r="EJ241" i="2"/>
  <c r="EK205" i="2"/>
  <c r="EK241" i="2"/>
  <c r="EL205" i="2"/>
  <c r="EL241" i="2"/>
  <c r="EM205" i="2"/>
  <c r="EM241" i="2"/>
  <c r="EN205" i="2"/>
  <c r="EN241" i="2"/>
  <c r="EO205" i="2"/>
  <c r="EO241" i="2"/>
  <c r="EP205" i="2"/>
  <c r="EP241" i="2"/>
  <c r="EQ205" i="2"/>
  <c r="EQ241" i="2"/>
  <c r="ER205" i="2"/>
  <c r="ER241" i="2"/>
  <c r="ES205" i="2"/>
  <c r="ES241" i="2"/>
  <c r="ET205" i="2"/>
  <c r="ET241" i="2"/>
  <c r="EU205" i="2"/>
  <c r="EU241" i="2"/>
  <c r="EV205" i="2"/>
  <c r="EV241" i="2"/>
  <c r="EW205" i="2"/>
  <c r="EW241" i="2"/>
  <c r="EX205" i="2"/>
  <c r="EX241" i="2"/>
  <c r="EY205" i="2"/>
  <c r="EY241" i="2"/>
  <c r="EZ205" i="2"/>
  <c r="EZ241" i="2"/>
  <c r="FA205" i="2"/>
  <c r="FA241" i="2"/>
  <c r="FB205" i="2"/>
  <c r="FB241" i="2"/>
  <c r="FC205" i="2"/>
  <c r="FC241" i="2"/>
  <c r="FD205" i="2"/>
  <c r="FD241" i="2"/>
  <c r="FE205" i="2"/>
  <c r="FE241" i="2"/>
  <c r="FF205" i="2"/>
  <c r="FF241" i="2"/>
  <c r="FG205" i="2"/>
  <c r="FG241" i="2"/>
  <c r="FH205" i="2"/>
  <c r="FH241" i="2"/>
  <c r="FI205" i="2"/>
  <c r="FI241" i="2"/>
  <c r="FJ205" i="2"/>
  <c r="FJ241" i="2"/>
  <c r="FK205" i="2"/>
  <c r="FK241" i="2"/>
  <c r="FL205" i="2"/>
  <c r="FL241" i="2"/>
  <c r="FM205" i="2"/>
  <c r="FM241" i="2"/>
  <c r="FN205" i="2"/>
  <c r="FN241" i="2"/>
  <c r="FO205" i="2"/>
  <c r="FO241" i="2"/>
  <c r="FP205" i="2"/>
  <c r="FP241" i="2"/>
  <c r="FQ205" i="2"/>
  <c r="FQ241" i="2"/>
  <c r="FR205" i="2"/>
  <c r="FR241" i="2"/>
  <c r="FS205" i="2"/>
  <c r="FS241" i="2"/>
  <c r="FT205" i="2"/>
  <c r="FT241" i="2"/>
  <c r="FU205" i="2"/>
  <c r="FU241" i="2"/>
  <c r="FV205" i="2"/>
  <c r="FV241" i="2"/>
  <c r="FW205" i="2"/>
  <c r="FW241" i="2"/>
  <c r="FX205" i="2"/>
  <c r="FX241" i="2"/>
  <c r="FY205" i="2"/>
  <c r="FY241" i="2"/>
  <c r="FZ205" i="2"/>
  <c r="FZ241" i="2"/>
  <c r="GA205" i="2"/>
  <c r="GA241" i="2"/>
  <c r="GB205" i="2"/>
  <c r="GB241" i="2"/>
  <c r="GC205" i="2"/>
  <c r="GC241" i="2"/>
  <c r="GD205" i="2"/>
  <c r="GD241" i="2"/>
  <c r="GE205" i="2"/>
  <c r="GE241" i="2"/>
  <c r="GF205" i="2"/>
  <c r="GF241" i="2"/>
  <c r="GG205" i="2"/>
  <c r="GG241" i="2"/>
  <c r="GH205" i="2"/>
  <c r="GH241" i="2"/>
  <c r="GI205" i="2"/>
  <c r="GI241" i="2"/>
  <c r="GJ205" i="2"/>
  <c r="GJ241" i="2"/>
  <c r="GK205" i="2"/>
  <c r="GK241" i="2"/>
  <c r="GL205" i="2"/>
  <c r="GL241" i="2"/>
  <c r="GM205" i="2"/>
  <c r="GM241" i="2"/>
  <c r="GN205" i="2"/>
  <c r="GN241" i="2"/>
  <c r="GO205" i="2"/>
  <c r="GO241" i="2"/>
  <c r="GP205" i="2"/>
  <c r="GP241" i="2"/>
  <c r="GQ205" i="2"/>
  <c r="GQ241" i="2"/>
  <c r="GR205" i="2"/>
  <c r="GR241" i="2"/>
  <c r="GS205" i="2"/>
  <c r="GS241" i="2"/>
  <c r="GT205" i="2"/>
  <c r="GT241" i="2"/>
  <c r="GU205" i="2"/>
  <c r="GU241" i="2"/>
  <c r="GV205" i="2"/>
  <c r="GV241" i="2"/>
  <c r="GW205" i="2"/>
  <c r="GW241" i="2"/>
  <c r="GX205" i="2"/>
  <c r="GX241" i="2"/>
  <c r="GY205" i="2"/>
  <c r="GY241" i="2"/>
  <c r="GZ205" i="2"/>
  <c r="GZ241" i="2"/>
  <c r="HA205" i="2"/>
  <c r="HA241" i="2"/>
  <c r="HB205" i="2"/>
  <c r="HB241" i="2"/>
  <c r="HC205" i="2"/>
  <c r="HC241" i="2"/>
  <c r="HD205" i="2"/>
  <c r="HD241" i="2"/>
  <c r="HE205" i="2"/>
  <c r="HE241" i="2"/>
  <c r="HF205" i="2"/>
  <c r="HF241" i="2"/>
  <c r="HG205" i="2"/>
  <c r="HG241" i="2"/>
  <c r="HH205" i="2"/>
  <c r="HH241" i="2"/>
  <c r="HI205" i="2"/>
  <c r="HI241" i="2"/>
  <c r="HJ205" i="2"/>
  <c r="HJ241" i="2"/>
  <c r="HK205" i="2"/>
  <c r="HK241" i="2"/>
  <c r="HL205" i="2"/>
  <c r="HL241" i="2"/>
  <c r="HM205" i="2"/>
  <c r="HM241" i="2"/>
  <c r="HN205" i="2"/>
  <c r="HN241" i="2"/>
  <c r="HO205" i="2"/>
  <c r="HO241" i="2"/>
  <c r="HP205" i="2"/>
  <c r="HP241" i="2"/>
  <c r="HQ205" i="2"/>
  <c r="HQ241" i="2"/>
  <c r="HR205" i="2"/>
  <c r="HR241" i="2"/>
  <c r="HS205" i="2"/>
  <c r="HS241" i="2"/>
  <c r="HT205" i="2"/>
  <c r="HT241" i="2"/>
  <c r="HU205" i="2"/>
  <c r="HU241" i="2"/>
  <c r="HV205" i="2"/>
  <c r="HV241" i="2"/>
  <c r="HW205" i="2"/>
  <c r="HW241" i="2"/>
  <c r="HX205" i="2"/>
  <c r="HX241" i="2"/>
  <c r="HY205" i="2"/>
  <c r="HY241" i="2"/>
  <c r="HZ205" i="2"/>
  <c r="HZ241" i="2"/>
  <c r="IA205" i="2"/>
  <c r="IA241" i="2"/>
  <c r="IB205" i="2"/>
  <c r="IB241" i="2"/>
  <c r="IC205" i="2"/>
  <c r="IC241" i="2"/>
  <c r="ID205" i="2"/>
  <c r="ID241" i="2"/>
  <c r="IE205" i="2"/>
  <c r="IE241" i="2"/>
  <c r="IF205" i="2"/>
  <c r="IF241" i="2"/>
  <c r="IG205" i="2"/>
  <c r="IG241" i="2"/>
  <c r="IH205" i="2"/>
  <c r="IH241" i="2"/>
  <c r="II205" i="2"/>
  <c r="II241" i="2"/>
  <c r="IJ205" i="2"/>
  <c r="IJ241" i="2"/>
  <c r="IK205" i="2"/>
  <c r="IK241" i="2"/>
  <c r="IL205" i="2"/>
  <c r="IL241" i="2"/>
  <c r="IM205" i="2"/>
  <c r="IM241" i="2"/>
  <c r="IN205" i="2"/>
  <c r="IN241" i="2"/>
  <c r="IO205" i="2"/>
  <c r="IO241" i="2"/>
  <c r="IP205" i="2"/>
  <c r="IP241" i="2"/>
  <c r="IQ205" i="2"/>
  <c r="IQ241" i="2"/>
  <c r="IR205" i="2"/>
  <c r="IR241" i="2"/>
  <c r="IS205" i="2"/>
  <c r="IS241" i="2"/>
  <c r="IT205" i="2"/>
  <c r="IT241" i="2"/>
  <c r="IU205" i="2"/>
  <c r="IU241" i="2"/>
  <c r="IV205" i="2"/>
  <c r="IV241" i="2"/>
  <c r="IW205" i="2"/>
  <c r="IW241" i="2"/>
  <c r="IX205" i="2"/>
  <c r="IX241" i="2"/>
  <c r="IY205" i="2"/>
  <c r="IY241" i="2"/>
  <c r="IZ205" i="2"/>
  <c r="IZ241" i="2"/>
  <c r="JA205" i="2"/>
  <c r="JA241" i="2"/>
  <c r="JB205" i="2"/>
  <c r="JB241" i="2"/>
  <c r="JC205" i="2"/>
  <c r="JC241" i="2"/>
  <c r="JD205" i="2"/>
  <c r="JD241" i="2"/>
  <c r="JE205" i="2"/>
  <c r="JE241" i="2"/>
  <c r="JF205" i="2"/>
  <c r="JF241" i="2"/>
  <c r="JG205" i="2"/>
  <c r="JG241" i="2"/>
  <c r="JH205" i="2"/>
  <c r="JH241" i="2"/>
  <c r="JI205" i="2"/>
  <c r="JI241" i="2"/>
  <c r="JJ205" i="2"/>
  <c r="JJ241" i="2"/>
  <c r="JK205" i="2"/>
  <c r="JK241" i="2"/>
  <c r="JL205" i="2"/>
  <c r="JL241" i="2"/>
  <c r="JM205" i="2"/>
  <c r="JM241" i="2"/>
  <c r="JN205" i="2"/>
  <c r="JN241" i="2"/>
  <c r="JO205" i="2"/>
  <c r="JO241" i="2"/>
  <c r="JP205" i="2"/>
  <c r="JP241" i="2"/>
  <c r="JQ205" i="2"/>
  <c r="JQ241" i="2"/>
  <c r="JR205" i="2"/>
  <c r="JR241" i="2"/>
  <c r="JS205" i="2"/>
  <c r="JS241" i="2"/>
  <c r="JT205" i="2"/>
  <c r="JT241" i="2"/>
  <c r="JU205" i="2"/>
  <c r="JU241" i="2"/>
  <c r="JV205" i="2"/>
  <c r="JV241" i="2"/>
  <c r="JW205" i="2"/>
  <c r="JW241" i="2"/>
  <c r="JX205" i="2"/>
  <c r="JX241" i="2"/>
  <c r="JY205" i="2"/>
  <c r="JY241" i="2"/>
  <c r="JZ205" i="2"/>
  <c r="JZ241" i="2"/>
  <c r="KA205" i="2"/>
  <c r="KA241" i="2"/>
  <c r="KB205" i="2"/>
  <c r="KB241" i="2"/>
  <c r="KC205" i="2"/>
  <c r="KC241" i="2"/>
  <c r="KD205" i="2"/>
  <c r="KD241" i="2"/>
  <c r="KE205" i="2"/>
  <c r="KE241" i="2"/>
  <c r="KF205" i="2"/>
  <c r="KF241" i="2"/>
  <c r="KG205" i="2"/>
  <c r="KG241" i="2"/>
  <c r="KH205" i="2"/>
  <c r="KH241" i="2"/>
  <c r="KI205" i="2"/>
  <c r="KI241" i="2"/>
  <c r="KJ205" i="2"/>
  <c r="KJ241" i="2"/>
  <c r="KK205" i="2"/>
  <c r="KK241" i="2"/>
  <c r="KL205" i="2"/>
  <c r="KL241" i="2"/>
  <c r="KM205" i="2"/>
  <c r="KM241" i="2"/>
  <c r="KN205" i="2"/>
  <c r="KN241" i="2"/>
  <c r="KO205" i="2"/>
  <c r="KO241" i="2"/>
  <c r="KP205" i="2"/>
  <c r="KP241" i="2"/>
  <c r="KQ205" i="2"/>
  <c r="KQ241" i="2"/>
  <c r="KR205" i="2"/>
  <c r="KR241" i="2"/>
  <c r="KS205" i="2"/>
  <c r="KS241" i="2"/>
  <c r="KT205" i="2"/>
  <c r="KT241" i="2"/>
  <c r="KU205" i="2"/>
  <c r="KU241" i="2"/>
  <c r="KV205" i="2"/>
  <c r="KV241" i="2"/>
  <c r="KW205" i="2"/>
  <c r="KW241" i="2"/>
  <c r="KX205" i="2"/>
  <c r="KX241" i="2"/>
  <c r="KY205" i="2"/>
  <c r="KY241" i="2"/>
  <c r="KZ205" i="2"/>
  <c r="KZ241" i="2"/>
  <c r="LA205" i="2"/>
  <c r="LA241" i="2"/>
  <c r="LB205" i="2"/>
  <c r="LB241" i="2"/>
  <c r="LC205" i="2"/>
  <c r="LC241" i="2"/>
  <c r="LD205" i="2"/>
  <c r="LD241" i="2"/>
  <c r="LE205" i="2"/>
  <c r="LE241" i="2"/>
  <c r="LF205" i="2"/>
  <c r="LF241" i="2"/>
  <c r="LG205" i="2"/>
  <c r="LG241" i="2"/>
  <c r="LH205" i="2"/>
  <c r="LH241" i="2"/>
  <c r="LI205" i="2"/>
  <c r="LI241" i="2"/>
  <c r="LJ205" i="2"/>
  <c r="LJ241" i="2"/>
  <c r="LK205" i="2"/>
  <c r="LK241" i="2"/>
  <c r="LL205" i="2"/>
  <c r="LL241" i="2"/>
  <c r="LM205" i="2"/>
  <c r="LM241" i="2"/>
  <c r="LN205" i="2"/>
  <c r="LN241" i="2"/>
  <c r="LO205" i="2"/>
  <c r="LO241" i="2"/>
  <c r="LP205" i="2"/>
  <c r="LP241" i="2"/>
  <c r="LQ205" i="2"/>
  <c r="LQ241" i="2"/>
  <c r="LR205" i="2"/>
  <c r="LR241" i="2"/>
  <c r="LS205" i="2"/>
  <c r="LS241" i="2"/>
  <c r="LT205" i="2"/>
  <c r="LT241" i="2"/>
  <c r="LU205" i="2"/>
  <c r="LU241" i="2"/>
  <c r="LV205" i="2"/>
  <c r="LV241" i="2"/>
  <c r="LW205" i="2"/>
  <c r="LW241" i="2"/>
  <c r="LX205" i="2"/>
  <c r="LX241" i="2"/>
  <c r="LY205" i="2"/>
  <c r="LY241" i="2"/>
  <c r="LZ205" i="2"/>
  <c r="LZ241" i="2"/>
  <c r="MA205" i="2"/>
  <c r="MA241" i="2"/>
  <c r="MB205" i="2"/>
  <c r="MB241" i="2"/>
  <c r="MC205" i="2"/>
  <c r="MC241" i="2"/>
  <c r="MD205" i="2"/>
  <c r="MD241" i="2"/>
  <c r="ME205" i="2"/>
  <c r="ME241" i="2"/>
  <c r="MF205" i="2"/>
  <c r="MF241" i="2"/>
  <c r="MG205" i="2"/>
  <c r="MG241" i="2"/>
  <c r="MH205" i="2"/>
  <c r="MH241" i="2"/>
  <c r="MI205" i="2"/>
  <c r="MI241" i="2"/>
  <c r="MJ205" i="2"/>
  <c r="MJ241" i="2"/>
  <c r="MK205" i="2"/>
  <c r="MK241" i="2"/>
  <c r="ML205" i="2"/>
  <c r="ML241" i="2"/>
  <c r="MM205" i="2"/>
  <c r="MM241" i="2"/>
  <c r="MN205" i="2"/>
  <c r="MN241" i="2"/>
  <c r="MO205" i="2"/>
  <c r="MO241" i="2"/>
  <c r="MP205" i="2"/>
  <c r="MP241" i="2"/>
  <c r="MQ205" i="2"/>
  <c r="MQ241" i="2"/>
  <c r="MR205" i="2"/>
  <c r="MR241" i="2"/>
  <c r="MS205" i="2"/>
  <c r="MS241" i="2"/>
  <c r="MT205" i="2"/>
  <c r="MT241" i="2"/>
  <c r="MU205" i="2"/>
  <c r="MU241" i="2"/>
  <c r="MV205" i="2"/>
  <c r="MV241" i="2"/>
  <c r="MW205" i="2"/>
  <c r="MW241" i="2"/>
  <c r="MX205" i="2"/>
  <c r="MX241" i="2"/>
  <c r="MY205" i="2"/>
  <c r="MY241" i="2"/>
  <c r="MZ205" i="2"/>
  <c r="MZ241" i="2"/>
  <c r="NA205" i="2"/>
  <c r="NA241" i="2"/>
  <c r="NB205" i="2"/>
  <c r="NB241" i="2"/>
  <c r="NC205" i="2"/>
  <c r="NC241" i="2"/>
  <c r="ND205" i="2"/>
  <c r="ND241" i="2"/>
  <c r="NE205" i="2"/>
  <c r="NE241" i="2"/>
  <c r="NF205" i="2"/>
  <c r="NF241" i="2"/>
  <c r="NG205" i="2"/>
  <c r="NG241" i="2"/>
  <c r="NH205" i="2"/>
  <c r="NH241" i="2"/>
  <c r="NI205" i="2"/>
  <c r="NI241" i="2"/>
  <c r="NJ205" i="2"/>
  <c r="NJ241" i="2"/>
  <c r="NK205" i="2"/>
  <c r="NK241" i="2"/>
  <c r="NL205" i="2"/>
  <c r="NL241" i="2"/>
  <c r="NM205" i="2"/>
  <c r="NM241" i="2"/>
  <c r="NN205" i="2"/>
  <c r="NN241" i="2"/>
  <c r="NO205" i="2"/>
  <c r="NO241" i="2"/>
  <c r="NP205" i="2"/>
  <c r="NP241" i="2"/>
  <c r="NQ205" i="2"/>
  <c r="NQ241" i="2"/>
  <c r="NR205" i="2"/>
  <c r="NR241" i="2"/>
  <c r="NS205" i="2"/>
  <c r="NS241" i="2"/>
  <c r="NT205" i="2"/>
  <c r="NT241" i="2"/>
  <c r="NU205" i="2"/>
  <c r="NU241" i="2"/>
  <c r="NV205" i="2"/>
  <c r="NV241" i="2"/>
  <c r="NW205" i="2"/>
  <c r="NW241" i="2"/>
  <c r="NX205" i="2"/>
  <c r="NX241" i="2"/>
  <c r="NY205" i="2"/>
  <c r="NY241" i="2"/>
  <c r="NZ205" i="2"/>
  <c r="NZ241" i="2"/>
  <c r="OA205" i="2"/>
  <c r="OA241" i="2"/>
  <c r="OB205" i="2"/>
  <c r="OB241" i="2"/>
  <c r="OC205" i="2"/>
  <c r="OC241" i="2"/>
  <c r="OD205" i="2"/>
  <c r="OD241" i="2"/>
  <c r="OE205" i="2"/>
  <c r="OE241" i="2"/>
  <c r="OF205" i="2"/>
  <c r="OF241" i="2"/>
  <c r="OG205" i="2"/>
  <c r="OG241" i="2"/>
  <c r="OH205" i="2"/>
  <c r="OH241" i="2"/>
  <c r="OI205" i="2"/>
  <c r="OI241" i="2"/>
  <c r="OJ205" i="2"/>
  <c r="OJ241" i="2"/>
  <c r="OK205" i="2"/>
  <c r="OK241" i="2"/>
  <c r="OL205" i="2"/>
  <c r="OL241" i="2"/>
  <c r="OM205" i="2"/>
  <c r="OM241" i="2"/>
  <c r="ON205" i="2"/>
  <c r="ON241" i="2"/>
  <c r="OO205" i="2"/>
  <c r="OO241" i="2"/>
  <c r="OP205" i="2"/>
  <c r="OP241" i="2"/>
  <c r="OQ205" i="2"/>
  <c r="OQ241" i="2"/>
  <c r="OR205" i="2"/>
  <c r="OR241" i="2"/>
  <c r="OS205" i="2"/>
  <c r="OS241" i="2"/>
  <c r="OT205" i="2"/>
  <c r="OT241" i="2"/>
  <c r="OU205" i="2"/>
  <c r="OU241" i="2"/>
  <c r="OV205" i="2"/>
  <c r="OV241" i="2"/>
  <c r="OW205" i="2"/>
  <c r="OW241" i="2"/>
  <c r="OX205" i="2"/>
  <c r="OX241" i="2"/>
  <c r="OY205" i="2"/>
  <c r="OY241" i="2"/>
  <c r="OZ205" i="2"/>
  <c r="OZ241" i="2"/>
  <c r="PA205" i="2"/>
  <c r="PA241" i="2"/>
  <c r="PB205" i="2"/>
  <c r="PB241" i="2"/>
  <c r="PC205" i="2"/>
  <c r="PC241" i="2"/>
  <c r="PD205" i="2"/>
  <c r="PD241" i="2"/>
  <c r="PE205" i="2"/>
  <c r="PE241" i="2"/>
  <c r="PF205" i="2"/>
  <c r="PF241" i="2"/>
  <c r="PG205" i="2"/>
  <c r="PG241" i="2"/>
  <c r="PH205" i="2"/>
  <c r="PH241" i="2"/>
  <c r="PI205" i="2"/>
  <c r="PI241" i="2"/>
  <c r="PJ205" i="2"/>
  <c r="PJ241" i="2"/>
  <c r="PK205" i="2"/>
  <c r="PK241" i="2"/>
  <c r="PL205" i="2"/>
  <c r="PL241" i="2"/>
  <c r="PM205" i="2"/>
  <c r="PM241" i="2"/>
  <c r="PN205" i="2"/>
  <c r="PN241" i="2"/>
  <c r="PO205" i="2"/>
  <c r="PO241" i="2"/>
  <c r="PP205" i="2"/>
  <c r="PP241" i="2"/>
  <c r="PQ205" i="2"/>
  <c r="PQ241" i="2"/>
  <c r="PR205" i="2"/>
  <c r="PR241" i="2"/>
  <c r="PS205" i="2"/>
  <c r="PS241" i="2"/>
  <c r="PT205" i="2"/>
  <c r="PT241" i="2"/>
  <c r="PU205" i="2"/>
  <c r="PU241" i="2"/>
  <c r="PV205" i="2"/>
  <c r="PV241" i="2"/>
  <c r="PW205" i="2"/>
  <c r="PW241" i="2"/>
  <c r="PX205" i="2"/>
  <c r="PX241" i="2"/>
  <c r="PY205" i="2"/>
  <c r="PY241" i="2"/>
  <c r="PZ205" i="2"/>
  <c r="PZ241" i="2"/>
  <c r="QA205" i="2"/>
  <c r="QA241" i="2"/>
  <c r="QB205" i="2"/>
  <c r="QB241" i="2"/>
  <c r="QC205" i="2"/>
  <c r="QC241" i="2"/>
  <c r="QD205" i="2"/>
  <c r="QD241" i="2"/>
  <c r="QE205" i="2"/>
  <c r="QE241" i="2"/>
  <c r="QF205" i="2"/>
  <c r="QF241" i="2"/>
  <c r="QG205" i="2"/>
  <c r="QG241" i="2"/>
  <c r="QH205" i="2"/>
  <c r="QH241" i="2"/>
  <c r="QI205" i="2"/>
  <c r="QI241" i="2"/>
  <c r="QJ205" i="2"/>
  <c r="QJ241" i="2"/>
  <c r="QK205" i="2"/>
  <c r="QK241" i="2"/>
  <c r="QL205" i="2"/>
  <c r="QL241" i="2"/>
  <c r="QM205" i="2"/>
  <c r="QM241" i="2"/>
  <c r="QN205" i="2"/>
  <c r="QN241" i="2"/>
  <c r="QO205" i="2"/>
  <c r="QO241" i="2"/>
  <c r="QP205" i="2"/>
  <c r="QP241" i="2"/>
  <c r="QQ205" i="2"/>
  <c r="QQ241" i="2"/>
  <c r="QR205" i="2"/>
  <c r="QR241" i="2"/>
  <c r="QS205" i="2"/>
  <c r="QS241" i="2"/>
  <c r="QT205" i="2"/>
  <c r="QT241" i="2"/>
  <c r="QU205" i="2"/>
  <c r="QU241" i="2"/>
  <c r="QV205" i="2"/>
  <c r="QV241" i="2"/>
  <c r="QW205" i="2"/>
  <c r="QW241" i="2"/>
  <c r="QX205" i="2"/>
  <c r="QX241" i="2"/>
  <c r="QY205" i="2"/>
  <c r="QY241" i="2"/>
  <c r="QZ205" i="2"/>
  <c r="QZ241" i="2"/>
  <c r="RA205" i="2"/>
  <c r="RA241" i="2"/>
  <c r="RB205" i="2"/>
  <c r="RB241" i="2"/>
  <c r="RC205" i="2"/>
  <c r="RC241" i="2"/>
  <c r="RD205" i="2"/>
  <c r="RD241" i="2"/>
  <c r="RE205" i="2"/>
  <c r="RE241" i="2"/>
  <c r="RF205" i="2"/>
  <c r="RF241" i="2"/>
  <c r="RG205" i="2"/>
  <c r="RG241" i="2"/>
  <c r="RH205" i="2"/>
  <c r="RH241" i="2"/>
  <c r="RI205" i="2"/>
  <c r="RI241" i="2"/>
  <c r="RJ205" i="2"/>
  <c r="RJ241" i="2"/>
  <c r="RK205" i="2"/>
  <c r="RK241" i="2"/>
  <c r="RL205" i="2"/>
  <c r="RL241" i="2"/>
  <c r="RM205" i="2"/>
  <c r="RM241" i="2"/>
  <c r="RN205" i="2"/>
  <c r="RN241" i="2"/>
  <c r="RO205" i="2"/>
  <c r="RO241" i="2"/>
  <c r="RP205" i="2"/>
  <c r="RP241" i="2"/>
  <c r="RQ205" i="2"/>
  <c r="RQ241" i="2"/>
  <c r="RR205" i="2"/>
  <c r="RR241" i="2"/>
  <c r="E204" i="2"/>
  <c r="E202" i="2"/>
  <c r="E238" i="2"/>
  <c r="E240" i="2"/>
  <c r="E241" i="2"/>
  <c r="E201" i="2"/>
  <c r="E237" i="2"/>
  <c r="D238" i="2"/>
  <c r="D239" i="2"/>
  <c r="D240" i="2"/>
  <c r="D241" i="2"/>
  <c r="D237" i="2"/>
  <c r="B16" i="2"/>
  <c r="E169" i="2"/>
  <c r="F169" i="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36" i="12"/>
  <c r="L35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36" i="12"/>
  <c r="K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V11" i="6"/>
  <c r="X9" i="6"/>
  <c r="W9" i="6"/>
  <c r="V10" i="6"/>
  <c r="L4" i="6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KU169" i="2"/>
  <c r="KV169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Q169" i="2"/>
  <c r="LR169" i="2"/>
  <c r="LS169" i="2"/>
  <c r="LT169" i="2"/>
  <c r="LU169" i="2"/>
  <c r="LV169" i="2"/>
  <c r="LW169" i="2"/>
  <c r="LX169" i="2"/>
  <c r="LY169" i="2"/>
  <c r="LZ169" i="2"/>
  <c r="MA169" i="2"/>
  <c r="MB169" i="2"/>
  <c r="MC169" i="2"/>
  <c r="MD169" i="2"/>
  <c r="ME169" i="2"/>
  <c r="MF169" i="2"/>
  <c r="MG169" i="2"/>
  <c r="MH169" i="2"/>
  <c r="MI169" i="2"/>
  <c r="MJ169" i="2"/>
  <c r="MK169" i="2"/>
  <c r="ML169" i="2"/>
  <c r="MM169" i="2"/>
  <c r="MN169" i="2"/>
  <c r="MO169" i="2"/>
  <c r="MP169" i="2"/>
  <c r="MQ169" i="2"/>
  <c r="MR169" i="2"/>
  <c r="MS169" i="2"/>
  <c r="MT169" i="2"/>
  <c r="MU169" i="2"/>
  <c r="MV169" i="2"/>
  <c r="MW169" i="2"/>
  <c r="MX169" i="2"/>
  <c r="MY169" i="2"/>
  <c r="MZ169" i="2"/>
  <c r="NA169" i="2"/>
  <c r="NB169" i="2"/>
  <c r="NC169" i="2"/>
  <c r="ND169" i="2"/>
  <c r="NE169" i="2"/>
  <c r="NF169" i="2"/>
  <c r="NG169" i="2"/>
  <c r="NH169" i="2"/>
  <c r="NI169" i="2"/>
  <c r="NJ169" i="2"/>
  <c r="NK169" i="2"/>
  <c r="NL169" i="2"/>
  <c r="NM169" i="2"/>
  <c r="NN169" i="2"/>
  <c r="NO169" i="2"/>
  <c r="NP169" i="2"/>
  <c r="NQ169" i="2"/>
  <c r="NR169" i="2"/>
  <c r="NS169" i="2"/>
  <c r="NT169" i="2"/>
  <c r="NU169" i="2"/>
  <c r="NV169" i="2"/>
  <c r="NW169" i="2"/>
  <c r="NX169" i="2"/>
  <c r="NY169" i="2"/>
  <c r="NZ169" i="2"/>
  <c r="OA169" i="2"/>
  <c r="OB169" i="2"/>
  <c r="OC169" i="2"/>
  <c r="OD169" i="2"/>
  <c r="OE169" i="2"/>
  <c r="OF169" i="2"/>
  <c r="OG169" i="2"/>
  <c r="OH169" i="2"/>
  <c r="OI169" i="2"/>
  <c r="OJ169" i="2"/>
  <c r="OK169" i="2"/>
  <c r="OL169" i="2"/>
  <c r="OM169" i="2"/>
  <c r="ON169" i="2"/>
  <c r="OO169" i="2"/>
  <c r="OP169" i="2"/>
  <c r="OQ169" i="2"/>
  <c r="OR169" i="2"/>
  <c r="OS169" i="2"/>
  <c r="OT169" i="2"/>
  <c r="OU169" i="2"/>
  <c r="OV169" i="2"/>
  <c r="OW169" i="2"/>
  <c r="OX169" i="2"/>
  <c r="OY169" i="2"/>
  <c r="OZ169" i="2"/>
  <c r="PA169" i="2"/>
  <c r="PB169" i="2"/>
  <c r="PC169" i="2"/>
  <c r="PD169" i="2"/>
  <c r="PE169" i="2"/>
  <c r="PF169" i="2"/>
  <c r="PG169" i="2"/>
  <c r="PH169" i="2"/>
  <c r="PI169" i="2"/>
  <c r="PJ169" i="2"/>
  <c r="PK169" i="2"/>
  <c r="PL169" i="2"/>
  <c r="PM169" i="2"/>
  <c r="PN169" i="2"/>
  <c r="PO169" i="2"/>
  <c r="PP169" i="2"/>
  <c r="PQ169" i="2"/>
  <c r="PR169" i="2"/>
  <c r="PS169" i="2"/>
  <c r="PT169" i="2"/>
  <c r="PU169" i="2"/>
  <c r="PV169" i="2"/>
  <c r="PW169" i="2"/>
  <c r="PX169" i="2"/>
  <c r="PY169" i="2"/>
  <c r="PZ169" i="2"/>
  <c r="QA169" i="2"/>
  <c r="QB169" i="2"/>
  <c r="QC169" i="2"/>
  <c r="QD169" i="2"/>
  <c r="QE169" i="2"/>
  <c r="QF169" i="2"/>
  <c r="QG169" i="2"/>
  <c r="QH169" i="2"/>
  <c r="QI169" i="2"/>
  <c r="QJ169" i="2"/>
  <c r="QK169" i="2"/>
  <c r="QL169" i="2"/>
  <c r="QM169" i="2"/>
  <c r="QN169" i="2"/>
  <c r="QO169" i="2"/>
  <c r="QP169" i="2"/>
  <c r="QQ169" i="2"/>
  <c r="QR169" i="2"/>
  <c r="QS169" i="2"/>
  <c r="QT169" i="2"/>
  <c r="QU169" i="2"/>
  <c r="QV169" i="2"/>
  <c r="QW169" i="2"/>
  <c r="QX169" i="2"/>
  <c r="QY169" i="2"/>
  <c r="QZ169" i="2"/>
  <c r="RA169" i="2"/>
  <c r="RB169" i="2"/>
  <c r="RC169" i="2"/>
  <c r="RD169" i="2"/>
  <c r="RE169" i="2"/>
  <c r="RF169" i="2"/>
  <c r="RG169" i="2"/>
  <c r="RH169" i="2"/>
  <c r="RI169" i="2"/>
  <c r="RJ169" i="2"/>
  <c r="RK169" i="2"/>
  <c r="RL169" i="2"/>
  <c r="RM169" i="2"/>
  <c r="RN169" i="2"/>
  <c r="RO169" i="2"/>
  <c r="RP169" i="2"/>
  <c r="RQ169" i="2"/>
  <c r="RR169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KU170" i="2"/>
  <c r="KV170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LT170" i="2"/>
  <c r="LU170" i="2"/>
  <c r="LV170" i="2"/>
  <c r="LW170" i="2"/>
  <c r="LX170" i="2"/>
  <c r="LY170" i="2"/>
  <c r="LZ170" i="2"/>
  <c r="MA170" i="2"/>
  <c r="MB170" i="2"/>
  <c r="MC170" i="2"/>
  <c r="MD170" i="2"/>
  <c r="ME170" i="2"/>
  <c r="MF170" i="2"/>
  <c r="MG170" i="2"/>
  <c r="MH170" i="2"/>
  <c r="MI170" i="2"/>
  <c r="MJ170" i="2"/>
  <c r="MK170" i="2"/>
  <c r="ML170" i="2"/>
  <c r="MM170" i="2"/>
  <c r="MN170" i="2"/>
  <c r="MO170" i="2"/>
  <c r="MP170" i="2"/>
  <c r="MQ170" i="2"/>
  <c r="MR170" i="2"/>
  <c r="MS170" i="2"/>
  <c r="MT170" i="2"/>
  <c r="MU170" i="2"/>
  <c r="MV170" i="2"/>
  <c r="MW170" i="2"/>
  <c r="MX170" i="2"/>
  <c r="MY170" i="2"/>
  <c r="MZ170" i="2"/>
  <c r="NA170" i="2"/>
  <c r="NB170" i="2"/>
  <c r="NC170" i="2"/>
  <c r="ND170" i="2"/>
  <c r="NE170" i="2"/>
  <c r="NF170" i="2"/>
  <c r="NG170" i="2"/>
  <c r="NH170" i="2"/>
  <c r="NI170" i="2"/>
  <c r="NJ170" i="2"/>
  <c r="NK170" i="2"/>
  <c r="NL170" i="2"/>
  <c r="NM170" i="2"/>
  <c r="NN170" i="2"/>
  <c r="NO170" i="2"/>
  <c r="NP170" i="2"/>
  <c r="NQ170" i="2"/>
  <c r="NR170" i="2"/>
  <c r="NS170" i="2"/>
  <c r="NT170" i="2"/>
  <c r="NU170" i="2"/>
  <c r="NV170" i="2"/>
  <c r="NW170" i="2"/>
  <c r="NX170" i="2"/>
  <c r="NY170" i="2"/>
  <c r="NZ170" i="2"/>
  <c r="OA170" i="2"/>
  <c r="OB170" i="2"/>
  <c r="OC170" i="2"/>
  <c r="OD170" i="2"/>
  <c r="OE170" i="2"/>
  <c r="OF170" i="2"/>
  <c r="OG170" i="2"/>
  <c r="OH170" i="2"/>
  <c r="OI170" i="2"/>
  <c r="OJ170" i="2"/>
  <c r="OK170" i="2"/>
  <c r="OL170" i="2"/>
  <c r="OM170" i="2"/>
  <c r="ON170" i="2"/>
  <c r="OO170" i="2"/>
  <c r="OP170" i="2"/>
  <c r="OQ170" i="2"/>
  <c r="OR170" i="2"/>
  <c r="OS170" i="2"/>
  <c r="OT170" i="2"/>
  <c r="OU170" i="2"/>
  <c r="OV170" i="2"/>
  <c r="OW170" i="2"/>
  <c r="OX170" i="2"/>
  <c r="OY170" i="2"/>
  <c r="OZ170" i="2"/>
  <c r="PA170" i="2"/>
  <c r="PB170" i="2"/>
  <c r="PC170" i="2"/>
  <c r="PD170" i="2"/>
  <c r="PE170" i="2"/>
  <c r="PF170" i="2"/>
  <c r="PG170" i="2"/>
  <c r="PH170" i="2"/>
  <c r="PI170" i="2"/>
  <c r="PJ170" i="2"/>
  <c r="PK170" i="2"/>
  <c r="PL170" i="2"/>
  <c r="PM170" i="2"/>
  <c r="PN170" i="2"/>
  <c r="PO170" i="2"/>
  <c r="PP170" i="2"/>
  <c r="PQ170" i="2"/>
  <c r="PR170" i="2"/>
  <c r="PS170" i="2"/>
  <c r="PT170" i="2"/>
  <c r="PU170" i="2"/>
  <c r="PV170" i="2"/>
  <c r="PW170" i="2"/>
  <c r="PX170" i="2"/>
  <c r="PY170" i="2"/>
  <c r="PZ170" i="2"/>
  <c r="QA170" i="2"/>
  <c r="QB170" i="2"/>
  <c r="QC170" i="2"/>
  <c r="QD170" i="2"/>
  <c r="QE170" i="2"/>
  <c r="QF170" i="2"/>
  <c r="QG170" i="2"/>
  <c r="QH170" i="2"/>
  <c r="QI170" i="2"/>
  <c r="QJ170" i="2"/>
  <c r="QK170" i="2"/>
  <c r="QL170" i="2"/>
  <c r="QM170" i="2"/>
  <c r="QN170" i="2"/>
  <c r="QO170" i="2"/>
  <c r="QP170" i="2"/>
  <c r="QQ170" i="2"/>
  <c r="QR170" i="2"/>
  <c r="QS170" i="2"/>
  <c r="QT170" i="2"/>
  <c r="QU170" i="2"/>
  <c r="QV170" i="2"/>
  <c r="QW170" i="2"/>
  <c r="QX170" i="2"/>
  <c r="QY170" i="2"/>
  <c r="QZ170" i="2"/>
  <c r="RA170" i="2"/>
  <c r="RB170" i="2"/>
  <c r="RC170" i="2"/>
  <c r="RD170" i="2"/>
  <c r="RE170" i="2"/>
  <c r="RF170" i="2"/>
  <c r="RG170" i="2"/>
  <c r="RH170" i="2"/>
  <c r="RI170" i="2"/>
  <c r="RJ170" i="2"/>
  <c r="RK170" i="2"/>
  <c r="RL170" i="2"/>
  <c r="RM170" i="2"/>
  <c r="RN170" i="2"/>
  <c r="RO170" i="2"/>
  <c r="RP170" i="2"/>
  <c r="RQ170" i="2"/>
  <c r="RR170" i="2"/>
  <c r="RR137" i="2"/>
  <c r="RR168" i="2"/>
  <c r="PR137" i="2"/>
  <c r="PR168" i="2"/>
  <c r="PS137" i="2"/>
  <c r="PS168" i="2"/>
  <c r="PT137" i="2"/>
  <c r="PT168" i="2"/>
  <c r="PU137" i="2"/>
  <c r="PU168" i="2"/>
  <c r="PV137" i="2"/>
  <c r="PV168" i="2"/>
  <c r="PW137" i="2"/>
  <c r="PW168" i="2"/>
  <c r="PX137" i="2"/>
  <c r="PX168" i="2"/>
  <c r="PY137" i="2"/>
  <c r="PY168" i="2"/>
  <c r="PZ137" i="2"/>
  <c r="PZ168" i="2"/>
  <c r="QA137" i="2"/>
  <c r="QA168" i="2"/>
  <c r="QB137" i="2"/>
  <c r="QB168" i="2"/>
  <c r="QC137" i="2"/>
  <c r="QC168" i="2"/>
  <c r="QD137" i="2"/>
  <c r="QD168" i="2"/>
  <c r="QE137" i="2"/>
  <c r="QE168" i="2"/>
  <c r="QF137" i="2"/>
  <c r="QF168" i="2"/>
  <c r="QG137" i="2"/>
  <c r="QG168" i="2"/>
  <c r="QH137" i="2"/>
  <c r="QH168" i="2"/>
  <c r="QI137" i="2"/>
  <c r="QI168" i="2"/>
  <c r="QJ137" i="2"/>
  <c r="QJ168" i="2"/>
  <c r="QK137" i="2"/>
  <c r="QK168" i="2"/>
  <c r="QL137" i="2"/>
  <c r="QL168" i="2"/>
  <c r="QM137" i="2"/>
  <c r="QM168" i="2"/>
  <c r="QN137" i="2"/>
  <c r="QN168" i="2"/>
  <c r="QO137" i="2"/>
  <c r="QO168" i="2"/>
  <c r="QP137" i="2"/>
  <c r="QP168" i="2"/>
  <c r="QQ137" i="2"/>
  <c r="QQ168" i="2"/>
  <c r="QR137" i="2"/>
  <c r="QR168" i="2"/>
  <c r="QS137" i="2"/>
  <c r="QS168" i="2"/>
  <c r="QT137" i="2"/>
  <c r="QT168" i="2"/>
  <c r="QU137" i="2"/>
  <c r="QU168" i="2"/>
  <c r="QV137" i="2"/>
  <c r="QV168" i="2"/>
  <c r="QW137" i="2"/>
  <c r="QW168" i="2"/>
  <c r="QX137" i="2"/>
  <c r="QX168" i="2"/>
  <c r="QY137" i="2"/>
  <c r="QY168" i="2"/>
  <c r="QZ137" i="2"/>
  <c r="QZ168" i="2"/>
  <c r="RA137" i="2"/>
  <c r="RA168" i="2"/>
  <c r="RB137" i="2"/>
  <c r="RB168" i="2"/>
  <c r="RC137" i="2"/>
  <c r="RC168" i="2"/>
  <c r="RD137" i="2"/>
  <c r="RD168" i="2"/>
  <c r="RE137" i="2"/>
  <c r="RE168" i="2"/>
  <c r="RF137" i="2"/>
  <c r="RF168" i="2"/>
  <c r="RG137" i="2"/>
  <c r="RG168" i="2"/>
  <c r="RH137" i="2"/>
  <c r="RH168" i="2"/>
  <c r="RI137" i="2"/>
  <c r="RI168" i="2"/>
  <c r="RJ137" i="2"/>
  <c r="RJ168" i="2"/>
  <c r="RK137" i="2"/>
  <c r="RK168" i="2"/>
  <c r="RL137" i="2"/>
  <c r="RL168" i="2"/>
  <c r="RM137" i="2"/>
  <c r="RM168" i="2"/>
  <c r="RN137" i="2"/>
  <c r="RN168" i="2"/>
  <c r="RO137" i="2"/>
  <c r="RO168" i="2"/>
  <c r="RP137" i="2"/>
  <c r="RP168" i="2"/>
  <c r="RQ137" i="2"/>
  <c r="RQ168" i="2"/>
  <c r="NQ137" i="2"/>
  <c r="NQ168" i="2"/>
  <c r="NR137" i="2"/>
  <c r="NR168" i="2"/>
  <c r="NS137" i="2"/>
  <c r="NS168" i="2"/>
  <c r="NT137" i="2"/>
  <c r="NT168" i="2"/>
  <c r="NU137" i="2"/>
  <c r="NU168" i="2"/>
  <c r="NV137" i="2"/>
  <c r="NV168" i="2"/>
  <c r="NW137" i="2"/>
  <c r="NW168" i="2"/>
  <c r="NX137" i="2"/>
  <c r="NX168" i="2"/>
  <c r="NY137" i="2"/>
  <c r="NY168" i="2"/>
  <c r="NZ137" i="2"/>
  <c r="NZ168" i="2"/>
  <c r="OA137" i="2"/>
  <c r="OA168" i="2"/>
  <c r="OB137" i="2"/>
  <c r="OB168" i="2"/>
  <c r="OC137" i="2"/>
  <c r="OC168" i="2"/>
  <c r="OD137" i="2"/>
  <c r="OD168" i="2"/>
  <c r="OE137" i="2"/>
  <c r="OE168" i="2"/>
  <c r="OF137" i="2"/>
  <c r="OF168" i="2"/>
  <c r="OG137" i="2"/>
  <c r="OG168" i="2"/>
  <c r="OH137" i="2"/>
  <c r="OH168" i="2"/>
  <c r="OI137" i="2"/>
  <c r="OI168" i="2"/>
  <c r="OJ137" i="2"/>
  <c r="OJ168" i="2"/>
  <c r="OK137" i="2"/>
  <c r="OK168" i="2"/>
  <c r="OL137" i="2"/>
  <c r="OL168" i="2"/>
  <c r="OM137" i="2"/>
  <c r="OM168" i="2"/>
  <c r="ON137" i="2"/>
  <c r="ON168" i="2"/>
  <c r="OO137" i="2"/>
  <c r="OO168" i="2"/>
  <c r="OP137" i="2"/>
  <c r="OP168" i="2"/>
  <c r="OQ137" i="2"/>
  <c r="OQ168" i="2"/>
  <c r="OR137" i="2"/>
  <c r="OR168" i="2"/>
  <c r="OS137" i="2"/>
  <c r="OS168" i="2"/>
  <c r="OT137" i="2"/>
  <c r="OT168" i="2"/>
  <c r="OU137" i="2"/>
  <c r="OU168" i="2"/>
  <c r="OV137" i="2"/>
  <c r="OV168" i="2"/>
  <c r="OW137" i="2"/>
  <c r="OW168" i="2"/>
  <c r="OX137" i="2"/>
  <c r="OX168" i="2"/>
  <c r="OY137" i="2"/>
  <c r="OY168" i="2"/>
  <c r="OZ137" i="2"/>
  <c r="OZ168" i="2"/>
  <c r="PA137" i="2"/>
  <c r="PA168" i="2"/>
  <c r="PB137" i="2"/>
  <c r="PB168" i="2"/>
  <c r="PC137" i="2"/>
  <c r="PC168" i="2"/>
  <c r="PD137" i="2"/>
  <c r="PD168" i="2"/>
  <c r="PE137" i="2"/>
  <c r="PE168" i="2"/>
  <c r="PF137" i="2"/>
  <c r="PF168" i="2"/>
  <c r="PG137" i="2"/>
  <c r="PG168" i="2"/>
  <c r="PH137" i="2"/>
  <c r="PH168" i="2"/>
  <c r="PI137" i="2"/>
  <c r="PI168" i="2"/>
  <c r="PJ137" i="2"/>
  <c r="PJ168" i="2"/>
  <c r="PK137" i="2"/>
  <c r="PK168" i="2"/>
  <c r="PL137" i="2"/>
  <c r="PL168" i="2"/>
  <c r="PM137" i="2"/>
  <c r="PM168" i="2"/>
  <c r="PN137" i="2"/>
  <c r="PN168" i="2"/>
  <c r="PO137" i="2"/>
  <c r="PO168" i="2"/>
  <c r="PP137" i="2"/>
  <c r="PP168" i="2"/>
  <c r="PQ137" i="2"/>
  <c r="PQ168" i="2"/>
  <c r="LK137" i="2"/>
  <c r="LK168" i="2"/>
  <c r="LL137" i="2"/>
  <c r="LL168" i="2"/>
  <c r="LM137" i="2"/>
  <c r="LM168" i="2"/>
  <c r="LN137" i="2"/>
  <c r="LN168" i="2"/>
  <c r="LO137" i="2"/>
  <c r="LO168" i="2"/>
  <c r="LP137" i="2"/>
  <c r="LP168" i="2"/>
  <c r="LQ137" i="2"/>
  <c r="LQ168" i="2"/>
  <c r="LR137" i="2"/>
  <c r="LR168" i="2"/>
  <c r="LS137" i="2"/>
  <c r="LS168" i="2"/>
  <c r="LT137" i="2"/>
  <c r="LT168" i="2"/>
  <c r="LU137" i="2"/>
  <c r="LU168" i="2"/>
  <c r="LV137" i="2"/>
  <c r="LV168" i="2"/>
  <c r="LW137" i="2"/>
  <c r="LW168" i="2"/>
  <c r="LX137" i="2"/>
  <c r="LX168" i="2"/>
  <c r="LY137" i="2"/>
  <c r="LY168" i="2"/>
  <c r="LZ137" i="2"/>
  <c r="LZ168" i="2"/>
  <c r="MA137" i="2"/>
  <c r="MA168" i="2"/>
  <c r="MB137" i="2"/>
  <c r="MB168" i="2"/>
  <c r="MC137" i="2"/>
  <c r="MC168" i="2"/>
  <c r="MD137" i="2"/>
  <c r="MD168" i="2"/>
  <c r="ME137" i="2"/>
  <c r="ME168" i="2"/>
  <c r="MF137" i="2"/>
  <c r="MF168" i="2"/>
  <c r="MG137" i="2"/>
  <c r="MG168" i="2"/>
  <c r="MH137" i="2"/>
  <c r="MH168" i="2"/>
  <c r="MI137" i="2"/>
  <c r="MI168" i="2"/>
  <c r="MJ137" i="2"/>
  <c r="MJ168" i="2"/>
  <c r="MK137" i="2"/>
  <c r="MK168" i="2"/>
  <c r="ML137" i="2"/>
  <c r="ML168" i="2"/>
  <c r="MM137" i="2"/>
  <c r="MM168" i="2"/>
  <c r="MN137" i="2"/>
  <c r="MN168" i="2"/>
  <c r="MO137" i="2"/>
  <c r="MO168" i="2"/>
  <c r="MP137" i="2"/>
  <c r="MP168" i="2"/>
  <c r="MQ137" i="2"/>
  <c r="MQ168" i="2"/>
  <c r="MR137" i="2"/>
  <c r="MR168" i="2"/>
  <c r="MS137" i="2"/>
  <c r="MS168" i="2"/>
  <c r="MT137" i="2"/>
  <c r="MT168" i="2"/>
  <c r="MU137" i="2"/>
  <c r="MU168" i="2"/>
  <c r="MV137" i="2"/>
  <c r="MV168" i="2"/>
  <c r="MW137" i="2"/>
  <c r="MW168" i="2"/>
  <c r="MX137" i="2"/>
  <c r="MX168" i="2"/>
  <c r="MY137" i="2"/>
  <c r="MY168" i="2"/>
  <c r="MZ137" i="2"/>
  <c r="MZ168" i="2"/>
  <c r="NA137" i="2"/>
  <c r="NA168" i="2"/>
  <c r="NB137" i="2"/>
  <c r="NB168" i="2"/>
  <c r="NC137" i="2"/>
  <c r="NC168" i="2"/>
  <c r="ND137" i="2"/>
  <c r="ND168" i="2"/>
  <c r="NE137" i="2"/>
  <c r="NE168" i="2"/>
  <c r="NF137" i="2"/>
  <c r="NF168" i="2"/>
  <c r="NG137" i="2"/>
  <c r="NG168" i="2"/>
  <c r="NH137" i="2"/>
  <c r="NH168" i="2"/>
  <c r="NI137" i="2"/>
  <c r="NI168" i="2"/>
  <c r="NJ137" i="2"/>
  <c r="NJ168" i="2"/>
  <c r="NK137" i="2"/>
  <c r="NK168" i="2"/>
  <c r="NL137" i="2"/>
  <c r="NL168" i="2"/>
  <c r="NM137" i="2"/>
  <c r="NM168" i="2"/>
  <c r="NN137" i="2"/>
  <c r="NN168" i="2"/>
  <c r="NO137" i="2"/>
  <c r="NO168" i="2"/>
  <c r="NP137" i="2"/>
  <c r="NP168" i="2"/>
  <c r="IX137" i="2"/>
  <c r="IX168" i="2"/>
  <c r="IY137" i="2"/>
  <c r="IY168" i="2"/>
  <c r="IZ137" i="2"/>
  <c r="IZ168" i="2"/>
  <c r="JA137" i="2"/>
  <c r="JA168" i="2"/>
  <c r="JB137" i="2"/>
  <c r="JB168" i="2"/>
  <c r="JC137" i="2"/>
  <c r="JC168" i="2"/>
  <c r="JD137" i="2"/>
  <c r="JD168" i="2"/>
  <c r="JE137" i="2"/>
  <c r="JE168" i="2"/>
  <c r="JF137" i="2"/>
  <c r="JF168" i="2"/>
  <c r="JG137" i="2"/>
  <c r="JG168" i="2"/>
  <c r="JH137" i="2"/>
  <c r="JH168" i="2"/>
  <c r="JI137" i="2"/>
  <c r="JI168" i="2"/>
  <c r="JJ137" i="2"/>
  <c r="JJ168" i="2"/>
  <c r="JK137" i="2"/>
  <c r="JK168" i="2"/>
  <c r="JL137" i="2"/>
  <c r="JL168" i="2"/>
  <c r="JM137" i="2"/>
  <c r="JM168" i="2"/>
  <c r="JN137" i="2"/>
  <c r="JN168" i="2"/>
  <c r="JO137" i="2"/>
  <c r="JO168" i="2"/>
  <c r="JP137" i="2"/>
  <c r="JP168" i="2"/>
  <c r="JQ137" i="2"/>
  <c r="JQ168" i="2"/>
  <c r="JR137" i="2"/>
  <c r="JR168" i="2"/>
  <c r="JS137" i="2"/>
  <c r="JS168" i="2"/>
  <c r="JT137" i="2"/>
  <c r="JT168" i="2"/>
  <c r="JU137" i="2"/>
  <c r="JU168" i="2"/>
  <c r="JV137" i="2"/>
  <c r="JV168" i="2"/>
  <c r="JW137" i="2"/>
  <c r="JW168" i="2"/>
  <c r="JX137" i="2"/>
  <c r="JX168" i="2"/>
  <c r="JY137" i="2"/>
  <c r="JY168" i="2"/>
  <c r="JZ137" i="2"/>
  <c r="JZ168" i="2"/>
  <c r="KA137" i="2"/>
  <c r="KA168" i="2"/>
  <c r="KB137" i="2"/>
  <c r="KB168" i="2"/>
  <c r="KC137" i="2"/>
  <c r="KC168" i="2"/>
  <c r="KD137" i="2"/>
  <c r="KD168" i="2"/>
  <c r="KE137" i="2"/>
  <c r="KE168" i="2"/>
  <c r="KF137" i="2"/>
  <c r="KF168" i="2"/>
  <c r="KG137" i="2"/>
  <c r="KG168" i="2"/>
  <c r="KH137" i="2"/>
  <c r="KH168" i="2"/>
  <c r="KI137" i="2"/>
  <c r="KI168" i="2"/>
  <c r="KJ137" i="2"/>
  <c r="KJ168" i="2"/>
  <c r="KK137" i="2"/>
  <c r="KK168" i="2"/>
  <c r="KL137" i="2"/>
  <c r="KL168" i="2"/>
  <c r="KM137" i="2"/>
  <c r="KM168" i="2"/>
  <c r="KN137" i="2"/>
  <c r="KN168" i="2"/>
  <c r="KO137" i="2"/>
  <c r="KO168" i="2"/>
  <c r="KP137" i="2"/>
  <c r="KP168" i="2"/>
  <c r="KQ137" i="2"/>
  <c r="KQ168" i="2"/>
  <c r="KR137" i="2"/>
  <c r="KR168" i="2"/>
  <c r="KS137" i="2"/>
  <c r="KS168" i="2"/>
  <c r="KT137" i="2"/>
  <c r="KT168" i="2"/>
  <c r="KU137" i="2"/>
  <c r="KU168" i="2"/>
  <c r="KV137" i="2"/>
  <c r="KV168" i="2"/>
  <c r="KW137" i="2"/>
  <c r="KW168" i="2"/>
  <c r="KX137" i="2"/>
  <c r="KX168" i="2"/>
  <c r="KY137" i="2"/>
  <c r="KY168" i="2"/>
  <c r="KZ137" i="2"/>
  <c r="KZ168" i="2"/>
  <c r="LA137" i="2"/>
  <c r="LA168" i="2"/>
  <c r="LB137" i="2"/>
  <c r="LB168" i="2"/>
  <c r="LC137" i="2"/>
  <c r="LC168" i="2"/>
  <c r="LD137" i="2"/>
  <c r="LD168" i="2"/>
  <c r="LE137" i="2"/>
  <c r="LE168" i="2"/>
  <c r="LF137" i="2"/>
  <c r="LF168" i="2"/>
  <c r="LG137" i="2"/>
  <c r="LG168" i="2"/>
  <c r="LH137" i="2"/>
  <c r="LH168" i="2"/>
  <c r="LI137" i="2"/>
  <c r="LI168" i="2"/>
  <c r="LJ137" i="2"/>
  <c r="LJ168" i="2"/>
  <c r="FI137" i="2"/>
  <c r="FI168" i="2"/>
  <c r="FJ137" i="2"/>
  <c r="FJ168" i="2"/>
  <c r="FK137" i="2"/>
  <c r="FK168" i="2"/>
  <c r="FL137" i="2"/>
  <c r="FL168" i="2"/>
  <c r="FM137" i="2"/>
  <c r="FM168" i="2"/>
  <c r="FN137" i="2"/>
  <c r="FN168" i="2"/>
  <c r="FO137" i="2"/>
  <c r="FO168" i="2"/>
  <c r="FP137" i="2"/>
  <c r="FP168" i="2"/>
  <c r="FQ137" i="2"/>
  <c r="FQ168" i="2"/>
  <c r="FR137" i="2"/>
  <c r="FR168" i="2"/>
  <c r="FS137" i="2"/>
  <c r="FS168" i="2"/>
  <c r="FT137" i="2"/>
  <c r="FT168" i="2"/>
  <c r="FU137" i="2"/>
  <c r="FU168" i="2"/>
  <c r="FV137" i="2"/>
  <c r="FV168" i="2"/>
  <c r="FW137" i="2"/>
  <c r="FW168" i="2"/>
  <c r="FX137" i="2"/>
  <c r="FX168" i="2"/>
  <c r="FY137" i="2"/>
  <c r="FY168" i="2"/>
  <c r="FZ137" i="2"/>
  <c r="FZ168" i="2"/>
  <c r="GA137" i="2"/>
  <c r="GA168" i="2"/>
  <c r="GB137" i="2"/>
  <c r="GB168" i="2"/>
  <c r="GC137" i="2"/>
  <c r="GC168" i="2"/>
  <c r="GD137" i="2"/>
  <c r="GD168" i="2"/>
  <c r="GE137" i="2"/>
  <c r="GE168" i="2"/>
  <c r="GF137" i="2"/>
  <c r="GF168" i="2"/>
  <c r="GG137" i="2"/>
  <c r="GG168" i="2"/>
  <c r="GH137" i="2"/>
  <c r="GH168" i="2"/>
  <c r="GI137" i="2"/>
  <c r="GI168" i="2"/>
  <c r="GJ137" i="2"/>
  <c r="GJ168" i="2"/>
  <c r="GK137" i="2"/>
  <c r="GK168" i="2"/>
  <c r="GL137" i="2"/>
  <c r="GL168" i="2"/>
  <c r="GM137" i="2"/>
  <c r="GM168" i="2"/>
  <c r="GN137" i="2"/>
  <c r="GN168" i="2"/>
  <c r="GO137" i="2"/>
  <c r="GO168" i="2"/>
  <c r="GP137" i="2"/>
  <c r="GP168" i="2"/>
  <c r="GQ137" i="2"/>
  <c r="GQ168" i="2"/>
  <c r="GR137" i="2"/>
  <c r="GR168" i="2"/>
  <c r="GS137" i="2"/>
  <c r="GS168" i="2"/>
  <c r="GT137" i="2"/>
  <c r="GT168" i="2"/>
  <c r="GU137" i="2"/>
  <c r="GU168" i="2"/>
  <c r="GV137" i="2"/>
  <c r="GV168" i="2"/>
  <c r="GW137" i="2"/>
  <c r="GW168" i="2"/>
  <c r="GX137" i="2"/>
  <c r="GX168" i="2"/>
  <c r="GY137" i="2"/>
  <c r="GY168" i="2"/>
  <c r="GZ137" i="2"/>
  <c r="GZ168" i="2"/>
  <c r="HA137" i="2"/>
  <c r="HA168" i="2"/>
  <c r="HB137" i="2"/>
  <c r="HB168" i="2"/>
  <c r="HC137" i="2"/>
  <c r="HC168" i="2"/>
  <c r="HD137" i="2"/>
  <c r="HD168" i="2"/>
  <c r="HE137" i="2"/>
  <c r="HE168" i="2"/>
  <c r="HF137" i="2"/>
  <c r="HF168" i="2"/>
  <c r="HG137" i="2"/>
  <c r="HG168" i="2"/>
  <c r="HH137" i="2"/>
  <c r="HH168" i="2"/>
  <c r="HI137" i="2"/>
  <c r="HI168" i="2"/>
  <c r="HJ137" i="2"/>
  <c r="HJ168" i="2"/>
  <c r="HK137" i="2"/>
  <c r="HK168" i="2"/>
  <c r="HL137" i="2"/>
  <c r="HL168" i="2"/>
  <c r="HM137" i="2"/>
  <c r="HM168" i="2"/>
  <c r="HN137" i="2"/>
  <c r="HN168" i="2"/>
  <c r="HO137" i="2"/>
  <c r="HO168" i="2"/>
  <c r="HP137" i="2"/>
  <c r="HP168" i="2"/>
  <c r="HQ137" i="2"/>
  <c r="HQ168" i="2"/>
  <c r="HR137" i="2"/>
  <c r="HR168" i="2"/>
  <c r="HS137" i="2"/>
  <c r="HS168" i="2"/>
  <c r="HT137" i="2"/>
  <c r="HT168" i="2"/>
  <c r="HU137" i="2"/>
  <c r="HU168" i="2"/>
  <c r="HV137" i="2"/>
  <c r="HV168" i="2"/>
  <c r="HW137" i="2"/>
  <c r="HW168" i="2"/>
  <c r="HX137" i="2"/>
  <c r="HX168" i="2"/>
  <c r="HY137" i="2"/>
  <c r="HY168" i="2"/>
  <c r="HZ137" i="2"/>
  <c r="HZ168" i="2"/>
  <c r="IA137" i="2"/>
  <c r="IA168" i="2"/>
  <c r="IB137" i="2"/>
  <c r="IB168" i="2"/>
  <c r="IC137" i="2"/>
  <c r="IC168" i="2"/>
  <c r="ID137" i="2"/>
  <c r="ID168" i="2"/>
  <c r="IE137" i="2"/>
  <c r="IE168" i="2"/>
  <c r="IF137" i="2"/>
  <c r="IF168" i="2"/>
  <c r="IG137" i="2"/>
  <c r="IG168" i="2"/>
  <c r="IH137" i="2"/>
  <c r="IH168" i="2"/>
  <c r="II137" i="2"/>
  <c r="II168" i="2"/>
  <c r="IJ137" i="2"/>
  <c r="IJ168" i="2"/>
  <c r="IK137" i="2"/>
  <c r="IK168" i="2"/>
  <c r="IL137" i="2"/>
  <c r="IL168" i="2"/>
  <c r="IM137" i="2"/>
  <c r="IM168" i="2"/>
  <c r="IN137" i="2"/>
  <c r="IN168" i="2"/>
  <c r="IO137" i="2"/>
  <c r="IO168" i="2"/>
  <c r="IP137" i="2"/>
  <c r="IP168" i="2"/>
  <c r="IQ137" i="2"/>
  <c r="IQ168" i="2"/>
  <c r="IR137" i="2"/>
  <c r="IR168" i="2"/>
  <c r="IS137" i="2"/>
  <c r="IS168" i="2"/>
  <c r="IT137" i="2"/>
  <c r="IT168" i="2"/>
  <c r="IU137" i="2"/>
  <c r="IU168" i="2"/>
  <c r="IV137" i="2"/>
  <c r="IV168" i="2"/>
  <c r="IW137" i="2"/>
  <c r="IW168" i="2"/>
  <c r="F137" i="2"/>
  <c r="F168" i="2"/>
  <c r="G137" i="2"/>
  <c r="G168" i="2"/>
  <c r="H137" i="2"/>
  <c r="H168" i="2"/>
  <c r="I137" i="2"/>
  <c r="I168" i="2"/>
  <c r="J137" i="2"/>
  <c r="J168" i="2"/>
  <c r="K137" i="2"/>
  <c r="K168" i="2"/>
  <c r="L137" i="2"/>
  <c r="L168" i="2"/>
  <c r="M137" i="2"/>
  <c r="M168" i="2"/>
  <c r="N137" i="2"/>
  <c r="N168" i="2"/>
  <c r="O137" i="2"/>
  <c r="O168" i="2"/>
  <c r="P137" i="2"/>
  <c r="P168" i="2"/>
  <c r="Q137" i="2"/>
  <c r="Q168" i="2"/>
  <c r="R137" i="2"/>
  <c r="R168" i="2"/>
  <c r="S137" i="2"/>
  <c r="S168" i="2"/>
  <c r="T137" i="2"/>
  <c r="T168" i="2"/>
  <c r="U137" i="2"/>
  <c r="U168" i="2"/>
  <c r="V137" i="2"/>
  <c r="V168" i="2"/>
  <c r="W137" i="2"/>
  <c r="W168" i="2"/>
  <c r="X137" i="2"/>
  <c r="X168" i="2"/>
  <c r="Y137" i="2"/>
  <c r="Y168" i="2"/>
  <c r="Z137" i="2"/>
  <c r="Z168" i="2"/>
  <c r="AA137" i="2"/>
  <c r="AA168" i="2"/>
  <c r="AB137" i="2"/>
  <c r="AB168" i="2"/>
  <c r="AC137" i="2"/>
  <c r="AC168" i="2"/>
  <c r="AD137" i="2"/>
  <c r="AD168" i="2"/>
  <c r="AE137" i="2"/>
  <c r="AE168" i="2"/>
  <c r="AF137" i="2"/>
  <c r="AF168" i="2"/>
  <c r="AG137" i="2"/>
  <c r="AG168" i="2"/>
  <c r="AH137" i="2"/>
  <c r="AH168" i="2"/>
  <c r="AI137" i="2"/>
  <c r="AI168" i="2"/>
  <c r="AJ137" i="2"/>
  <c r="AJ168" i="2"/>
  <c r="AK137" i="2"/>
  <c r="AK168" i="2"/>
  <c r="AL137" i="2"/>
  <c r="AL168" i="2"/>
  <c r="AM137" i="2"/>
  <c r="AM168" i="2"/>
  <c r="AN137" i="2"/>
  <c r="AN168" i="2"/>
  <c r="AO137" i="2"/>
  <c r="AO168" i="2"/>
  <c r="AP137" i="2"/>
  <c r="AP168" i="2"/>
  <c r="AQ137" i="2"/>
  <c r="AQ168" i="2"/>
  <c r="AR137" i="2"/>
  <c r="AR168" i="2"/>
  <c r="AS137" i="2"/>
  <c r="AS168" i="2"/>
  <c r="AT137" i="2"/>
  <c r="AT168" i="2"/>
  <c r="AU137" i="2"/>
  <c r="AU168" i="2"/>
  <c r="AV137" i="2"/>
  <c r="AV168" i="2"/>
  <c r="AW137" i="2"/>
  <c r="AW168" i="2"/>
  <c r="AX137" i="2"/>
  <c r="AX168" i="2"/>
  <c r="AY137" i="2"/>
  <c r="AY168" i="2"/>
  <c r="AZ137" i="2"/>
  <c r="AZ168" i="2"/>
  <c r="BA137" i="2"/>
  <c r="BA168" i="2"/>
  <c r="BB137" i="2"/>
  <c r="BB168" i="2"/>
  <c r="BC137" i="2"/>
  <c r="BC168" i="2"/>
  <c r="BD137" i="2"/>
  <c r="BD168" i="2"/>
  <c r="BE137" i="2"/>
  <c r="BE168" i="2"/>
  <c r="BF137" i="2"/>
  <c r="BF168" i="2"/>
  <c r="BG137" i="2"/>
  <c r="BG168" i="2"/>
  <c r="BH137" i="2"/>
  <c r="BH168" i="2"/>
  <c r="BI137" i="2"/>
  <c r="BI168" i="2"/>
  <c r="BJ137" i="2"/>
  <c r="BJ168" i="2"/>
  <c r="BK137" i="2"/>
  <c r="BK168" i="2"/>
  <c r="BL137" i="2"/>
  <c r="BL168" i="2"/>
  <c r="BM137" i="2"/>
  <c r="BM168" i="2"/>
  <c r="BN137" i="2"/>
  <c r="BN168" i="2"/>
  <c r="BO137" i="2"/>
  <c r="BO168" i="2"/>
  <c r="BP137" i="2"/>
  <c r="BP168" i="2"/>
  <c r="BQ137" i="2"/>
  <c r="BQ168" i="2"/>
  <c r="BR137" i="2"/>
  <c r="BR168" i="2"/>
  <c r="BS137" i="2"/>
  <c r="BS168" i="2"/>
  <c r="BT137" i="2"/>
  <c r="BT168" i="2"/>
  <c r="BU137" i="2"/>
  <c r="BU168" i="2"/>
  <c r="BV137" i="2"/>
  <c r="BV168" i="2"/>
  <c r="BW137" i="2"/>
  <c r="BW168" i="2"/>
  <c r="BX137" i="2"/>
  <c r="BX168" i="2"/>
  <c r="BY137" i="2"/>
  <c r="BY168" i="2"/>
  <c r="BZ137" i="2"/>
  <c r="BZ168" i="2"/>
  <c r="CA137" i="2"/>
  <c r="CA168" i="2"/>
  <c r="CB137" i="2"/>
  <c r="CB168" i="2"/>
  <c r="CC137" i="2"/>
  <c r="CC168" i="2"/>
  <c r="CD137" i="2"/>
  <c r="CD168" i="2"/>
  <c r="CE137" i="2"/>
  <c r="CE168" i="2"/>
  <c r="CF137" i="2"/>
  <c r="CF168" i="2"/>
  <c r="CG137" i="2"/>
  <c r="CG168" i="2"/>
  <c r="CH137" i="2"/>
  <c r="CH168" i="2"/>
  <c r="CI137" i="2"/>
  <c r="CI168" i="2"/>
  <c r="CJ137" i="2"/>
  <c r="CJ168" i="2"/>
  <c r="CK137" i="2"/>
  <c r="CK168" i="2"/>
  <c r="CL137" i="2"/>
  <c r="CL168" i="2"/>
  <c r="CM137" i="2"/>
  <c r="CM168" i="2"/>
  <c r="CN137" i="2"/>
  <c r="CN168" i="2"/>
  <c r="CO137" i="2"/>
  <c r="CO168" i="2"/>
  <c r="CP137" i="2"/>
  <c r="CP168" i="2"/>
  <c r="CQ137" i="2"/>
  <c r="CQ168" i="2"/>
  <c r="CR137" i="2"/>
  <c r="CR168" i="2"/>
  <c r="CS137" i="2"/>
  <c r="CS168" i="2"/>
  <c r="CT137" i="2"/>
  <c r="CT168" i="2"/>
  <c r="CU137" i="2"/>
  <c r="CU168" i="2"/>
  <c r="CV137" i="2"/>
  <c r="CV168" i="2"/>
  <c r="CW137" i="2"/>
  <c r="CW168" i="2"/>
  <c r="CX137" i="2"/>
  <c r="CX168" i="2"/>
  <c r="CY137" i="2"/>
  <c r="CY168" i="2"/>
  <c r="CZ137" i="2"/>
  <c r="CZ168" i="2"/>
  <c r="DA137" i="2"/>
  <c r="DA168" i="2"/>
  <c r="DB137" i="2"/>
  <c r="DB168" i="2"/>
  <c r="DC137" i="2"/>
  <c r="DC168" i="2"/>
  <c r="DD137" i="2"/>
  <c r="DD168" i="2"/>
  <c r="DE137" i="2"/>
  <c r="DE168" i="2"/>
  <c r="DF137" i="2"/>
  <c r="DF168" i="2"/>
  <c r="DG137" i="2"/>
  <c r="DG168" i="2"/>
  <c r="DH137" i="2"/>
  <c r="DH168" i="2"/>
  <c r="DI137" i="2"/>
  <c r="DI168" i="2"/>
  <c r="DJ137" i="2"/>
  <c r="DJ168" i="2"/>
  <c r="DK137" i="2"/>
  <c r="DK168" i="2"/>
  <c r="DL137" i="2"/>
  <c r="DL168" i="2"/>
  <c r="DM137" i="2"/>
  <c r="DM168" i="2"/>
  <c r="DN137" i="2"/>
  <c r="DN168" i="2"/>
  <c r="DO137" i="2"/>
  <c r="DO168" i="2"/>
  <c r="DP137" i="2"/>
  <c r="DP168" i="2"/>
  <c r="DQ137" i="2"/>
  <c r="DQ168" i="2"/>
  <c r="DR137" i="2"/>
  <c r="DR168" i="2"/>
  <c r="DS137" i="2"/>
  <c r="DS168" i="2"/>
  <c r="DT137" i="2"/>
  <c r="DT168" i="2"/>
  <c r="DU137" i="2"/>
  <c r="DU168" i="2"/>
  <c r="DV137" i="2"/>
  <c r="DV168" i="2"/>
  <c r="DW137" i="2"/>
  <c r="DW168" i="2"/>
  <c r="DX137" i="2"/>
  <c r="DX168" i="2"/>
  <c r="DY137" i="2"/>
  <c r="DY168" i="2"/>
  <c r="DZ137" i="2"/>
  <c r="DZ168" i="2"/>
  <c r="EA137" i="2"/>
  <c r="EA168" i="2"/>
  <c r="EB137" i="2"/>
  <c r="EB168" i="2"/>
  <c r="EC137" i="2"/>
  <c r="EC168" i="2"/>
  <c r="ED137" i="2"/>
  <c r="ED168" i="2"/>
  <c r="EE137" i="2"/>
  <c r="EE168" i="2"/>
  <c r="EF137" i="2"/>
  <c r="EF168" i="2"/>
  <c r="EG137" i="2"/>
  <c r="EG168" i="2"/>
  <c r="EH137" i="2"/>
  <c r="EH168" i="2"/>
  <c r="EI137" i="2"/>
  <c r="EI168" i="2"/>
  <c r="EJ137" i="2"/>
  <c r="EJ168" i="2"/>
  <c r="EK137" i="2"/>
  <c r="EK168" i="2"/>
  <c r="EL137" i="2"/>
  <c r="EL168" i="2"/>
  <c r="EM137" i="2"/>
  <c r="EM168" i="2"/>
  <c r="EN137" i="2"/>
  <c r="EN168" i="2"/>
  <c r="EO137" i="2"/>
  <c r="EO168" i="2"/>
  <c r="EP137" i="2"/>
  <c r="EP168" i="2"/>
  <c r="EQ137" i="2"/>
  <c r="EQ168" i="2"/>
  <c r="ER137" i="2"/>
  <c r="ER168" i="2"/>
  <c r="ES137" i="2"/>
  <c r="ES168" i="2"/>
  <c r="ET137" i="2"/>
  <c r="ET168" i="2"/>
  <c r="EU137" i="2"/>
  <c r="EU168" i="2"/>
  <c r="EV137" i="2"/>
  <c r="EV168" i="2"/>
  <c r="EW137" i="2"/>
  <c r="EW168" i="2"/>
  <c r="EX137" i="2"/>
  <c r="EX168" i="2"/>
  <c r="EY137" i="2"/>
  <c r="EY168" i="2"/>
  <c r="EZ137" i="2"/>
  <c r="EZ168" i="2"/>
  <c r="FA137" i="2"/>
  <c r="FA168" i="2"/>
  <c r="FB137" i="2"/>
  <c r="FB168" i="2"/>
  <c r="FC137" i="2"/>
  <c r="FC168" i="2"/>
  <c r="FD137" i="2"/>
  <c r="FD168" i="2"/>
  <c r="FE137" i="2"/>
  <c r="FE168" i="2"/>
  <c r="FF137" i="2"/>
  <c r="FF168" i="2"/>
  <c r="FG137" i="2"/>
  <c r="FG168" i="2"/>
  <c r="FH137" i="2"/>
  <c r="FH168" i="2"/>
  <c r="E137" i="2"/>
  <c r="E168" i="2"/>
  <c r="E4" i="8"/>
  <c r="G4" i="8"/>
  <c r="E5" i="8"/>
  <c r="G5" i="8"/>
  <c r="E6" i="8"/>
  <c r="G6" i="8"/>
  <c r="E7" i="8"/>
  <c r="G7" i="8"/>
  <c r="E8" i="8"/>
  <c r="G8" i="8"/>
  <c r="E9" i="8"/>
  <c r="G9" i="8"/>
  <c r="E10" i="8"/>
  <c r="G10" i="8"/>
  <c r="E11" i="8"/>
  <c r="G11" i="8"/>
  <c r="E12" i="8"/>
  <c r="G12" i="8"/>
  <c r="E13" i="8"/>
  <c r="G13" i="8"/>
  <c r="E14" i="8"/>
  <c r="G14" i="8"/>
  <c r="E15" i="8"/>
  <c r="G15" i="8"/>
  <c r="E16" i="8"/>
  <c r="G16" i="8"/>
  <c r="E17" i="8"/>
  <c r="G17" i="8"/>
  <c r="E18" i="8"/>
  <c r="F18" i="8"/>
  <c r="G18" i="8"/>
  <c r="E19" i="8"/>
  <c r="F19" i="8"/>
  <c r="G19" i="8"/>
  <c r="E20" i="8"/>
  <c r="F20" i="8"/>
  <c r="G20" i="8"/>
  <c r="E21" i="8"/>
  <c r="F21" i="8"/>
  <c r="G21" i="8"/>
  <c r="E22" i="8"/>
  <c r="F22" i="8"/>
  <c r="G22" i="8"/>
  <c r="E23" i="8"/>
  <c r="F23" i="8"/>
  <c r="G23" i="8"/>
  <c r="G3" i="8"/>
  <c r="E3" i="8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KU138" i="2"/>
  <c r="KV138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LT138" i="2"/>
  <c r="LU138" i="2"/>
  <c r="LV138" i="2"/>
  <c r="LW138" i="2"/>
  <c r="LX138" i="2"/>
  <c r="LY138" i="2"/>
  <c r="LZ138" i="2"/>
  <c r="MA138" i="2"/>
  <c r="MB138" i="2"/>
  <c r="MC138" i="2"/>
  <c r="MD138" i="2"/>
  <c r="ME138" i="2"/>
  <c r="MF138" i="2"/>
  <c r="MG138" i="2"/>
  <c r="MH138" i="2"/>
  <c r="MI138" i="2"/>
  <c r="MJ138" i="2"/>
  <c r="MK138" i="2"/>
  <c r="ML138" i="2"/>
  <c r="MM138" i="2"/>
  <c r="MN138" i="2"/>
  <c r="MO138" i="2"/>
  <c r="MP138" i="2"/>
  <c r="MQ138" i="2"/>
  <c r="MR138" i="2"/>
  <c r="MS138" i="2"/>
  <c r="MT138" i="2"/>
  <c r="MU138" i="2"/>
  <c r="MV138" i="2"/>
  <c r="MW138" i="2"/>
  <c r="MX138" i="2"/>
  <c r="MY138" i="2"/>
  <c r="MZ138" i="2"/>
  <c r="NA138" i="2"/>
  <c r="NB138" i="2"/>
  <c r="NC138" i="2"/>
  <c r="ND138" i="2"/>
  <c r="NE138" i="2"/>
  <c r="NF138" i="2"/>
  <c r="NG138" i="2"/>
  <c r="NH138" i="2"/>
  <c r="NI138" i="2"/>
  <c r="NJ138" i="2"/>
  <c r="NK138" i="2"/>
  <c r="NL138" i="2"/>
  <c r="NM138" i="2"/>
  <c r="NN138" i="2"/>
  <c r="NO138" i="2"/>
  <c r="NP138" i="2"/>
  <c r="NQ138" i="2"/>
  <c r="NR138" i="2"/>
  <c r="NS138" i="2"/>
  <c r="NT138" i="2"/>
  <c r="NU138" i="2"/>
  <c r="NV138" i="2"/>
  <c r="NW138" i="2"/>
  <c r="NX138" i="2"/>
  <c r="NY138" i="2"/>
  <c r="NZ138" i="2"/>
  <c r="OA138" i="2"/>
  <c r="OB138" i="2"/>
  <c r="OC138" i="2"/>
  <c r="OD138" i="2"/>
  <c r="OE138" i="2"/>
  <c r="OF138" i="2"/>
  <c r="OG138" i="2"/>
  <c r="OH138" i="2"/>
  <c r="OI138" i="2"/>
  <c r="OJ138" i="2"/>
  <c r="OK138" i="2"/>
  <c r="OL138" i="2"/>
  <c r="OM138" i="2"/>
  <c r="ON138" i="2"/>
  <c r="OO138" i="2"/>
  <c r="OP138" i="2"/>
  <c r="OQ138" i="2"/>
  <c r="OR138" i="2"/>
  <c r="OS138" i="2"/>
  <c r="OT138" i="2"/>
  <c r="OU138" i="2"/>
  <c r="OV138" i="2"/>
  <c r="OW138" i="2"/>
  <c r="OX138" i="2"/>
  <c r="OY138" i="2"/>
  <c r="OZ138" i="2"/>
  <c r="PA138" i="2"/>
  <c r="PB138" i="2"/>
  <c r="PC138" i="2"/>
  <c r="PD138" i="2"/>
  <c r="PE138" i="2"/>
  <c r="PF138" i="2"/>
  <c r="PG138" i="2"/>
  <c r="PH138" i="2"/>
  <c r="PI138" i="2"/>
  <c r="PJ138" i="2"/>
  <c r="PK138" i="2"/>
  <c r="PL138" i="2"/>
  <c r="PM138" i="2"/>
  <c r="PN138" i="2"/>
  <c r="PO138" i="2"/>
  <c r="PP138" i="2"/>
  <c r="PQ138" i="2"/>
  <c r="PR138" i="2"/>
  <c r="PS138" i="2"/>
  <c r="PT138" i="2"/>
  <c r="PU138" i="2"/>
  <c r="PV138" i="2"/>
  <c r="PW138" i="2"/>
  <c r="PX138" i="2"/>
  <c r="PY138" i="2"/>
  <c r="PZ138" i="2"/>
  <c r="QA138" i="2"/>
  <c r="QB138" i="2"/>
  <c r="QC138" i="2"/>
  <c r="QD138" i="2"/>
  <c r="QE138" i="2"/>
  <c r="QF138" i="2"/>
  <c r="QG138" i="2"/>
  <c r="QH138" i="2"/>
  <c r="QI138" i="2"/>
  <c r="QJ138" i="2"/>
  <c r="QK138" i="2"/>
  <c r="QL138" i="2"/>
  <c r="QM138" i="2"/>
  <c r="QN138" i="2"/>
  <c r="QO138" i="2"/>
  <c r="QP138" i="2"/>
  <c r="QQ138" i="2"/>
  <c r="QR138" i="2"/>
  <c r="QS138" i="2"/>
  <c r="QT138" i="2"/>
  <c r="QU138" i="2"/>
  <c r="QV138" i="2"/>
  <c r="QW138" i="2"/>
  <c r="QX138" i="2"/>
  <c r="QY138" i="2"/>
  <c r="QZ138" i="2"/>
  <c r="RA138" i="2"/>
  <c r="RB138" i="2"/>
  <c r="RC138" i="2"/>
  <c r="RD138" i="2"/>
  <c r="RE138" i="2"/>
  <c r="RF138" i="2"/>
  <c r="RG138" i="2"/>
  <c r="RH138" i="2"/>
  <c r="RI138" i="2"/>
  <c r="RJ138" i="2"/>
  <c r="RK138" i="2"/>
  <c r="RL138" i="2"/>
  <c r="RM138" i="2"/>
  <c r="RN138" i="2"/>
  <c r="RO138" i="2"/>
  <c r="RP138" i="2"/>
  <c r="RQ138" i="2"/>
  <c r="RR138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KU140" i="2"/>
  <c r="KV140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LT140" i="2"/>
  <c r="LU140" i="2"/>
  <c r="LV140" i="2"/>
  <c r="LW140" i="2"/>
  <c r="LX140" i="2"/>
  <c r="LY140" i="2"/>
  <c r="LZ140" i="2"/>
  <c r="MA140" i="2"/>
  <c r="MB140" i="2"/>
  <c r="MC140" i="2"/>
  <c r="MD140" i="2"/>
  <c r="ME140" i="2"/>
  <c r="MF140" i="2"/>
  <c r="MG140" i="2"/>
  <c r="MH140" i="2"/>
  <c r="MI140" i="2"/>
  <c r="MJ140" i="2"/>
  <c r="MK140" i="2"/>
  <c r="ML140" i="2"/>
  <c r="MM140" i="2"/>
  <c r="MN140" i="2"/>
  <c r="MO140" i="2"/>
  <c r="MP140" i="2"/>
  <c r="MQ140" i="2"/>
  <c r="MR140" i="2"/>
  <c r="MS140" i="2"/>
  <c r="MT140" i="2"/>
  <c r="MU140" i="2"/>
  <c r="MV140" i="2"/>
  <c r="MW140" i="2"/>
  <c r="MX140" i="2"/>
  <c r="MY140" i="2"/>
  <c r="MZ140" i="2"/>
  <c r="NA140" i="2"/>
  <c r="NB140" i="2"/>
  <c r="NC140" i="2"/>
  <c r="ND140" i="2"/>
  <c r="NE140" i="2"/>
  <c r="NF140" i="2"/>
  <c r="NG140" i="2"/>
  <c r="NH140" i="2"/>
  <c r="NI140" i="2"/>
  <c r="NJ140" i="2"/>
  <c r="NK140" i="2"/>
  <c r="NL140" i="2"/>
  <c r="NM140" i="2"/>
  <c r="NN140" i="2"/>
  <c r="NO140" i="2"/>
  <c r="NP140" i="2"/>
  <c r="NQ140" i="2"/>
  <c r="NR140" i="2"/>
  <c r="NS140" i="2"/>
  <c r="NT140" i="2"/>
  <c r="NU140" i="2"/>
  <c r="NV140" i="2"/>
  <c r="NW140" i="2"/>
  <c r="NX140" i="2"/>
  <c r="NY140" i="2"/>
  <c r="NZ140" i="2"/>
  <c r="OA140" i="2"/>
  <c r="OB140" i="2"/>
  <c r="OC140" i="2"/>
  <c r="OD140" i="2"/>
  <c r="OE140" i="2"/>
  <c r="OF140" i="2"/>
  <c r="OG140" i="2"/>
  <c r="OH140" i="2"/>
  <c r="OI140" i="2"/>
  <c r="OJ140" i="2"/>
  <c r="OK140" i="2"/>
  <c r="OL140" i="2"/>
  <c r="OM140" i="2"/>
  <c r="ON140" i="2"/>
  <c r="OO140" i="2"/>
  <c r="OP140" i="2"/>
  <c r="OQ140" i="2"/>
  <c r="OR140" i="2"/>
  <c r="OS140" i="2"/>
  <c r="OT140" i="2"/>
  <c r="OU140" i="2"/>
  <c r="OV140" i="2"/>
  <c r="OW140" i="2"/>
  <c r="OX140" i="2"/>
  <c r="OY140" i="2"/>
  <c r="OZ140" i="2"/>
  <c r="PA140" i="2"/>
  <c r="PB140" i="2"/>
  <c r="PC140" i="2"/>
  <c r="PD140" i="2"/>
  <c r="PE140" i="2"/>
  <c r="PF140" i="2"/>
  <c r="PG140" i="2"/>
  <c r="PH140" i="2"/>
  <c r="PI140" i="2"/>
  <c r="PJ140" i="2"/>
  <c r="PK140" i="2"/>
  <c r="PL140" i="2"/>
  <c r="PM140" i="2"/>
  <c r="PN140" i="2"/>
  <c r="PO140" i="2"/>
  <c r="PP140" i="2"/>
  <c r="PQ140" i="2"/>
  <c r="PR140" i="2"/>
  <c r="PS140" i="2"/>
  <c r="PT140" i="2"/>
  <c r="PU140" i="2"/>
  <c r="PV140" i="2"/>
  <c r="PW140" i="2"/>
  <c r="PX140" i="2"/>
  <c r="PY140" i="2"/>
  <c r="PZ140" i="2"/>
  <c r="QA140" i="2"/>
  <c r="QB140" i="2"/>
  <c r="QC140" i="2"/>
  <c r="QD140" i="2"/>
  <c r="QE140" i="2"/>
  <c r="QF140" i="2"/>
  <c r="QG140" i="2"/>
  <c r="QH140" i="2"/>
  <c r="QI140" i="2"/>
  <c r="QJ140" i="2"/>
  <c r="QK140" i="2"/>
  <c r="QL140" i="2"/>
  <c r="QM140" i="2"/>
  <c r="QN140" i="2"/>
  <c r="QO140" i="2"/>
  <c r="QP140" i="2"/>
  <c r="QQ140" i="2"/>
  <c r="QR140" i="2"/>
  <c r="QS140" i="2"/>
  <c r="QT140" i="2"/>
  <c r="QU140" i="2"/>
  <c r="QV140" i="2"/>
  <c r="QW140" i="2"/>
  <c r="QX140" i="2"/>
  <c r="QY140" i="2"/>
  <c r="QZ140" i="2"/>
  <c r="RA140" i="2"/>
  <c r="RB140" i="2"/>
  <c r="RC140" i="2"/>
  <c r="RD140" i="2"/>
  <c r="RE140" i="2"/>
  <c r="RF140" i="2"/>
  <c r="RG140" i="2"/>
  <c r="RH140" i="2"/>
  <c r="RI140" i="2"/>
  <c r="RJ140" i="2"/>
  <c r="RK140" i="2"/>
  <c r="RL140" i="2"/>
  <c r="RM140" i="2"/>
  <c r="RN140" i="2"/>
  <c r="RO140" i="2"/>
  <c r="RP140" i="2"/>
  <c r="RQ140" i="2"/>
  <c r="RR140" i="2"/>
  <c r="E140" i="2"/>
  <c r="E138" i="2"/>
  <c r="B128" i="2"/>
  <c r="C3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V122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LT122" i="2"/>
  <c r="LU122" i="2"/>
  <c r="LV122" i="2"/>
  <c r="LW122" i="2"/>
  <c r="LX122" i="2"/>
  <c r="LY122" i="2"/>
  <c r="LZ122" i="2"/>
  <c r="MA122" i="2"/>
  <c r="MB122" i="2"/>
  <c r="MC122" i="2"/>
  <c r="MD122" i="2"/>
  <c r="ME122" i="2"/>
  <c r="MF122" i="2"/>
  <c r="MG122" i="2"/>
  <c r="MH122" i="2"/>
  <c r="MI122" i="2"/>
  <c r="MJ122" i="2"/>
  <c r="MK122" i="2"/>
  <c r="ML122" i="2"/>
  <c r="MM122" i="2"/>
  <c r="MN122" i="2"/>
  <c r="MO122" i="2"/>
  <c r="MP122" i="2"/>
  <c r="MQ122" i="2"/>
  <c r="MR122" i="2"/>
  <c r="MS122" i="2"/>
  <c r="MT122" i="2"/>
  <c r="MU122" i="2"/>
  <c r="MV122" i="2"/>
  <c r="MW122" i="2"/>
  <c r="MX122" i="2"/>
  <c r="MY122" i="2"/>
  <c r="MZ122" i="2"/>
  <c r="NA122" i="2"/>
  <c r="NB122" i="2"/>
  <c r="NC122" i="2"/>
  <c r="ND122" i="2"/>
  <c r="NE122" i="2"/>
  <c r="NF122" i="2"/>
  <c r="NG122" i="2"/>
  <c r="NH122" i="2"/>
  <c r="NI122" i="2"/>
  <c r="NJ122" i="2"/>
  <c r="NK122" i="2"/>
  <c r="NL122" i="2"/>
  <c r="NM122" i="2"/>
  <c r="NN122" i="2"/>
  <c r="NO122" i="2"/>
  <c r="NP122" i="2"/>
  <c r="NQ122" i="2"/>
  <c r="NR122" i="2"/>
  <c r="NS122" i="2"/>
  <c r="NT122" i="2"/>
  <c r="NU122" i="2"/>
  <c r="NV122" i="2"/>
  <c r="NW122" i="2"/>
  <c r="NX122" i="2"/>
  <c r="NY122" i="2"/>
  <c r="NZ122" i="2"/>
  <c r="OA122" i="2"/>
  <c r="OB122" i="2"/>
  <c r="OC122" i="2"/>
  <c r="OD122" i="2"/>
  <c r="OE122" i="2"/>
  <c r="OF122" i="2"/>
  <c r="OG122" i="2"/>
  <c r="OH122" i="2"/>
  <c r="OI122" i="2"/>
  <c r="OJ122" i="2"/>
  <c r="OK122" i="2"/>
  <c r="OL122" i="2"/>
  <c r="OM122" i="2"/>
  <c r="ON122" i="2"/>
  <c r="OO122" i="2"/>
  <c r="OP122" i="2"/>
  <c r="OQ122" i="2"/>
  <c r="OR122" i="2"/>
  <c r="OS122" i="2"/>
  <c r="OT122" i="2"/>
  <c r="OU122" i="2"/>
  <c r="OV122" i="2"/>
  <c r="OW122" i="2"/>
  <c r="OX122" i="2"/>
  <c r="OY122" i="2"/>
  <c r="OZ122" i="2"/>
  <c r="PA122" i="2"/>
  <c r="PB122" i="2"/>
  <c r="PC122" i="2"/>
  <c r="PD122" i="2"/>
  <c r="PE122" i="2"/>
  <c r="PF122" i="2"/>
  <c r="PG122" i="2"/>
  <c r="PH122" i="2"/>
  <c r="PI122" i="2"/>
  <c r="PJ122" i="2"/>
  <c r="PK122" i="2"/>
  <c r="PL122" i="2"/>
  <c r="PM122" i="2"/>
  <c r="PN122" i="2"/>
  <c r="PO122" i="2"/>
  <c r="PP122" i="2"/>
  <c r="PQ122" i="2"/>
  <c r="PR122" i="2"/>
  <c r="PS122" i="2"/>
  <c r="PT122" i="2"/>
  <c r="PU122" i="2"/>
  <c r="PV122" i="2"/>
  <c r="PW122" i="2"/>
  <c r="PX122" i="2"/>
  <c r="PY122" i="2"/>
  <c r="PZ122" i="2"/>
  <c r="QA122" i="2"/>
  <c r="QB122" i="2"/>
  <c r="QC122" i="2"/>
  <c r="QD122" i="2"/>
  <c r="QE122" i="2"/>
  <c r="QF122" i="2"/>
  <c r="QG122" i="2"/>
  <c r="QH122" i="2"/>
  <c r="QI122" i="2"/>
  <c r="QJ122" i="2"/>
  <c r="QK122" i="2"/>
  <c r="QL122" i="2"/>
  <c r="QM122" i="2"/>
  <c r="QN122" i="2"/>
  <c r="QO122" i="2"/>
  <c r="QP122" i="2"/>
  <c r="QQ122" i="2"/>
  <c r="QR122" i="2"/>
  <c r="QS122" i="2"/>
  <c r="QT122" i="2"/>
  <c r="QU122" i="2"/>
  <c r="QV122" i="2"/>
  <c r="QW122" i="2"/>
  <c r="QX122" i="2"/>
  <c r="QY122" i="2"/>
  <c r="QZ122" i="2"/>
  <c r="RA122" i="2"/>
  <c r="RB122" i="2"/>
  <c r="RC122" i="2"/>
  <c r="RD122" i="2"/>
  <c r="RE122" i="2"/>
  <c r="RF122" i="2"/>
  <c r="RG122" i="2"/>
  <c r="RH122" i="2"/>
  <c r="RI122" i="2"/>
  <c r="RJ122" i="2"/>
  <c r="RK122" i="2"/>
  <c r="RL122" i="2"/>
  <c r="RM122" i="2"/>
  <c r="RN122" i="2"/>
  <c r="RO122" i="2"/>
  <c r="RP122" i="2"/>
  <c r="RQ122" i="2"/>
  <c r="RR122" i="2"/>
  <c r="F122" i="2"/>
  <c r="G122" i="2"/>
  <c r="H122" i="2"/>
  <c r="E122" i="2"/>
  <c r="D58" i="2"/>
  <c r="F36" i="2"/>
  <c r="D36" i="2"/>
  <c r="B36" i="2"/>
  <c r="M34" i="2"/>
  <c r="I34" i="2"/>
  <c r="E34" i="2"/>
  <c r="F60" i="9"/>
  <c r="G52" i="9"/>
  <c r="G46" i="9"/>
  <c r="G50" i="9"/>
  <c r="G49" i="9"/>
  <c r="G48" i="9"/>
  <c r="G47" i="9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B29" i="5"/>
  <c r="E8" i="5"/>
  <c r="E5" i="5"/>
  <c r="BX29" i="5"/>
  <c r="F38" i="5"/>
  <c r="F29" i="5"/>
  <c r="G38" i="5"/>
  <c r="G29" i="5"/>
  <c r="H38" i="5"/>
  <c r="H29" i="5"/>
  <c r="I38" i="5"/>
  <c r="I29" i="5"/>
  <c r="J38" i="5"/>
  <c r="J29" i="5"/>
  <c r="K38" i="5"/>
  <c r="K29" i="5"/>
  <c r="L38" i="5"/>
  <c r="L29" i="5"/>
  <c r="M38" i="5"/>
  <c r="M29" i="5"/>
  <c r="N38" i="5"/>
  <c r="N29" i="5"/>
  <c r="O38" i="5"/>
  <c r="O29" i="5"/>
  <c r="P38" i="5"/>
  <c r="P29" i="5"/>
  <c r="Q38" i="5"/>
  <c r="Q29" i="5"/>
  <c r="R3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E38" i="5"/>
  <c r="E29" i="5"/>
  <c r="E158" i="6"/>
  <c r="E154" i="6"/>
  <c r="E155" i="6"/>
  <c r="E156" i="6"/>
  <c r="E157" i="6"/>
  <c r="E159" i="6"/>
  <c r="E160" i="6"/>
  <c r="E161" i="6"/>
  <c r="E162" i="6"/>
  <c r="E163" i="6"/>
  <c r="E164" i="6"/>
  <c r="E165" i="6"/>
  <c r="E166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H93" i="3"/>
  <c r="C93" i="3"/>
  <c r="H94" i="3"/>
  <c r="C94" i="3"/>
  <c r="C82" i="3"/>
  <c r="C83" i="3"/>
  <c r="C84" i="3"/>
  <c r="C85" i="3"/>
  <c r="C86" i="3"/>
  <c r="C87" i="3"/>
  <c r="C88" i="3"/>
  <c r="C89" i="3"/>
  <c r="C90" i="3"/>
  <c r="C91" i="3"/>
  <c r="C92" i="3"/>
  <c r="C77" i="3"/>
  <c r="H81" i="3"/>
  <c r="E26" i="6"/>
  <c r="E38" i="6"/>
  <c r="E50" i="6"/>
  <c r="E62" i="6"/>
  <c r="E74" i="6"/>
  <c r="E86" i="6"/>
  <c r="E98" i="6"/>
  <c r="E110" i="6"/>
  <c r="E122" i="6"/>
  <c r="E134" i="6"/>
  <c r="E146" i="6"/>
  <c r="E14" i="6"/>
  <c r="E15" i="6"/>
  <c r="E16" i="6"/>
  <c r="E17" i="6"/>
  <c r="E18" i="6"/>
  <c r="E19" i="6"/>
  <c r="E20" i="6"/>
  <c r="E21" i="6"/>
  <c r="E22" i="6"/>
  <c r="E23" i="6"/>
  <c r="E24" i="6"/>
  <c r="E25" i="6"/>
  <c r="E27" i="6"/>
  <c r="E28" i="6"/>
  <c r="E29" i="6"/>
  <c r="E30" i="6"/>
  <c r="E31" i="6"/>
  <c r="E32" i="6"/>
  <c r="E33" i="6"/>
  <c r="E34" i="6"/>
  <c r="E35" i="6"/>
  <c r="E36" i="6"/>
  <c r="E37" i="6"/>
  <c r="E39" i="6"/>
  <c r="E40" i="6"/>
  <c r="E41" i="6"/>
  <c r="E42" i="6"/>
  <c r="E43" i="6"/>
  <c r="E44" i="6"/>
  <c r="E45" i="6"/>
  <c r="E46" i="6"/>
  <c r="E47" i="6"/>
  <c r="E48" i="6"/>
  <c r="E49" i="6"/>
  <c r="E51" i="6"/>
  <c r="E52" i="6"/>
  <c r="E53" i="6"/>
  <c r="E54" i="6"/>
  <c r="E55" i="6"/>
  <c r="E56" i="6"/>
  <c r="E57" i="6"/>
  <c r="E58" i="6"/>
  <c r="E59" i="6"/>
  <c r="E60" i="6"/>
  <c r="E61" i="6"/>
  <c r="E63" i="6"/>
  <c r="E64" i="6"/>
  <c r="E65" i="6"/>
  <c r="E66" i="6"/>
  <c r="E67" i="6"/>
  <c r="E68" i="6"/>
  <c r="E69" i="6"/>
  <c r="E70" i="6"/>
  <c r="E71" i="6"/>
  <c r="E72" i="6"/>
  <c r="E73" i="6"/>
  <c r="E75" i="6"/>
  <c r="E76" i="6"/>
  <c r="E77" i="6"/>
  <c r="E78" i="6"/>
  <c r="E79" i="6"/>
  <c r="E80" i="6"/>
  <c r="E81" i="6"/>
  <c r="E82" i="6"/>
  <c r="E83" i="6"/>
  <c r="E84" i="6"/>
  <c r="E85" i="6"/>
  <c r="E87" i="6"/>
  <c r="E88" i="6"/>
  <c r="E89" i="6"/>
  <c r="E90" i="6"/>
  <c r="E91" i="6"/>
  <c r="E92" i="6"/>
  <c r="E93" i="6"/>
  <c r="E94" i="6"/>
  <c r="E95" i="6"/>
  <c r="E96" i="6"/>
  <c r="E97" i="6"/>
  <c r="E99" i="6"/>
  <c r="E100" i="6"/>
  <c r="E101" i="6"/>
  <c r="E102" i="6"/>
  <c r="E103" i="6"/>
  <c r="E104" i="6"/>
  <c r="E105" i="6"/>
  <c r="E106" i="6"/>
  <c r="E107" i="6"/>
  <c r="E108" i="6"/>
  <c r="E109" i="6"/>
  <c r="E111" i="6"/>
  <c r="E112" i="6"/>
  <c r="E113" i="6"/>
  <c r="E114" i="6"/>
  <c r="E115" i="6"/>
  <c r="E116" i="6"/>
  <c r="E117" i="6"/>
  <c r="E118" i="6"/>
  <c r="E119" i="6"/>
  <c r="E120" i="6"/>
  <c r="E121" i="6"/>
  <c r="E123" i="6"/>
  <c r="E124" i="6"/>
  <c r="E125" i="6"/>
  <c r="E126" i="6"/>
  <c r="E127" i="6"/>
  <c r="E128" i="6"/>
  <c r="E129" i="6"/>
  <c r="E130" i="6"/>
  <c r="E131" i="6"/>
  <c r="E132" i="6"/>
  <c r="E133" i="6"/>
  <c r="E135" i="6"/>
  <c r="E136" i="6"/>
  <c r="E137" i="6"/>
  <c r="E138" i="6"/>
  <c r="E139" i="6"/>
  <c r="E140" i="6"/>
  <c r="E141" i="6"/>
  <c r="E142" i="6"/>
  <c r="E143" i="6"/>
  <c r="E144" i="6"/>
  <c r="E145" i="6"/>
  <c r="E147" i="6"/>
  <c r="E148" i="6"/>
  <c r="E149" i="6"/>
  <c r="E150" i="6"/>
  <c r="E151" i="6"/>
  <c r="E152" i="6"/>
  <c r="E153" i="6"/>
  <c r="C5" i="6"/>
  <c r="C6" i="6"/>
  <c r="C7" i="6"/>
  <c r="C8" i="6"/>
  <c r="C9" i="6"/>
  <c r="C10" i="6"/>
  <c r="C11" i="6"/>
  <c r="C14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4" i="6"/>
  <c r="F8" i="5"/>
  <c r="F5" i="5"/>
  <c r="G8" i="5"/>
  <c r="G5" i="5"/>
  <c r="H8" i="5"/>
  <c r="H5" i="5"/>
  <c r="I8" i="5"/>
  <c r="I5" i="5"/>
  <c r="J8" i="5"/>
  <c r="J5" i="5"/>
  <c r="K8" i="5"/>
  <c r="K5" i="5"/>
  <c r="L8" i="5"/>
  <c r="L5" i="5"/>
  <c r="M8" i="5"/>
  <c r="M5" i="5"/>
  <c r="N8" i="5"/>
  <c r="N5" i="5"/>
  <c r="O8" i="5"/>
  <c r="O5" i="5"/>
  <c r="P8" i="5"/>
  <c r="P5" i="5"/>
  <c r="Q8" i="5"/>
  <c r="Q5" i="5"/>
  <c r="R8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H79" i="3"/>
  <c r="H80" i="3"/>
  <c r="H78" i="3"/>
  <c r="C5" i="3"/>
  <c r="C6" i="3"/>
  <c r="C7" i="3"/>
  <c r="C8" i="3"/>
  <c r="C9" i="3"/>
  <c r="C10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8" i="3"/>
  <c r="C79" i="3"/>
  <c r="C80" i="3"/>
  <c r="C81" i="3"/>
  <c r="C4" i="3"/>
  <c r="C124" i="2"/>
  <c r="C128" i="2"/>
  <c r="W15" i="6"/>
  <c r="W16" i="6"/>
  <c r="W17" i="6"/>
</calcChain>
</file>

<file path=xl/comments1.xml><?xml version="1.0" encoding="utf-8"?>
<comments xmlns="http://schemas.openxmlformats.org/spreadsheetml/2006/main">
  <authors>
    <author>Murray Clay</author>
  </authors>
  <commentList>
    <comment ref="E46" authorId="0" shapeId="0">
      <text>
        <r>
          <rPr>
            <b/>
            <sz val="9"/>
            <color indexed="81"/>
            <rFont val="Tahoma"/>
            <family val="2"/>
          </rPr>
          <t>Murray Clay:</t>
        </r>
        <r>
          <rPr>
            <sz val="9"/>
            <color indexed="81"/>
            <rFont val="Tahoma"/>
            <family val="2"/>
          </rPr>
          <t xml:space="preserve">
Not used in this version of the model as the cell G47 currently includes the PSIP levelized cost estimate for converting oil plants to LNG</t>
        </r>
      </text>
    </comment>
    <comment ref="G47" authorId="0" shapeId="0">
      <text>
        <r>
          <rPr>
            <b/>
            <sz val="9"/>
            <color indexed="81"/>
            <rFont val="Tahoma"/>
            <family val="2"/>
          </rPr>
          <t>Murray Clay:</t>
        </r>
        <r>
          <rPr>
            <sz val="9"/>
            <color indexed="81"/>
            <rFont val="Tahoma"/>
            <family val="2"/>
          </rPr>
          <t xml:space="preserve">
$0.70 FSRU, $0.11 LOC, $0.45 infrastructure ($200mm), &amp; $0.33 level cost convert oil plants to LNG -- all cost levelized over 15 yrs--these are at 1 mm tons annually but need to add $1.50 for FSRU across only 0.325 mm tons annually</t>
        </r>
      </text>
    </comment>
  </commentList>
</comments>
</file>

<file path=xl/comments2.xml><?xml version="1.0" encoding="utf-8"?>
<comments xmlns="http://schemas.openxmlformats.org/spreadsheetml/2006/main">
  <authors>
    <author>Murray Clay</author>
  </authors>
  <commentList>
    <comment ref="V9" authorId="0" shapeId="0">
      <text>
        <r>
          <rPr>
            <b/>
            <sz val="9"/>
            <color indexed="81"/>
            <rFont val="Tahoma"/>
            <family val="2"/>
          </rPr>
          <t>@RISK Correlation NewMatrix1
Updated: 5/7/2015 12:33:43 PM
Inputs for Instance 7/1/2015 shown.</t>
        </r>
      </text>
    </comment>
    <comment ref="V19" authorId="0" shapeId="0">
      <text>
        <r>
          <rPr>
            <b/>
            <sz val="9"/>
            <color indexed="81"/>
            <rFont val="Tahoma"/>
            <family val="2"/>
          </rPr>
          <t>@RISK Correlation NewMatrix2
Updated: 9/2/2015 3:22:01 PM
Inputs for Instance 7/1/2015 shown.</t>
        </r>
      </text>
    </comment>
  </commentList>
</comments>
</file>

<file path=xl/sharedStrings.xml><?xml version="1.0" encoding="utf-8"?>
<sst xmlns="http://schemas.openxmlformats.org/spreadsheetml/2006/main" count="904" uniqueCount="533">
  <si>
    <t>2000</t>
  </si>
  <si>
    <t>2005</t>
  </si>
  <si>
    <t>2010</t>
  </si>
  <si>
    <t>2015</t>
  </si>
  <si>
    <t>2020</t>
  </si>
  <si>
    <t>Ave Cost/Bbl of Oil Consumed</t>
  </si>
  <si>
    <t>Date</t>
  </si>
  <si>
    <t>Created By Version</t>
  </si>
  <si>
    <t>6.0.0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</si>
  <si>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</si>
  <si>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</si>
  <si>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</si>
  <si>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</si>
  <si>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</si>
  <si>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</si>
  <si>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</si>
  <si>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</si>
  <si>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</si>
  <si>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</si>
  <si>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</si>
  <si>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</si>
  <si>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</si>
  <si>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</si>
  <si>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</si>
  <si>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</si>
  <si>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</si>
  <si>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</si>
  <si>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</si>
  <si>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</si>
  <si>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FIT_32242_5F287</t>
  </si>
  <si>
    <t>DBEDT avg LSFO Jan06-Mar12</t>
  </si>
  <si>
    <t>F1	0	0	-1E+300	 1E+300	 1	0	0	 0	0	 1	23	BetaGeneral	Binomial	Expon	ExtValue	ExtValueMin	Gamma	Geomet	IntUniform	InvGauss	Laplace	Levy	Logistic	LogLogistic	Lognorm	NegBin	Normal	Pareto	Pearson5	Pearson6	Poisson	Triang	Uniform	Weibull	0	1	-1	1	 0	 1	0	0	0</t>
  </si>
  <si>
    <t xml:space="preserve"> 0	 8								</t>
  </si>
  <si>
    <t>F1	0	 1000	 .95</t>
  </si>
  <si>
    <t>GF1_rK0qDwEADAC/AQwjACYANACGAJoAmwCnALMAmQG7AbUBKgD//wAAAAAAAQQAAAAAAAAAAAEtRml0IENvbXBhcmlzb24gZm9yIERCRURUIGF2ZyBMU0ZPIEphbjA2LU1hcjEyAR9SaXNrTG9naXN0aWMoMC4wMTg1MDQsMC4wMzg4OTQpAQEQAAIAAQpTdGF0aXN0aWNzAwEBAP8BAQEBAQABAQEAAgABAQEBAQABAQEAAgAK0gAB4AAA8QAABgEAGwEAMAEARQEAWgEAbwEAhAEADAAFSW5wdXQAACUBAgAPAAhMb2dpc3RpYwABLwECABMADFVudXNlZCBDdXJ2ZQACTwECABMADFVudXNlZCBDdXJ2ZQADjAECABMADFVudXNlZCBDdXJ2ZQAETAECABMADFVudXNlZCBDdXJ2ZQAFOQECABMADFVudXNlZCBDdXJ2ZQAGTgECABMADFVudXNlZCBDdXJ2ZQAHIwECABMADFVudXNlZCBDdXJ2ZQAIKQECABMADFVudXNlZCBDdXJ2ZQAJYAECAKEBqwEBAQIBmpmZmZmZqT8AAGZmZmZmZu4/AAAFAAEBAQABAQEA</t>
  </si>
  <si>
    <t>Fuel</t>
  </si>
  <si>
    <t>Island</t>
  </si>
  <si>
    <t>Activity</t>
  </si>
  <si>
    <t>Unit</t>
  </si>
  <si>
    <t>Fuel Oil</t>
  </si>
  <si>
    <t>Oahu</t>
  </si>
  <si>
    <t>Barrels of Oil Consumed</t>
  </si>
  <si>
    <t>Barrels</t>
  </si>
  <si>
    <t>Ave Cost/MBTU of Oil Consumed</t>
  </si>
  <si>
    <t>Dollars</t>
  </si>
  <si>
    <t>Total Cost of Oil Consumed</t>
  </si>
  <si>
    <t>Cost of Oil/KWH Generated</t>
  </si>
  <si>
    <t>Posted Month End Price Per MBTU Oil - Chevron</t>
  </si>
  <si>
    <t>Posted Month End Price Per MBTU Oil - Tesoro Hawaii</t>
  </si>
  <si>
    <t>Posted Month-end price / BBL - Chevron</t>
  </si>
  <si>
    <t>Posted Month-end price / BBL - THC</t>
  </si>
  <si>
    <t>Maui</t>
  </si>
  <si>
    <t>Posted Month End Price per Barrel of Oil</t>
  </si>
  <si>
    <t>Hawaii</t>
  </si>
  <si>
    <t>Posted Month-End Price/MBTU - Chevron</t>
  </si>
  <si>
    <t>Posted Month-End Price/MBTU - BHP</t>
  </si>
  <si>
    <t>Diesel Oil</t>
  </si>
  <si>
    <t>Kauai</t>
  </si>
  <si>
    <t>Cost of Oil Per KWH Generated</t>
  </si>
  <si>
    <t>Month-End Price Per Barrel</t>
  </si>
  <si>
    <t>Lanai</t>
  </si>
  <si>
    <t>Molokai</t>
  </si>
  <si>
    <t>Red Font = converted at 6.2 MMBTU / Barrel (based on HECO 2008 fuel price forecast document)</t>
    <phoneticPr fontId="2" type="noConversion"/>
  </si>
  <si>
    <t>State Average (weighted average between Oahu, Hawaii, and Maui)</t>
  </si>
  <si>
    <t>Source DBEDT Monthly Energy Data</t>
  </si>
  <si>
    <t>Blue Font = data from HEI for each island.  Source: heco.com then to "Energy Efficiency Programs" on the left, then to "Electric Rates". then to "Energy Cost Adjustment Filings" and then pick the reports you want</t>
  </si>
  <si>
    <t>bbls</t>
  </si>
  <si>
    <t>$ / bbl</t>
  </si>
  <si>
    <t>% Change</t>
  </si>
  <si>
    <t>FIT_1A141_DE5CA</t>
  </si>
  <si>
    <t>Oil Jan 00 - Jul 12</t>
  </si>
  <si>
    <t>GF1_rK0qDwEADAC4AQwjACYANAB/AJMAlACgAKwAkgG0Aa4BKgD//wAAAAAAAQQAAAAAAAAAAAEmRml0IENvbXBhcmlzb24gZm9yIE9pbCBKYW4gMDAgLSBKdWwgMTIBH1Jpc2tMb2dpc3RpYygwLjAxNTk0MywwLjAzNTM2MSkBARAAAgABClN0YXRpc3RpY3MDAQEA/wEBAQEBAAEBAQACAAEBAQEBAAEBAQACAArLAAHZAADqAAD/AAAUAQApAQA+AQBTAQBoAQB9AQAMAAVJbnB1dAAAJQECAA8ACExvZ2lzdGljAAEvAQIAEwAMVW51c2VkIEN1cnZlAAJPAQIAEwAMVW51c2VkIEN1cnZlAAOMAQIAEwAMVW51c2VkIEN1cnZlAARMAQIAEwAMVW51c2VkIEN1cnZlAAU5AQIAEwAMVW51c2VkIEN1cnZlAAZOAQIAEwAMVW51c2VkIEN1cnZlAAcjAQIAEwAMVW51c2VkIEN1cnZlAAgpAQIAEwAMVW51c2VkIEN1cnZlAAlgAQIAmgGkAQEBAgGamZmZmZmpPwAAZmZmZmZm7j8AAAUAAQEBAAEBAQA=</t>
  </si>
  <si>
    <t>Cost / BBL 12mth rolling average</t>
  </si>
  <si>
    <t>Obs Count</t>
  </si>
  <si>
    <t>FIT_86EB9_555D4</t>
  </si>
  <si>
    <t>Test</t>
  </si>
  <si>
    <t>GF1_rK0qDwEADACpAQwjACYANABwAIQAhQCRAJ0AgwGlAZ8BKgD//wAAAAAAAQQAAAAAAAAAAAEXRml0IENvbXBhcmlzb24gZm9yIFRlc3QBH1Jpc2tMb2dpc3RpYygwLjAxNTk0MywwLjAzNTM2MSkBARAAAgABClN0YXRpc3RpY3MDAQEA/wEBAQEBAAEBAQACAAEBAQEBAAEBAQACAAq8AAHKAADbAADwAAAFAQAaAQAvAQBEAQBZAQBuAQAMAAVJbnB1dAAAJQECAA8ACExvZ2lzdGljAAEvAQIAEwAMVW51c2VkIEN1cnZlAAJPAQIAEwAMVW51c2VkIEN1cnZlAAOMAQIAEwAMVW51c2VkIEN1cnZlAARMAQIAEwAMVW51c2VkIEN1cnZlAAU5AQIAEwAMVW51c2VkIEN1cnZlAAZOAQIAEwAMVW51c2VkIEN1cnZlAAcjAQIAEwAMVW51c2VkIEN1cnZlAAgpAQIAEwAMVW51c2VkIEN1cnZlAAlgAQIAiwGVAQEBAgGamZmZmZmpPwAAZmZmZmZm7j8AAAUAAQEBAAEBAQA=</t>
  </si>
  <si>
    <t>2001</t>
  </si>
  <si>
    <t>2002</t>
  </si>
  <si>
    <t>2003</t>
  </si>
  <si>
    <t>2004</t>
  </si>
  <si>
    <t>2006</t>
  </si>
  <si>
    <t>2007</t>
  </si>
  <si>
    <t>2008</t>
  </si>
  <si>
    <t>2009</t>
  </si>
  <si>
    <t>2011</t>
  </si>
  <si>
    <t>2012</t>
  </si>
  <si>
    <t>2013</t>
  </si>
  <si>
    <t>2014</t>
  </si>
  <si>
    <t>2016</t>
  </si>
  <si>
    <t>2017</t>
  </si>
  <si>
    <t>2018</t>
  </si>
  <si>
    <t>2019</t>
  </si>
  <si>
    <t>EIA 2000 AEO Low (1998 dollars)</t>
  </si>
  <si>
    <t>EIA 2000 AEO REF (1998 dollars)</t>
  </si>
  <si>
    <t>EIA 2000 AEO HIGH (1998 dollars)</t>
  </si>
  <si>
    <t>Hawaii Fuel Oil</t>
  </si>
  <si>
    <t>2010 Dollars</t>
  </si>
  <si>
    <t>1998 Dollars</t>
  </si>
  <si>
    <t>FIT_AEA11_3D33B</t>
  </si>
  <si>
    <t>Dataset 1</t>
  </si>
  <si>
    <t>GF1_rK0qDwEADACtAQwjACYANAB2AIoAiwCXAKMAhwGpAaMBKgD//wAAAAAAAQQAAAAAAAAAAAEcRml0IENvbXBhcmlzb24gZm9yIERhdGFzZXQgMQEgUmlza1RyaWFuZygyMS44NzEsMjEuODcxLDE1Ni4yMCkBARAAAgABClN0YXRpc3RpY3MDAQEA/wEBAQEBAAEBAQACAAEBAQEBAAEBAQACAArCAAHQAADfAAD0AAAJAQAeAQAzAQBIAQBdAQByAQAMAAVJbnB1dAAAJQECAA0ABlRyaWFuZwABLwECABMADFVudXNlZCBDdXJ2ZQACTwECABMADFVudXNlZCBDdXJ2ZQADjAECABMADFVudXNlZCBDdXJ2ZQAETAECABMADFVudXNlZCBDdXJ2ZQAFOQECABMADFVudXNlZCBDdXJ2ZQAGTgECABMADFVudXNlZCBDdXJ2ZQAHIwECABMADFVudXNlZCBDdXJ2ZQAIKQECABMADFVudXNlZCBDdXJ2ZQAJYAECAI8BmQEBAQIBmpmZmZmZqT8AAGZmZmZmZu4/AAAFAAEBAQABAQEA</t>
  </si>
  <si>
    <t>FIT_C4D1F_B0702</t>
  </si>
  <si>
    <t>Dataset 2</t>
  </si>
  <si>
    <t>GF1_rK0qDwEADACuAQwjACYANAB1AIkAigCWAKIAiAGqAaQBKgD//wAAAAAAAQQAAAAAAAAAAAEcRml0IENvbXBhcmlzb24gZm9yIERhdGFzZXQgMgEfUmlza0xvZ2lzdGljKDAuMDE1OTQzLDAuMDM1MzYxKQEBEAACAAEKU3RhdGlzdGljcwMBAQD/AQEBAQEAAQEBAAIAAQEBAQEAAQEBAAIACsEAAc8AAOAAAPUAAAoBAB8BADQBAEkBAF4BAHMBAAwABUlucHV0AAAlAQIADwAITG9naXN0aWMAAS8BAgATAAxVbnVzZWQgQ3VydmUAAk8BAgATAAxVbnVzZWQgQ3VydmUAA4wBAgATAAxVbnVzZWQgQ3VydmUABEwBAgATAAxVbnVzZWQgQ3VydmUABTkBAgATAAxVbnVzZWQgQ3VydmUABk4BAgATAAxVbnVzZWQgQ3VydmUAByMBAgATAAxVbnVzZWQgQ3VydmUACCkBAgATAAxVbnVzZWQgQ3VydmUACWABAgCQAZoBAQECAZqZmZmZmak/AABmZmZmZmbuPwAABQABAQEAAQEBAA==</t>
  </si>
  <si>
    <t>FIT_B6663_EE1AA</t>
  </si>
  <si>
    <t>Oil Jan 00 - Aug 13</t>
  </si>
  <si>
    <t>GF1_rK0qDwEADAC4AQwjACYANAB/AJMAlACgAKwAkgG0Aa4BKgD//wAAAAAAAQQAAAAAAAAAAAEmRml0IENvbXBhcmlzb24gZm9yIE9pbCBKYW4gMDAgLSBBdWcgMTMBH1Jpc2tMb2dpc3RpYygwLjAxMzcwMywwLjAzNDE4NykBARAAAgABClN0YXRpc3RpY3MDAQEA/wEBAQEBAAEBAQACAAEBAQEBAAEBAQACAArLAAHZAADqAAD/AAAUAQApAQA+AQBTAQBoAQB9AQAMAAVJbnB1dAAAJQECAA8ACExvZ2lzdGljAAEvAQIAEwAMVW51c2VkIEN1cnZlAAJPAQIAEwAMVW51c2VkIEN1cnZlAAOMAQIAEwAMVW51c2VkIEN1cnZlAARMAQIAEwAMVW51c2VkIEN1cnZlAAU5AQIAEwAMVW51c2VkIEN1cnZlAAZOAQIAEwAMVW51c2VkIEN1cnZlAAcjAQIAEwAMVW51c2VkIEN1cnZlAAgpAQIAEwAMVW51c2VkIEN1cnZlAAlgAQIAmgGkAQEBAgGamZmZmZmpPwAAZmZmZmZm7j8AAAUAAQEBAAEBAQA=</t>
  </si>
  <si>
    <t>Diesel</t>
  </si>
  <si>
    <t>Diesel = converted at 5.86 MMBTU/Barrel (based on HECO 2008 fuel price forecast document)</t>
  </si>
  <si>
    <t>State Average (excludes KIUC)</t>
  </si>
  <si>
    <t>LSFO (avg cost per bbl consumed)</t>
  </si>
  <si>
    <t>ULSD</t>
  </si>
  <si>
    <t>LSFO (Ave Cost/Bbl of Oil Consumed)</t>
  </si>
  <si>
    <t>ULSD (Ave Cost/Bbl of Oil Consumed)</t>
  </si>
  <si>
    <t>LSFO/Diesel 75/25 blend</t>
  </si>
  <si>
    <t>Gas turbines</t>
  </si>
  <si>
    <t>Steam-oil/gas</t>
  </si>
  <si>
    <t>Combined Cycle</t>
  </si>
  <si>
    <t>Steam-coal</t>
  </si>
  <si>
    <t>Representative Heat Rate BTU/kWh</t>
  </si>
  <si>
    <t>Source: Electric Utility Resource Planning by Steven Sim, CRC Press, 2012</t>
  </si>
  <si>
    <t>HEI Oil / Steam</t>
  </si>
  <si>
    <t>HEI Diesel</t>
  </si>
  <si>
    <t>Implied by DBEDT monthy energy data</t>
  </si>
  <si>
    <t>average 2013 &amp; 2014</t>
  </si>
  <si>
    <t>2014 Renewable Energy Standard Status Report (HECO/MECO/HELCO)</t>
  </si>
  <si>
    <t>Biomass</t>
  </si>
  <si>
    <t>Biomass &amp; MSW</t>
  </si>
  <si>
    <t>Year Ended 12/31/2014</t>
  </si>
  <si>
    <t>Net MWh</t>
  </si>
  <si>
    <t>Geothermal</t>
  </si>
  <si>
    <t>PV &amp; Solar Thermal</t>
  </si>
  <si>
    <t>Hydro</t>
  </si>
  <si>
    <t>Wind</t>
  </si>
  <si>
    <t>Biofuels</t>
  </si>
  <si>
    <t>(excluding solar hot water and efficiency)</t>
  </si>
  <si>
    <t>Total Sales</t>
  </si>
  <si>
    <t>LNG at 0.3 mmtpa</t>
  </si>
  <si>
    <t>LNG at 1.0 mmtpa</t>
  </si>
  <si>
    <t>Discount to Hawaii 75/25 LSFO/ULSD blend</t>
  </si>
  <si>
    <t>Fact Global Energy presentation 3/18/2015</t>
  </si>
  <si>
    <t>Source: Hawaii Public Utilities Commission Annual Report for Fiscal Year 2014</t>
  </si>
  <si>
    <t>Weighted Average Price</t>
  </si>
  <si>
    <t>Solar</t>
  </si>
  <si>
    <t>Assumes 50/50 on-peak/off-peak split for all PPAs with tiered rates</t>
  </si>
  <si>
    <t>Average PPA prices for fiscal year 2014</t>
  </si>
  <si>
    <t>DBEDT's PPA tracking data produces comparable average PPA rates</t>
  </si>
  <si>
    <t>with the exception of Solar PV when future (under negotiation/approval process)</t>
  </si>
  <si>
    <t>projects are included.</t>
  </si>
  <si>
    <t>Solar PV including projects in development</t>
  </si>
  <si>
    <t>File: PPA_tracking_April 2015</t>
  </si>
  <si>
    <t>Oil/Diesel Blend (75 LSFO/25 ULSD)</t>
  </si>
  <si>
    <t>Assumptions</t>
  </si>
  <si>
    <t>Fixed price annual escalator</t>
  </si>
  <si>
    <t>Discount Rate</t>
  </si>
  <si>
    <t>Annual</t>
  </si>
  <si>
    <t>Monthly</t>
  </si>
  <si>
    <t>PPA MW*</t>
  </si>
  <si>
    <t>*Per Hawaii PUC Annual Report for Fiscal Year 2014 (ends June 30, 2014)</t>
  </si>
  <si>
    <t>Implied Capacity Factors (assuming June 2014 capacity was producing for all of CY 2014)</t>
  </si>
  <si>
    <t>Ulupono Initiative assumptions for Capacity Factors (based on multiple sources &amp; internal analysis)</t>
  </si>
  <si>
    <t>WTE</t>
  </si>
  <si>
    <t>Ocean</t>
  </si>
  <si>
    <t>Capacity Factor</t>
  </si>
  <si>
    <t>Fossil Fuel Generator Heat Rates</t>
  </si>
  <si>
    <t>Oil/Gas Steam</t>
  </si>
  <si>
    <t>Combined Cycle Gas Turbine</t>
  </si>
  <si>
    <t>Generation Portfolio A</t>
  </si>
  <si>
    <r>
      <t xml:space="preserve">Oil/Diesel Blend </t>
    </r>
    <r>
      <rPr>
        <sz val="11"/>
        <color rgb="FFFF0000"/>
        <rFont val="Calibri"/>
        <family val="2"/>
        <scheme val="minor"/>
      </rPr>
      <t>% of fossil mix</t>
    </r>
  </si>
  <si>
    <r>
      <t xml:space="preserve">LNG </t>
    </r>
    <r>
      <rPr>
        <sz val="11"/>
        <color rgb="FFFF0000"/>
        <rFont val="Calibri"/>
        <family val="2"/>
        <scheme val="minor"/>
      </rPr>
      <t>% of fossil mix</t>
    </r>
  </si>
  <si>
    <t>Customer-sited, grid-connected RE**</t>
  </si>
  <si>
    <t>** NEM MW from HECO consolidated 2014 (year end) RE performance report</t>
  </si>
  <si>
    <t>Utility (Lisa Giang 543-7982) verbally indicated they assume CP of 0.17 for NEM solar PV, this category includes more than NEM</t>
  </si>
  <si>
    <t>Total Renewable Energy</t>
  </si>
  <si>
    <t>Consolidated Companies</t>
  </si>
  <si>
    <t>Biomass (including municipal solid waste)</t>
  </si>
  <si>
    <t>Utility-scale Photovoltaic and Solar Thermal</t>
  </si>
  <si>
    <t>Customer-sited, Grid-connected renewables</t>
  </si>
  <si>
    <t>Q4 2014</t>
  </si>
  <si>
    <t>source: HECO Total Renewable Energy report</t>
  </si>
  <si>
    <t>IPP Energy in MWh (all sources)</t>
  </si>
  <si>
    <t>IPP Energy/Net to System Energy</t>
  </si>
  <si>
    <t>source: IPP Generation Report</t>
  </si>
  <si>
    <t>Total Generation (net generation plus customer-sited, grid connected)</t>
  </si>
  <si>
    <t>Net Generation (includes line losses)</t>
  </si>
  <si>
    <t>Implied line losses</t>
  </si>
  <si>
    <t>Implied Capacity using Ulupono capacity factors</t>
  </si>
  <si>
    <t>Mark Duda of DEP indicated that for residential rooftop PV 0.23 CP is for DC with about 0.19 for AC.</t>
  </si>
  <si>
    <t>DG Solar</t>
  </si>
  <si>
    <t>T&amp;D (line) losses</t>
  </si>
  <si>
    <t>Utility / Central RE</t>
  </si>
  <si>
    <t>DG</t>
  </si>
  <si>
    <t>Generation Portfolio B1</t>
  </si>
  <si>
    <t>Generation Portfolio B2</t>
  </si>
  <si>
    <t>Hours/Year</t>
  </si>
  <si>
    <t>MWh Generated</t>
  </si>
  <si>
    <t>MWh consumed</t>
  </si>
  <si>
    <t>% of total electricity consumption</t>
  </si>
  <si>
    <t>Total Electricity Consumption (utility + DG) MWh</t>
  </si>
  <si>
    <t>Henry Hub $/mmBTU</t>
  </si>
  <si>
    <t>mmBTU/Barrel</t>
  </si>
  <si>
    <t>HECO 2008 fuel price forecast document</t>
  </si>
  <si>
    <t>Oil (LSFO)</t>
  </si>
  <si>
    <t>Diesel (ULSD)</t>
  </si>
  <si>
    <t>Oil/Diesel Blend</t>
  </si>
  <si>
    <t>LNG</t>
  </si>
  <si>
    <t>mmBTU</t>
  </si>
  <si>
    <t>BTU/KWh</t>
  </si>
  <si>
    <t>Annual Fuel Use</t>
  </si>
  <si>
    <t>Renewable Energy Capacity Factors</t>
  </si>
  <si>
    <t>Escalator? 1=Yes 0=No</t>
  </si>
  <si>
    <t>Generation Portfolio B1 &amp; B2</t>
  </si>
  <si>
    <t>LNG Pricing</t>
  </si>
  <si>
    <t>Discount to Oil/Diesel Blend</t>
  </si>
  <si>
    <t>Henry Hub + $/mmBTU</t>
  </si>
  <si>
    <t>Henry Hub + %</t>
  </si>
  <si>
    <t>Portfolio Change</t>
  </si>
  <si>
    <t>Switch from A to B Start of Year:</t>
  </si>
  <si>
    <t>Total Years to Assess Fuel Costs:</t>
  </si>
  <si>
    <t>Years Portfolio A</t>
  </si>
  <si>
    <t>Years Portfolio B</t>
  </si>
  <si>
    <t>Simulation Starting Prices</t>
  </si>
  <si>
    <t>Oil/Diesel Blend (75 LSFO/25 ULSD)  $/BBL</t>
  </si>
  <si>
    <t>Portfolio A?</t>
  </si>
  <si>
    <t>Portfolio B?</t>
  </si>
  <si>
    <t>Oil/Diesel Blend Simulated % Change</t>
  </si>
  <si>
    <t>Henry Hub LNG Simulated % Change</t>
  </si>
  <si>
    <t>Fossil Fuel Prices</t>
  </si>
  <si>
    <t>Biomass &amp; MSW Price</t>
  </si>
  <si>
    <t>Geothermal Price</t>
  </si>
  <si>
    <t>PV &amp; Solar Thermal Price</t>
  </si>
  <si>
    <t>Hydro Price</t>
  </si>
  <si>
    <t>Wind Price</t>
  </si>
  <si>
    <t>DG Solar Price</t>
  </si>
  <si>
    <t>Oil/Diesel Blend Price $/BBL</t>
  </si>
  <si>
    <t>Oil/Diesel Blend Indexed LNG Price $/mmBTU</t>
  </si>
  <si>
    <t>Henry Hub Indexed LNG Price $/mmBTU</t>
  </si>
  <si>
    <t>Oil/Diesel Blend mmBTU/BBL</t>
  </si>
  <si>
    <t>Oil Diesel Blend Distribution</t>
  </si>
  <si>
    <t>FIT_1E675_2524C</t>
  </si>
  <si>
    <t>F1	0	1	-.99	 .99	 1	0	0	 0	0	 1	23	BetaGeneral	Binomial	Expon	ExtValue	ExtValueMin	Gamma	Geomet	IntUniform	InvGauss	Laplace	Levy	Logistic	LogLogistic	Lognorm	NegBin	Normal	Pareto	Pearson5	Pearson6	Poisson	Triang	Uniform	Weibull	0	1	-1	1	 0	 1	0	0	0</t>
  </si>
  <si>
    <t>6.3.1</t>
  </si>
  <si>
    <t>Henry Hub Distribution</t>
  </si>
  <si>
    <t>FIT_B5FC0_5AC8A</t>
  </si>
  <si>
    <t>Henry Hub</t>
  </si>
  <si>
    <t>Henry Hub Price $/mmBTU</t>
  </si>
  <si>
    <t>Annual Avg Price Increase</t>
  </si>
  <si>
    <t>Simulation Choice</t>
  </si>
  <si>
    <t>Renewable Energy Prices $/KWh</t>
  </si>
  <si>
    <t>PV Factor</t>
  </si>
  <si>
    <t>Month Count</t>
  </si>
  <si>
    <t>Total</t>
  </si>
  <si>
    <t>PV</t>
  </si>
  <si>
    <t>Portfolio AB2 minus AB1: Total Fossil Fuel Expense</t>
  </si>
  <si>
    <t>Portfolio AB2 minus AB1: Total Expense</t>
  </si>
  <si>
    <t>AB1</t>
  </si>
  <si>
    <t>AB2</t>
  </si>
  <si>
    <t>B1</t>
  </si>
  <si>
    <t>B2</t>
  </si>
  <si>
    <t>Portfolio AB1: Total Monthly Fossil Fuel Expense</t>
  </si>
  <si>
    <t>Portfolio AB1: Total Monthly Expense</t>
  </si>
  <si>
    <t>Portfolio AB1: Renewable Expense</t>
  </si>
  <si>
    <t>Portfolio AB1: Fossil Fuel Expense</t>
  </si>
  <si>
    <t>Portfolio AB1: Total Monthly Renewable Expense</t>
  </si>
  <si>
    <t>Portfolio AB1: Total Renewable Expense</t>
  </si>
  <si>
    <t>Portfolio AB1: Total Fossil Fuel Expense</t>
  </si>
  <si>
    <t>Portfolio AB1: Total Expense</t>
  </si>
  <si>
    <t>Portfolio AB2: Total Renewable Expense</t>
  </si>
  <si>
    <t>Portfolio AB2: Total Fossil Fuel Expense</t>
  </si>
  <si>
    <t>Portfolio AB2: Total Expense</t>
  </si>
  <si>
    <t>Portfolio AB2: Total Monthly Fossil Fuel Expense</t>
  </si>
  <si>
    <t>Portfolio AB2: Total Monthly Expense</t>
  </si>
  <si>
    <t>Portfolio AB2: Renewable Expense</t>
  </si>
  <si>
    <t>Portfolio AB2: Fossil Fuel Expense</t>
  </si>
  <si>
    <t>Portfolio AB2: Total Monthly Renewable Expense</t>
  </si>
  <si>
    <t>3. Energy Prices by Sector and Source</t>
  </si>
  <si>
    <t>(2013 dollars per million Btu, unless otherwise noted)</t>
  </si>
  <si>
    <t/>
  </si>
  <si>
    <t>Residual Fuel Oil</t>
  </si>
  <si>
    <t>Natural Gas</t>
  </si>
  <si>
    <t>Title:</t>
  </si>
  <si>
    <t>Gross Domestic Product: Chain-type Price Index</t>
  </si>
  <si>
    <t>Series ID:</t>
  </si>
  <si>
    <t>GDPCTPI</t>
  </si>
  <si>
    <t>Source:</t>
  </si>
  <si>
    <t>US. Bureau of Economic Analysis</t>
  </si>
  <si>
    <t>Release:</t>
  </si>
  <si>
    <t>Gross Domestic Product</t>
  </si>
  <si>
    <t>Seasonal Adjustment:</t>
  </si>
  <si>
    <t>Seasonally Adjusted</t>
  </si>
  <si>
    <t>Frequency:</t>
  </si>
  <si>
    <t>Aggregation Method:</t>
  </si>
  <si>
    <t>Average</t>
  </si>
  <si>
    <t>Units:</t>
  </si>
  <si>
    <t>Index 2009=100</t>
  </si>
  <si>
    <t>Date Range:</t>
  </si>
  <si>
    <t>1947-01-01 to 2014-10-01</t>
  </si>
  <si>
    <t>Last Updated:</t>
  </si>
  <si>
    <t>2015-03-27 8:01 AM CDT</t>
  </si>
  <si>
    <t>Notes:</t>
  </si>
  <si>
    <t>BEA Account Code: B191RG3</t>
  </si>
  <si>
    <t>A Guide to the National Income and Product Accounts of the United</t>
  </si>
  <si>
    <t>States (NIPA) - (http://www.bea.gov/national/pdf/nipaguid.pdf)</t>
  </si>
  <si>
    <t>DATE</t>
  </si>
  <si>
    <t>VALUE</t>
  </si>
  <si>
    <t>LOW Oil Price</t>
  </si>
  <si>
    <t>REF Oil Price</t>
  </si>
  <si>
    <t>HIGH Oil Price</t>
  </si>
  <si>
    <t>Oil/Diesel Blend forecast $/mmBTU</t>
  </si>
  <si>
    <t>Natural Gas forecast $/mmBTU</t>
  </si>
  <si>
    <t>SQ-Total Cost</t>
  </si>
  <si>
    <t>SQ-Total Cost PV</t>
  </si>
  <si>
    <t>SQ RE-HH Gas-Total Cost</t>
  </si>
  <si>
    <t>SQ RE-HH Gas-Total Cost PV</t>
  </si>
  <si>
    <t>SQ RE-HH Gas Minus SQ-Total Cost</t>
  </si>
  <si>
    <t>SQ RE-HH Gas Minus SQ-Total Cost PV</t>
  </si>
  <si>
    <t>SQ RE-Oil Indexed Gas-Total Cost</t>
  </si>
  <si>
    <t>SQ RE-Oil Indexed Gas-Total Cost PV</t>
  </si>
  <si>
    <t>SQ RE-HH Gas Minus Oil Indexed Gas-Total Cost</t>
  </si>
  <si>
    <t>SQ RE-HH Gas Minus Oil Indexed Gas-Total Cost PV</t>
  </si>
  <si>
    <t>size prize</t>
  </si>
  <si>
    <t>why gas</t>
  </si>
  <si>
    <t>Index gas to oil--never lose vs oil but HH cheaper overall</t>
  </si>
  <si>
    <t>Capacity (MW) additions from EOY 2014-2020</t>
  </si>
  <si>
    <t xml:space="preserve">Ulupono Initiative Dashboard </t>
  </si>
  <si>
    <t>(based on publicly announced projects--most in DBEDT reports)</t>
  </si>
  <si>
    <t>High RE (UI)-HH Gas-Total Cost</t>
  </si>
  <si>
    <t>High RE (UI)-HH Gas-Total Cost PV</t>
  </si>
  <si>
    <t>SQ RE-HH Gas Minus High RE (UI)-HH Gas-Total Cost</t>
  </si>
  <si>
    <t>SQ RE-HH Gas Minus High RE (UI)-HH Gas-Total Cost PV</t>
  </si>
  <si>
    <t>High RE (UI)-Oil Indexed Gas-Total Cost PV</t>
  </si>
  <si>
    <t>SQ RE-Oil Indexed Gas Minus High RE (UI)-Oil Indexed Gas-Total Cost</t>
  </si>
  <si>
    <t>SQ RE-Oil Indexed Gas Minus High RE (UI)-Oil Indexed Gas-Total Cost PV</t>
  </si>
  <si>
    <t>High RE (UI)-Oil Indexed Gas-Total Cost</t>
  </si>
  <si>
    <t>SQ RE-HH Gas Minus High RE-HH Gas-Total Cost PV</t>
  </si>
  <si>
    <t>SQ RE-Oil Indexed Gas Minus High RE-Oil Indexed Gas-Total Cost</t>
  </si>
  <si>
    <t>SQ RE-Oil Indexed Gas Minus High RE-Oil Indexed Gas-Total Cost PV</t>
  </si>
  <si>
    <t>(Note 1: 15.7 MW in PUC annual report + assume 6 MW total FIT solar in HECO/MECO/HELCO; Note 2: higher capacity factor because ground mount better residential roof angle)</t>
  </si>
  <si>
    <t>Total levelized cost Combined Cyle Gas Plant @ 90% Capacity Factor per MWh</t>
  </si>
  <si>
    <t>After-tax WACC for HEI</t>
  </si>
  <si>
    <t>Capital recovery factor for 30 year asset</t>
  </si>
  <si>
    <t>Source: HECO Power Supply Improvement Plan 8/26/2014</t>
  </si>
  <si>
    <t>Oil/Diesel &amp; Henry Hub Correlation</t>
  </si>
  <si>
    <t>@RISK Correlations</t>
  </si>
  <si>
    <t>CCGT levelized cost per KWh</t>
  </si>
  <si>
    <t>per mmBTU</t>
  </si>
  <si>
    <t>SQ RE-HH Gas Minus High RE ($0.14/KWh)-HH Gas-Total Cost</t>
  </si>
  <si>
    <t>SQ RE-HH Gas Minus High RE ($0.14/KWh)-HH Gas-Total Cost PV</t>
  </si>
  <si>
    <t>SQ RE-Oil Indexed Gas Minus High RE ($0.14/KWh)-Oil Indexed Gas-Total Cost PV</t>
  </si>
  <si>
    <t>SQ RE-Oil Indexed Gas Minus High RE ($0.14/KWh)-Oil Indexed Gas-Total Cost</t>
  </si>
  <si>
    <t>SQ RE-HH Gas Minus High RE-HH Gas-Total Cost</t>
  </si>
  <si>
    <t>2000-2005</t>
  </si>
  <si>
    <t>2005-2010</t>
  </si>
  <si>
    <t>2010-2014</t>
  </si>
  <si>
    <t>Correlation LSFO/Diesel Blend to HH Gas</t>
  </si>
  <si>
    <t>$/KWh Graph</t>
  </si>
  <si>
    <t>Oil/Diesel Linked Gas</t>
  </si>
  <si>
    <t>Henry Hub Linked Gas</t>
  </si>
  <si>
    <t>RE PPA Weighted Avg</t>
  </si>
  <si>
    <t>RE PPA @ $0.14</t>
  </si>
  <si>
    <t>Note: RE PPA Weighted Average should be for High RE in Portfolio B1 (SQ RE + additions from 2014-2020 on Inputs tab)</t>
  </si>
  <si>
    <t>RE PPA weighted avg. excluding NEM PV</t>
  </si>
  <si>
    <t>Oil or Natural Gas, and if Gas, Which Gas?</t>
  </si>
  <si>
    <t>Natural Gas or Renewables at Current* Weighted Average PPA Prices?</t>
  </si>
  <si>
    <t>Current generation &amp; consumption excluding waiver</t>
  </si>
  <si>
    <t>Current generation &amp; consumption including waiver PPAs</t>
  </si>
  <si>
    <t>Future generation (about 50% RE) including waiver PPAs</t>
  </si>
  <si>
    <t>Natural Gas or Renewables at $0.14/KWh* PPA Prices?</t>
  </si>
  <si>
    <t>*Includes NEM load reduction</t>
  </si>
  <si>
    <t>* Weighted Average includes waiver projects &amp; NEM load reduction</t>
  </si>
  <si>
    <t xml:space="preserve"> </t>
  </si>
  <si>
    <t>Series</t>
  </si>
  <si>
    <t>NYMEX WTI Future Price</t>
  </si>
  <si>
    <t>$ per Barrel</t>
  </si>
  <si>
    <t>Europe Brent Spot Price</t>
  </si>
  <si>
    <t>Gasoline Prices (National)</t>
  </si>
  <si>
    <t>Regular</t>
  </si>
  <si>
    <t>$ per Gallon</t>
  </si>
  <si>
    <t>Mid Grade</t>
  </si>
  <si>
    <t>Premium</t>
  </si>
  <si>
    <t>Diesel Prices (National)</t>
  </si>
  <si>
    <t>Gasoline Prices (State)</t>
  </si>
  <si>
    <t>Diesel Prices (State)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</si>
  <si>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</si>
  <si>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</si>
  <si>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</si>
  <si>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</si>
  <si>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</si>
  <si>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</si>
  <si>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</si>
  <si>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</si>
  <si>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Propane</t>
  </si>
  <si>
    <t>Fuel Ethanol</t>
  </si>
  <si>
    <t>Other Refined Petroleum Products</t>
  </si>
  <si>
    <t>Liquid Fuel Tax Base</t>
  </si>
  <si>
    <t>Gasoline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</si>
  <si>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</si>
  <si>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</si>
  <si>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</si>
  <si>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</si>
  <si>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</si>
  <si>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</si>
  <si>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</si>
  <si>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</si>
  <si>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</si>
  <si>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</si>
  <si>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</si>
  <si>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</si>
  <si>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</si>
  <si>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</si>
  <si>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</si>
  <si>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</si>
  <si>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</si>
  <si>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</si>
  <si>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</si>
  <si>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</si>
  <si>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</si>
  <si>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</si>
  <si>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Total Consumers This Month</t>
  </si>
  <si>
    <t>Consumers</t>
  </si>
  <si>
    <t>Residential</t>
  </si>
  <si>
    <t>Commercial</t>
  </si>
  <si>
    <t>Street Lights</t>
  </si>
  <si>
    <t>Total Meters This Month</t>
  </si>
  <si>
    <t>Meters</t>
  </si>
  <si>
    <t>Total KWH Sold This Month</t>
  </si>
  <si>
    <t>KWH</t>
  </si>
  <si>
    <t>Electricity Sent to System</t>
  </si>
  <si>
    <t>Electricity Used by Station</t>
  </si>
  <si>
    <t>Electricity Generated by Steam</t>
  </si>
  <si>
    <t>Electricity Generated by Diesel</t>
  </si>
  <si>
    <t>Electricity Generated by Biodiesel</t>
  </si>
  <si>
    <t>Electricity Generated by Hydro and Wind</t>
  </si>
  <si>
    <t>Electricity Generated by Main Power Plant</t>
  </si>
  <si>
    <t>Electricity Purchased from Independent Power Plant</t>
  </si>
  <si>
    <t>Net Revenue This Month</t>
  </si>
  <si>
    <t>Electricity Retail Prices, All Sectors</t>
  </si>
  <si>
    <t>Cents/KWh</t>
  </si>
  <si>
    <t>Month-end price per barrel</t>
  </si>
  <si>
    <t>avg 2013&amp;2014</t>
  </si>
  <si>
    <t>Implied heat rate</t>
  </si>
  <si>
    <t>Biodiesel Oil</t>
  </si>
  <si>
    <t>State Total Barrels of Oil Consumed</t>
  </si>
  <si>
    <t>STATE Total</t>
  </si>
  <si>
    <t>State BBLs Oil Consumed</t>
  </si>
  <si>
    <t>Oil Spending Over Expected</t>
  </si>
  <si>
    <t>Renewables Prices A</t>
  </si>
  <si>
    <t>Renewables Prices B</t>
  </si>
  <si>
    <t>Generation Portfolio Options - Quick Set</t>
  </si>
  <si>
    <t>Oil = 1,     Natural gas = 0</t>
  </si>
  <si>
    <t>Status Quo RE = 1,     High RE = 0</t>
  </si>
  <si>
    <t>Bill</t>
  </si>
  <si>
    <r>
      <t>*NOTE: Portfolio B1 and B2 options for oil vs. natural gas, oil/diesel linked gas vs. Henry Hub linked gas, and status quo renewables vs. high renewables can be set quickly in table in cell B240 (</t>
    </r>
    <r>
      <rPr>
        <b/>
        <sz val="11"/>
        <color rgb="FF002060"/>
        <rFont val="Calibri"/>
        <family val="2"/>
        <scheme val="minor"/>
      </rPr>
      <t>bold blue</t>
    </r>
    <r>
      <rPr>
        <sz val="11"/>
        <color theme="1"/>
        <rFont val="Calibri"/>
        <family val="2"/>
        <scheme val="minor"/>
      </rPr>
      <t xml:space="preserve"> variables in tables below)</t>
    </r>
  </si>
  <si>
    <t>Transmission, distribution, &amp; other non-fuel costs per KWhr</t>
  </si>
  <si>
    <t>Total Bill</t>
  </si>
  <si>
    <t>Annual escalator on non-fuel costs</t>
  </si>
  <si>
    <t>Monthly escalator</t>
  </si>
  <si>
    <t>Fuel Costs (by fuel type)</t>
  </si>
  <si>
    <t>600 KWhr Electric Bill on 6/2030</t>
  </si>
  <si>
    <t>SQ RE-Oil Indexed Gas--600 kWh Bill</t>
  </si>
  <si>
    <t>SQ RE-HH Gas--600 kWh Bill</t>
  </si>
  <si>
    <t>High RE-HH Gas--600 kWh Bill</t>
  </si>
  <si>
    <t>SQ (Oil)--600 kWh Bill</t>
  </si>
  <si>
    <t>High RE @$0.14/kWh-HH Gas--600 kWh Bill</t>
  </si>
  <si>
    <t>Min</t>
  </si>
  <si>
    <t>Range 1</t>
  </si>
  <si>
    <t>Range 2</t>
  </si>
  <si>
    <t>Max</t>
  </si>
  <si>
    <t>Simplified Titles</t>
  </si>
  <si>
    <t>Oil &amp; Diesel</t>
  </si>
  <si>
    <t>Oil-Indexed Gas</t>
  </si>
  <si>
    <t>Henry Hub-Indexed Gas</t>
  </si>
  <si>
    <t>High Renewable Energy w/ Henry Hub Gas</t>
  </si>
  <si>
    <t>Brent + $/mmBTU</t>
  </si>
  <si>
    <t>Brent $/BBL to mmBTU multiplier</t>
  </si>
  <si>
    <t>Brent $/BBL</t>
  </si>
  <si>
    <t>%Change</t>
  </si>
  <si>
    <t>Brent Oil Distribution</t>
  </si>
  <si>
    <t>FIT_240C5_ECF65</t>
  </si>
  <si>
    <t>Brent</t>
  </si>
  <si>
    <t>Oil/Diesel &amp; Brent Correlation</t>
  </si>
  <si>
    <t>Brent &amp; Henry Hub Correlation</t>
  </si>
  <si>
    <t>Brent Oil $/BBL</t>
  </si>
  <si>
    <t>Brent Indexed LNG Price $/mmBTU</t>
  </si>
  <si>
    <t>Other LNG levelized costs per KWh</t>
  </si>
  <si>
    <t>Indexed to: Brent Oil = 2, Hawaii Oil/Diesel Blend = 1 Henry Hub = 0</t>
  </si>
  <si>
    <t>Brent Oil Indexed Gas = 2, HI Oil/Diesel Indexed Gas = 1 ,  Henry Hub = 0</t>
  </si>
  <si>
    <t>SQ RE: LNG: Brent Indexed Minus HH Indexed-Total Cost</t>
  </si>
  <si>
    <t>SQ RE: LNG: Brent Indexed Minus HH Indexed-PV</t>
  </si>
  <si>
    <t>High RE: LNG: Brent Indexed Minus HH Indexed-Total Cost</t>
  </si>
  <si>
    <t>High RE: LNG: Brent Indexed Minus HH Indexed-PV</t>
  </si>
  <si>
    <t>High RE: HH LNG Minus Oil/Diesel-Total Cost</t>
  </si>
  <si>
    <t>High RE: HH LNG Minus Oil/Diesel-PV</t>
  </si>
  <si>
    <t>LNG: HH RE: SQ Minus High-Total Cost</t>
  </si>
  <si>
    <t>LNG: HH RE: SQ Minus High-PV</t>
  </si>
  <si>
    <t>LNG: HH RE: SQ Minus High ($0.14/KWh)-Total Cost</t>
  </si>
  <si>
    <t>LNG: HH RE: SQ Minus High ($0.14/KWh)-PV</t>
  </si>
  <si>
    <t>GF1_rK0qDwEADgDAAQwjACYANACDAJcAmACmALQAmgG8AbYBKgD//wAAAAAAAQQAAAAAAAAAAAEqRml0IENvbXBhcmlzb24gZm9yIExTRk8vRGllc2VsIDc1LzI1IGJsZW5kAR9SaXNrTG9naXN0aWMoMC4wMTAxMTUsMC4wMzMyMzYpAQEQAAIAAQpTdGF0aXN0aWNzAwEBAP8BAQEBAQABAQEABAAAAAEBAQEBAAEBAQAEAAAACtMAAeEAAPIAAAcBABwBADEBAEYBAFsBAHABAIUBAAwABUlucHV0AAAlAQIADwAITG9naXN0aWMAAS8BAgATAAxVbnVzZWQgQ3VydmUAAk8BAgATAAxVbnVzZWQgQ3VydmUAA4wBAgATAAxVbnVzZWQgQ3VydmUABEwBAgATAAxVbnVzZWQgQ3VydmUABTkBAgATAAxVbnVzZWQgQ3VydmUABk4BAgATAAxVbnVzZWQgQ3VydmUAByMBAgATAAxVbnVzZWQgQ3VydmUACCkBAgATAAxVbnVzZWQgQ3VydmUACWABAgCiAawBAQECAZqZmZmZmak/AABmZmZmZmbuPwAABQABAQEAAQEBAA==</t>
  </si>
  <si>
    <t>Oil/Diesel</t>
  </si>
  <si>
    <t>GF1_rK0qDwEADgCvAQwjACYANAByAIYAhwCVAKMAiQGrAaUBKgD//wAAAAAAAQQAAAAAAAAAAAEYRml0IENvbXBhcmlzb24gZm9yIEJyZW50ASBSaXNrTG9naXN0aWMoMC4wMDk2MzI1LDAuMDUwOTgxKQEBEAACAAEKU3RhdGlzdGljcwMBAQD/AQEBAQEAAQEBAAQAAAABAQEBAQABAQEABAAAAArCAAHQAADhAAD2AAALAQAgAQA1AQBKAQBfAQB0AQAMAAVJbnB1dAAAJQECAA8ACExvZ2lzdGljAAEvAQIAEwAMVW51c2VkIEN1cnZlAAJPAQIAEwAMVW51c2VkIEN1cnZlAAOMAQIAEwAMVW51c2VkIEN1cnZlAARMAQIAEwAMVW51c2VkIEN1cnZlAAU5AQIAEwAMVW51c2VkIEN1cnZlAAZOAQIAEwAMVW51c2VkIEN1cnZlAAcjAQIAEwAMVW51c2VkIEN1cnZlAAgpAQIAEwAMVW51c2VkIEN1cnZlAAlgAQIAkQGbAQEBAgGamZmZmZmpPwAAZmZmZmZm7j8AAAUAAQEBAAEBAQA=</t>
  </si>
  <si>
    <t>GF1_rK0qDwEADgCzAQwjACYANAB2AIoAiwCZAKcAjQGvAakBKgD//wAAAAAAAQQAAAAAAAAAAAEcRml0IENvbXBhcmlzb24gZm9yIEhlbnJ5IEh1YgEgUmlza0xvZ2lzdGljKDAuMDAzMjQwMiwwLjA4Njg1NikBARAAAgABClN0YXRpc3RpY3MDAQEA/wEBAQEBAAEBAQAEAAAAAQEBAQEAAQEBAAQAAAAKxgAB1AAA5QAA+gAADwEAJAEAOQEATgEAYwEAeAEADAAFSW5wdXQAACUBAgAPAAhMb2dpc3RpYwABLwECABMADFVudXNlZCBDdXJ2ZQACTwECABMADFVudXNlZCBDdXJ2ZQADjAECABMADFVudXNlZCBDdXJ2ZQAETAECABMADFVudXNlZCBDdXJ2ZQAFOQECABMADFVudXNlZCBDdXJ2ZQAGTgECABMADFVudXNlZCBDdXJ2ZQAHIwECABMADFVudXNlZCBDdXJ2ZQAIKQECABMADFVudXNlZCBDdXJ2ZQAJYAECAJUBnwEBAQIBmpmZmZmZqT8AAGZmZmZmZu4/AAAFAAEBAQABAQEA</t>
  </si>
  <si>
    <t>Oil/Diesel Blend monthly price changes: Based on historical distribution = 1, Adjusted to 3.96% avg annual increase = 0</t>
  </si>
  <si>
    <t>Oil/Diesel Blend Simulated % Change (adj. 3.96% avg. annual increase)</t>
  </si>
  <si>
    <t>Brent Oil Simulated % Change (adj. 3.96% avg. annual increase)</t>
  </si>
  <si>
    <t>High RE: Brent Indexed LNG Minus Oil/Diesel-Total Cost</t>
  </si>
  <si>
    <t>High RE: Brent Indexed LNG Minus Oil/Diesel-PV</t>
  </si>
  <si>
    <t>Note: Analysis keeps "paying" for infrastructure costs levelized over 15 years.</t>
  </si>
  <si>
    <t>LNG: Brent RE: High Minus SQ ($0.095/KWh)-Total Cost</t>
  </si>
  <si>
    <t>LNG: Brent RE: High Minus SQ ($0.095/KWh)-PV</t>
  </si>
  <si>
    <t>Sum (AB2-AB1)</t>
  </si>
  <si>
    <t>AB2-AB1</t>
  </si>
  <si>
    <t>600 kWh Bill: LNG: Brent RE: High Minus SQ (2014 PPA prices)-Total Cost</t>
  </si>
  <si>
    <t>600 kWh Bill: LNG: Brent RE: High Minus SQ ($0.14/kWh)-Total Cost</t>
  </si>
  <si>
    <t>600 kWh Bill: LNG: Brent RE: High Minus SQ ($0.095/kWh)-Total Cost</t>
  </si>
  <si>
    <t>5-25 yr analysis, EOY 2014 starting prices, 1mm tons per year</t>
  </si>
  <si>
    <t>5-15 yr analysis, EOY 2014 starting prices, 1mm tons per year</t>
  </si>
  <si>
    <t>5-15 yr analysis, Sep 2015 starting prices, 1mm tons per year</t>
  </si>
  <si>
    <t>5-25 yr analysis, Sep 2015 starting prices, 1mm tons per year</t>
  </si>
  <si>
    <t>5-15 yr analysis, Sep 2015 starting prices, 0.325 mm tons per year</t>
  </si>
  <si>
    <t>600 kWh Bill: LNG: Brent RE: High Minus SQ ($0.12/kWh)-Total Cost</t>
  </si>
  <si>
    <t>600 kWh Bill: LNG: Brent RE: High Minus SQ ($0.11/kWh)-Total Cost</t>
  </si>
  <si>
    <t>600 kWh Bill: LNG: Brent RE: High Minus SQ ($0.105/kWh)-Total Cost</t>
  </si>
  <si>
    <t>600 kWh Bill: Oil/Diesel Blend RE: High Minus SQ ($0.20/kWh)-Total Cost</t>
  </si>
  <si>
    <t>600 kWh Bill: Oil/Diesel Blend RE: High Minus SQ ($0.205/kWh)-Total Cost</t>
  </si>
  <si>
    <t>600 kWh Bill: High RE: Brent Indexed LNG Minus Oil/Diesel-Total Cost</t>
  </si>
  <si>
    <t>Hawaii 75/25 LSFO/Diesel</t>
  </si>
  <si>
    <t>Hawaii LSFO - Brent Spot Price</t>
  </si>
  <si>
    <t>Hawaii avg LSFO - Brent Spot Price</t>
  </si>
  <si>
    <t>Hawaii LSFO - NYMEX WTI Oil Future Price</t>
  </si>
  <si>
    <t>Hawaii avg LSFO - NYMEX WTI Oil Future Price</t>
  </si>
  <si>
    <t>Average Difference Hawaii LSFO vs. Indexes 2011-2015</t>
  </si>
  <si>
    <t>Hawaii avg diesel - Hawaii avg 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</si>
</sst>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0.000"/>
    <numFmt numFmtId="167" formatCode="#,##0.000"/>
    <numFmt numFmtId="168" formatCode="0.0%"/>
    <numFmt numFmtId="169" formatCode="0.0000%"/>
    <numFmt numFmtId="170" formatCode="0.0000"/>
    <numFmt numFmtId="171" formatCode="0.00_)"/>
    <numFmt numFmtId="172" formatCode="0.000000"/>
    <numFmt numFmtId="173" formatCode="[$-409]mmmmm\-yy;@"/>
    <numFmt numFmtId="174" formatCode="&quot;$&quot;#,##0.0000"/>
    <numFmt numFmtId="175" formatCode="&quot;$&quot;#,##0"/>
    <numFmt numFmtId="176" formatCode="yyyy\-mm\-dd"/>
    <numFmt numFmtId="177" formatCode="_(&quot;$&quot;* #,##0_);_(&quot;$&quot;* \(#,##0\);_(&quot;$&quot;* &quot;-&quot;??_);_(@_)"/>
    <numFmt numFmtId="178" formatCode="_(&quot;$&quot;* #,##0.0,,,&quot; B&quot;_);_(&quot;$&quot;* \(#,##0.0,,,&quot; B&quot;\);_(&quot;$&quot;* &quot;-&quot;_);_(@_)"/>
    <numFmt numFmtId="179" formatCode="0.0"/>
    <numFmt numFmtId="180" formatCode="0.000%"/>
    <numFmt numFmtId="181" formatCode="_(&quot;$&quot;* #,##0.000_);_(&quot;$&quot;* \(#,##0.000\);_(&quot;$&quot;* &quot;-&quot;??_);_(@_)"/>
    <numFmt numFmtId="182" formatCode="#,##0;\(#,##0\);&quot;-&quot;"/>
    <numFmt numFmtId="183" formatCode="#,##0;\(#,##0\);\ &quot;-&quot;;_(@_)"/>
    <numFmt numFmtId="184" formatCode="[$$-409]#,##0_);\([$$-409]#,##0\)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10"/>
      <name val="Calibri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rgb="FF3366FF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FF"/>
      <name val="Calibri"/>
      <scheme val="minor"/>
    </font>
    <font>
      <sz val="11"/>
      <color rgb="FF000000"/>
      <name val="Calibri"/>
      <family val="2"/>
      <scheme val="minor"/>
    </font>
    <font>
      <sz val="11"/>
      <name val="Calibri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color theme="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indexed="81"/>
      <name val="Tahoma"/>
      <family val="2"/>
    </font>
    <font>
      <sz val="10"/>
      <name val="Arial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127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1" fillId="0" borderId="0"/>
    <xf numFmtId="0" fontId="23" fillId="0" borderId="0"/>
    <xf numFmtId="0" fontId="23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2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0"/>
    <xf numFmtId="0" fontId="21" fillId="0" borderId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 applyNumberFormat="0" applyProtection="0">
      <alignment horizontal="left"/>
    </xf>
    <xf numFmtId="0" fontId="31" fillId="0" borderId="0" applyNumberFormat="0" applyFill="0" applyBorder="0" applyAlignment="0" applyProtection="0"/>
    <xf numFmtId="0" fontId="32" fillId="0" borderId="43" applyNumberFormat="0" applyProtection="0">
      <alignment wrapText="1"/>
    </xf>
    <xf numFmtId="0" fontId="32" fillId="0" borderId="44" applyNumberFormat="0" applyProtection="0">
      <alignment wrapText="1"/>
    </xf>
    <xf numFmtId="0" fontId="31" fillId="0" borderId="45" applyNumberFormat="0" applyFont="0" applyProtection="0">
      <alignment wrapText="1"/>
    </xf>
    <xf numFmtId="0" fontId="41" fillId="0" borderId="0"/>
    <xf numFmtId="0" fontId="41" fillId="0" borderId="0"/>
  </cellStyleXfs>
  <cellXfs count="295">
    <xf numFmtId="0" fontId="0" fillId="0" borderId="0" xfId="0"/>
    <xf numFmtId="44" fontId="0" fillId="0" borderId="0" xfId="2" applyFont="1"/>
    <xf numFmtId="14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3" xfId="0" applyBorder="1"/>
    <xf numFmtId="10" fontId="0" fillId="0" borderId="0" xfId="0" applyNumberFormat="1"/>
    <xf numFmtId="10" fontId="0" fillId="0" borderId="0" xfId="3" applyNumberFormat="1" applyFont="1"/>
    <xf numFmtId="0" fontId="0" fillId="0" borderId="0" xfId="0"/>
    <xf numFmtId="165" fontId="16" fillId="0" borderId="0" xfId="0" applyNumberFormat="1" applyFont="1"/>
    <xf numFmtId="0" fontId="16" fillId="0" borderId="0" xfId="0" applyFon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right"/>
    </xf>
    <xf numFmtId="2" fontId="0" fillId="0" borderId="0" xfId="0" applyNumberFormat="1"/>
    <xf numFmtId="0" fontId="0" fillId="0" borderId="0" xfId="0" applyNumberFormat="1"/>
    <xf numFmtId="0" fontId="0" fillId="33" borderId="0" xfId="0" applyFill="1"/>
    <xf numFmtId="4" fontId="0" fillId="33" borderId="0" xfId="0" applyNumberFormat="1" applyFill="1"/>
    <xf numFmtId="2" fontId="0" fillId="33" borderId="0" xfId="0" applyNumberFormat="1" applyFill="1"/>
    <xf numFmtId="0" fontId="18" fillId="0" borderId="0" xfId="0" applyFont="1"/>
    <xf numFmtId="4" fontId="18" fillId="33" borderId="0" xfId="0" applyNumberFormat="1" applyFont="1" applyFill="1"/>
    <xf numFmtId="0" fontId="19" fillId="0" borderId="0" xfId="0" applyFont="1"/>
    <xf numFmtId="164" fontId="19" fillId="0" borderId="0" xfId="1" applyNumberFormat="1" applyFont="1"/>
    <xf numFmtId="43" fontId="0" fillId="0" borderId="0" xfId="0" applyNumberFormat="1"/>
    <xf numFmtId="43" fontId="16" fillId="0" borderId="0" xfId="1" applyFont="1"/>
    <xf numFmtId="165" fontId="0" fillId="0" borderId="0" xfId="0" applyNumberFormat="1"/>
    <xf numFmtId="0" fontId="0" fillId="34" borderId="0" xfId="0" applyFill="1"/>
    <xf numFmtId="0" fontId="0" fillId="35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0" fillId="0" borderId="16" xfId="0" applyBorder="1"/>
    <xf numFmtId="171" fontId="0" fillId="0" borderId="0" xfId="0" applyNumberFormat="1"/>
    <xf numFmtId="4" fontId="21" fillId="0" borderId="0" xfId="1177" applyNumberFormat="1" applyFill="1"/>
    <xf numFmtId="0" fontId="24" fillId="34" borderId="0" xfId="0" applyFont="1" applyFill="1"/>
    <xf numFmtId="4" fontId="24" fillId="34" borderId="0" xfId="0" applyNumberFormat="1" applyFont="1" applyFill="1"/>
    <xf numFmtId="4" fontId="20" fillId="34" borderId="0" xfId="0" applyNumberFormat="1" applyFont="1" applyFill="1"/>
    <xf numFmtId="0" fontId="0" fillId="0" borderId="18" xfId="0" applyBorder="1"/>
    <xf numFmtId="0" fontId="0" fillId="0" borderId="12" xfId="0" applyBorder="1"/>
    <xf numFmtId="0" fontId="0" fillId="0" borderId="0" xfId="0" applyBorder="1"/>
    <xf numFmtId="164" fontId="0" fillId="0" borderId="0" xfId="1" applyNumberFormat="1" applyFont="1" applyBorder="1"/>
    <xf numFmtId="0" fontId="0" fillId="0" borderId="14" xfId="0" applyBorder="1"/>
    <xf numFmtId="164" fontId="0" fillId="0" borderId="17" xfId="1" applyNumberFormat="1" applyFont="1" applyBorder="1"/>
    <xf numFmtId="0" fontId="0" fillId="0" borderId="15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3" fontId="0" fillId="0" borderId="22" xfId="0" applyNumberFormat="1" applyBorder="1"/>
    <xf numFmtId="0" fontId="0" fillId="0" borderId="23" xfId="0" applyBorder="1"/>
    <xf numFmtId="0" fontId="0" fillId="0" borderId="24" xfId="0" applyBorder="1"/>
    <xf numFmtId="0" fontId="0" fillId="0" borderId="17" xfId="0" applyBorder="1"/>
    <xf numFmtId="0" fontId="0" fillId="0" borderId="12" xfId="0" applyFill="1" applyBorder="1"/>
    <xf numFmtId="0" fontId="0" fillId="0" borderId="10" xfId="0" applyFill="1" applyBorder="1"/>
    <xf numFmtId="0" fontId="0" fillId="0" borderId="14" xfId="0" applyFill="1" applyBorder="1"/>
    <xf numFmtId="170" fontId="0" fillId="0" borderId="18" xfId="0" applyNumberFormat="1" applyBorder="1"/>
    <xf numFmtId="170" fontId="0" fillId="0" borderId="17" xfId="0" applyNumberFormat="1" applyBorder="1"/>
    <xf numFmtId="10" fontId="27" fillId="0" borderId="18" xfId="3" applyNumberFormat="1" applyFont="1" applyBorder="1"/>
    <xf numFmtId="10" fontId="0" fillId="0" borderId="18" xfId="3" applyNumberFormat="1" applyFont="1" applyBorder="1"/>
    <xf numFmtId="0" fontId="0" fillId="0" borderId="18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 applyAlignment="1">
      <alignment wrapText="1"/>
    </xf>
    <xf numFmtId="10" fontId="27" fillId="0" borderId="0" xfId="3" applyNumberFormat="1" applyFont="1" applyBorder="1"/>
    <xf numFmtId="10" fontId="0" fillId="0" borderId="0" xfId="3" applyNumberFormat="1" applyFont="1" applyBorder="1"/>
    <xf numFmtId="0" fontId="0" fillId="0" borderId="18" xfId="0" applyFill="1" applyBorder="1"/>
    <xf numFmtId="0" fontId="27" fillId="0" borderId="18" xfId="0" applyFont="1" applyBorder="1"/>
    <xf numFmtId="0" fontId="0" fillId="0" borderId="25" xfId="0" applyFill="1" applyBorder="1"/>
    <xf numFmtId="0" fontId="0" fillId="0" borderId="26" xfId="0" applyBorder="1"/>
    <xf numFmtId="0" fontId="0" fillId="0" borderId="29" xfId="0" applyFill="1" applyBorder="1"/>
    <xf numFmtId="0" fontId="0" fillId="0" borderId="30" xfId="0" applyBorder="1"/>
    <xf numFmtId="0" fontId="0" fillId="0" borderId="25" xfId="0" applyBorder="1"/>
    <xf numFmtId="0" fontId="0" fillId="0" borderId="27" xfId="0" applyFill="1" applyBorder="1" applyAlignment="1">
      <alignment wrapText="1"/>
    </xf>
    <xf numFmtId="168" fontId="0" fillId="0" borderId="13" xfId="3" applyNumberFormat="1" applyFont="1" applyFill="1" applyBorder="1"/>
    <xf numFmtId="0" fontId="0" fillId="0" borderId="12" xfId="0" applyBorder="1" applyAlignment="1">
      <alignment horizontal="left" indent="4"/>
    </xf>
    <xf numFmtId="0" fontId="0" fillId="0" borderId="32" xfId="0" applyBorder="1" applyAlignment="1"/>
    <xf numFmtId="0" fontId="0" fillId="0" borderId="33" xfId="0" applyBorder="1"/>
    <xf numFmtId="0" fontId="0" fillId="0" borderId="34" xfId="0" applyBorder="1"/>
    <xf numFmtId="0" fontId="0" fillId="0" borderId="35" xfId="0" applyBorder="1"/>
    <xf numFmtId="3" fontId="0" fillId="0" borderId="13" xfId="3" applyNumberFormat="1" applyFont="1" applyFill="1" applyBorder="1"/>
    <xf numFmtId="0" fontId="0" fillId="0" borderId="14" xfId="0" applyBorder="1" applyAlignment="1"/>
    <xf numFmtId="164" fontId="0" fillId="0" borderId="26" xfId="1" applyNumberFormat="1" applyFont="1" applyBorder="1"/>
    <xf numFmtId="0" fontId="0" fillId="0" borderId="29" xfId="0" applyBorder="1" applyAlignment="1">
      <alignment wrapText="1"/>
    </xf>
    <xf numFmtId="164" fontId="16" fillId="0" borderId="31" xfId="0" applyNumberFormat="1" applyFont="1" applyBorder="1"/>
    <xf numFmtId="0" fontId="0" fillId="0" borderId="26" xfId="0" applyBorder="1" applyAlignment="1">
      <alignment wrapText="1"/>
    </xf>
    <xf numFmtId="2" fontId="27" fillId="0" borderId="18" xfId="0" applyNumberFormat="1" applyFont="1" applyBorder="1"/>
    <xf numFmtId="170" fontId="27" fillId="0" borderId="18" xfId="0" applyNumberFormat="1" applyFont="1" applyBorder="1"/>
    <xf numFmtId="10" fontId="0" fillId="0" borderId="18" xfId="0" applyNumberFormat="1" applyBorder="1"/>
    <xf numFmtId="10" fontId="27" fillId="0" borderId="18" xfId="0" applyNumberFormat="1" applyFont="1" applyBorder="1"/>
    <xf numFmtId="3" fontId="27" fillId="0" borderId="0" xfId="3" applyNumberFormat="1" applyFont="1" applyBorder="1"/>
    <xf numFmtId="0" fontId="0" fillId="0" borderId="0" xfId="0" applyFill="1" applyBorder="1"/>
    <xf numFmtId="0" fontId="0" fillId="0" borderId="36" xfId="0" applyBorder="1"/>
    <xf numFmtId="9" fontId="27" fillId="0" borderId="29" xfId="3" applyFont="1" applyBorder="1"/>
    <xf numFmtId="0" fontId="28" fillId="0" borderId="18" xfId="0" applyFont="1" applyBorder="1"/>
    <xf numFmtId="9" fontId="0" fillId="0" borderId="0" xfId="3" applyFont="1"/>
    <xf numFmtId="0" fontId="0" fillId="0" borderId="36" xfId="0" applyBorder="1" applyAlignment="1">
      <alignment wrapText="1"/>
    </xf>
    <xf numFmtId="3" fontId="0" fillId="0" borderId="18" xfId="0" applyNumberFormat="1" applyBorder="1" applyAlignment="1"/>
    <xf numFmtId="3" fontId="0" fillId="0" borderId="18" xfId="0" applyNumberFormat="1" applyBorder="1"/>
    <xf numFmtId="10" fontId="0" fillId="0" borderId="31" xfId="3" applyNumberFormat="1" applyFont="1" applyBorder="1"/>
    <xf numFmtId="9" fontId="27" fillId="0" borderId="0" xfId="3" applyFont="1" applyBorder="1"/>
    <xf numFmtId="3" fontId="0" fillId="0" borderId="37" xfId="0" applyNumberFormat="1" applyBorder="1" applyAlignment="1"/>
    <xf numFmtId="3" fontId="0" fillId="0" borderId="37" xfId="0" applyNumberFormat="1" applyBorder="1"/>
    <xf numFmtId="10" fontId="0" fillId="0" borderId="37" xfId="3" applyNumberFormat="1" applyFont="1" applyBorder="1"/>
    <xf numFmtId="9" fontId="27" fillId="0" borderId="25" xfId="3" applyFont="1" applyBorder="1"/>
    <xf numFmtId="3" fontId="0" fillId="0" borderId="36" xfId="0" applyNumberFormat="1" applyFill="1" applyBorder="1"/>
    <xf numFmtId="10" fontId="0" fillId="0" borderId="26" xfId="3" applyNumberFormat="1" applyFont="1" applyBorder="1"/>
    <xf numFmtId="164" fontId="0" fillId="0" borderId="36" xfId="1" applyNumberFormat="1" applyFont="1" applyBorder="1"/>
    <xf numFmtId="0" fontId="29" fillId="0" borderId="10" xfId="0" applyFont="1" applyBorder="1"/>
    <xf numFmtId="0" fontId="29" fillId="0" borderId="14" xfId="0" applyFont="1" applyBorder="1"/>
    <xf numFmtId="10" fontId="0" fillId="0" borderId="0" xfId="0" applyNumberFormat="1" applyBorder="1"/>
    <xf numFmtId="164" fontId="0" fillId="0" borderId="18" xfId="0" applyNumberFormat="1" applyBorder="1"/>
    <xf numFmtId="43" fontId="0" fillId="0" borderId="18" xfId="0" applyNumberFormat="1" applyBorder="1"/>
    <xf numFmtId="164" fontId="0" fillId="0" borderId="18" xfId="1" applyNumberFormat="1" applyFont="1" applyBorder="1"/>
    <xf numFmtId="0" fontId="16" fillId="0" borderId="25" xfId="0" applyFont="1" applyFill="1" applyBorder="1"/>
    <xf numFmtId="0" fontId="16" fillId="0" borderId="25" xfId="0" applyFont="1" applyBorder="1" applyAlignment="1">
      <alignment wrapText="1"/>
    </xf>
    <xf numFmtId="0" fontId="27" fillId="0" borderId="18" xfId="0" applyFont="1" applyFill="1" applyBorder="1"/>
    <xf numFmtId="0" fontId="16" fillId="0" borderId="26" xfId="0" applyFont="1" applyBorder="1" applyAlignment="1">
      <alignment wrapText="1"/>
    </xf>
    <xf numFmtId="0" fontId="0" fillId="0" borderId="0" xfId="0" applyFill="1" applyBorder="1" applyAlignment="1">
      <alignment wrapText="1"/>
    </xf>
    <xf numFmtId="9" fontId="27" fillId="0" borderId="31" xfId="3" applyFont="1" applyBorder="1"/>
    <xf numFmtId="0" fontId="0" fillId="0" borderId="37" xfId="0" applyBorder="1"/>
    <xf numFmtId="0" fontId="0" fillId="0" borderId="29" xfId="0" applyFill="1" applyBorder="1" applyAlignment="1">
      <alignment wrapText="1"/>
    </xf>
    <xf numFmtId="0" fontId="0" fillId="0" borderId="29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9" xfId="0" applyFill="1" applyBorder="1" applyAlignment="1">
      <alignment wrapText="1"/>
    </xf>
    <xf numFmtId="0" fontId="0" fillId="0" borderId="40" xfId="0" applyBorder="1"/>
    <xf numFmtId="1" fontId="0" fillId="0" borderId="0" xfId="0" applyNumberFormat="1"/>
    <xf numFmtId="174" fontId="0" fillId="0" borderId="0" xfId="0" applyNumberFormat="1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10" fontId="0" fillId="0" borderId="39" xfId="0" applyNumberFormat="1" applyBorder="1" applyAlignment="1">
      <alignment wrapText="1"/>
    </xf>
    <xf numFmtId="0" fontId="27" fillId="0" borderId="41" xfId="0" applyFont="1" applyBorder="1"/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172" fontId="0" fillId="0" borderId="0" xfId="0" applyNumberFormat="1" applyFill="1" applyBorder="1"/>
    <xf numFmtId="0" fontId="0" fillId="0" borderId="18" xfId="0" applyFill="1" applyBorder="1" applyAlignment="1">
      <alignment wrapText="1"/>
    </xf>
    <xf numFmtId="0" fontId="0" fillId="0" borderId="40" xfId="0" applyBorder="1" applyAlignment="1">
      <alignment wrapText="1"/>
    </xf>
    <xf numFmtId="0" fontId="0" fillId="0" borderId="0" xfId="0" applyAlignment="1">
      <alignment vertical="center"/>
    </xf>
    <xf numFmtId="175" fontId="0" fillId="0" borderId="0" xfId="0" applyNumberFormat="1"/>
    <xf numFmtId="0" fontId="0" fillId="0" borderId="37" xfId="0" applyFill="1" applyBorder="1"/>
    <xf numFmtId="0" fontId="0" fillId="0" borderId="42" xfId="0" applyFill="1" applyBorder="1"/>
    <xf numFmtId="0" fontId="0" fillId="0" borderId="38" xfId="0" applyFill="1" applyBorder="1"/>
    <xf numFmtId="0" fontId="0" fillId="0" borderId="42" xfId="0" applyBorder="1"/>
    <xf numFmtId="0" fontId="0" fillId="0" borderId="38" xfId="0" applyBorder="1"/>
    <xf numFmtId="0" fontId="0" fillId="0" borderId="0" xfId="0" applyFill="1" applyBorder="1" applyAlignment="1">
      <alignment vertical="center" wrapText="1"/>
    </xf>
    <xf numFmtId="175" fontId="0" fillId="0" borderId="18" xfId="0" applyNumberFormat="1" applyBorder="1"/>
    <xf numFmtId="175" fontId="0" fillId="0" borderId="0" xfId="0" applyNumberFormat="1" applyBorder="1"/>
    <xf numFmtId="175" fontId="0" fillId="0" borderId="19" xfId="0" applyNumberFormat="1" applyBorder="1"/>
    <xf numFmtId="175" fontId="0" fillId="0" borderId="20" xfId="0" applyNumberFormat="1" applyBorder="1"/>
    <xf numFmtId="175" fontId="0" fillId="0" borderId="23" xfId="0" applyNumberFormat="1" applyBorder="1"/>
    <xf numFmtId="175" fontId="0" fillId="0" borderId="24" xfId="0" applyNumberFormat="1" applyBorder="1"/>
    <xf numFmtId="0" fontId="27" fillId="0" borderId="0" xfId="0" applyFont="1" applyBorder="1"/>
    <xf numFmtId="2" fontId="27" fillId="0" borderId="0" xfId="0" applyNumberFormat="1" applyFont="1" applyBorder="1"/>
    <xf numFmtId="0" fontId="0" fillId="0" borderId="27" xfId="0" applyFill="1" applyBorder="1"/>
    <xf numFmtId="0" fontId="0" fillId="36" borderId="0" xfId="0" applyFill="1"/>
    <xf numFmtId="173" fontId="0" fillId="36" borderId="0" xfId="0" applyNumberFormat="1" applyFill="1"/>
    <xf numFmtId="16" fontId="0" fillId="36" borderId="0" xfId="0" applyNumberFormat="1" applyFill="1"/>
    <xf numFmtId="0" fontId="30" fillId="0" borderId="0" xfId="1264" applyFont="1" applyFill="1" applyBorder="1" applyAlignment="1">
      <alignment horizontal="left"/>
    </xf>
    <xf numFmtId="0" fontId="31" fillId="0" borderId="0" xfId="1265" applyFont="1"/>
    <xf numFmtId="0" fontId="0" fillId="0" borderId="45" xfId="1268" applyFont="1" applyFill="1" applyBorder="1" applyAlignment="1">
      <alignment wrapText="1"/>
    </xf>
    <xf numFmtId="2" fontId="0" fillId="0" borderId="45" xfId="1268" applyNumberFormat="1" applyFont="1" applyFill="1" applyAlignment="1">
      <alignment horizontal="right" wrapText="1"/>
    </xf>
    <xf numFmtId="0" fontId="32" fillId="0" borderId="0" xfId="1266" applyFont="1" applyFill="1" applyBorder="1" applyAlignment="1">
      <alignment wrapText="1"/>
    </xf>
    <xf numFmtId="0" fontId="0" fillId="0" borderId="0" xfId="0" applyNumberFormat="1" applyFont="1" applyFill="1" applyBorder="1" applyAlignment="1" applyProtection="1">
      <alignment horizontal="left"/>
    </xf>
    <xf numFmtId="176" fontId="0" fillId="0" borderId="0" xfId="0" applyNumberFormat="1" applyFont="1" applyFill="1" applyBorder="1" applyAlignment="1" applyProtection="1"/>
    <xf numFmtId="0" fontId="0" fillId="0" borderId="0" xfId="0" applyFill="1"/>
    <xf numFmtId="0" fontId="14" fillId="0" borderId="0" xfId="0" applyFont="1" applyFill="1" applyBorder="1"/>
    <xf numFmtId="177" fontId="0" fillId="0" borderId="0" xfId="2" applyNumberFormat="1" applyFont="1"/>
    <xf numFmtId="9" fontId="0" fillId="0" borderId="0" xfId="0" applyNumberFormat="1"/>
    <xf numFmtId="164" fontId="0" fillId="0" borderId="30" xfId="1" applyNumberFormat="1" applyFont="1" applyBorder="1"/>
    <xf numFmtId="0" fontId="14" fillId="0" borderId="0" xfId="0" applyFont="1" applyAlignment="1">
      <alignment wrapText="1"/>
    </xf>
    <xf numFmtId="9" fontId="0" fillId="0" borderId="18" xfId="0" applyNumberFormat="1" applyBorder="1"/>
    <xf numFmtId="178" fontId="0" fillId="0" borderId="18" xfId="2" applyNumberFormat="1" applyFont="1" applyBorder="1"/>
    <xf numFmtId="0" fontId="0" fillId="0" borderId="18" xfId="0" applyBorder="1" applyAlignment="1">
      <alignment horizontal="center" wrapText="1"/>
    </xf>
    <xf numFmtId="0" fontId="0" fillId="0" borderId="11" xfId="0" applyBorder="1" applyAlignment="1">
      <alignment wrapText="1"/>
    </xf>
    <xf numFmtId="0" fontId="0" fillId="0" borderId="23" xfId="0" applyBorder="1" applyAlignment="1">
      <alignment wrapText="1"/>
    </xf>
    <xf numFmtId="179" fontId="27" fillId="0" borderId="18" xfId="0" applyNumberFormat="1" applyFont="1" applyBorder="1"/>
    <xf numFmtId="179" fontId="27" fillId="0" borderId="37" xfId="0" applyNumberFormat="1" applyFont="1" applyBorder="1"/>
    <xf numFmtId="0" fontId="20" fillId="0" borderId="13" xfId="0" applyFont="1" applyBorder="1"/>
    <xf numFmtId="178" fontId="0" fillId="0" borderId="0" xfId="2" applyNumberFormat="1" applyFont="1" applyBorder="1"/>
    <xf numFmtId="0" fontId="0" fillId="0" borderId="0" xfId="0" applyFill="1" applyBorder="1" applyAlignment="1"/>
    <xf numFmtId="0" fontId="0" fillId="0" borderId="19" xfId="0" applyBorder="1" applyAlignment="1">
      <alignment wrapText="1"/>
    </xf>
    <xf numFmtId="44" fontId="0" fillId="0" borderId="20" xfId="2" applyFont="1" applyBorder="1"/>
    <xf numFmtId="180" fontId="0" fillId="0" borderId="22" xfId="3" applyNumberFormat="1" applyFont="1" applyBorder="1"/>
    <xf numFmtId="180" fontId="0" fillId="0" borderId="24" xfId="3" applyNumberFormat="1" applyFont="1" applyBorder="1"/>
    <xf numFmtId="9" fontId="0" fillId="0" borderId="0" xfId="0" applyNumberFormat="1" applyAlignment="1">
      <alignment wrapText="1"/>
    </xf>
    <xf numFmtId="170" fontId="0" fillId="0" borderId="0" xfId="3" applyNumberFormat="1" applyFont="1" applyFill="1" applyBorder="1"/>
    <xf numFmtId="0" fontId="33" fillId="38" borderId="18" xfId="0" applyFont="1" applyFill="1" applyBorder="1" applyAlignment="1">
      <alignment horizontal="center" vertical="center"/>
    </xf>
    <xf numFmtId="169" fontId="33" fillId="37" borderId="25" xfId="3" quotePrefix="1" applyNumberFormat="1" applyFont="1" applyFill="1" applyBorder="1"/>
    <xf numFmtId="0" fontId="33" fillId="38" borderId="41" xfId="0" applyFont="1" applyFill="1" applyBorder="1" applyAlignment="1">
      <alignment horizontal="center" vertical="center"/>
    </xf>
    <xf numFmtId="0" fontId="33" fillId="39" borderId="18" xfId="0" applyFont="1" applyFill="1" applyBorder="1" applyAlignment="1">
      <alignment horizontal="left" vertical="center"/>
    </xf>
    <xf numFmtId="0" fontId="33" fillId="38" borderId="31" xfId="0" applyFont="1" applyFill="1" applyBorder="1" applyAlignment="1">
      <alignment horizontal="center" vertical="center"/>
    </xf>
    <xf numFmtId="0" fontId="33" fillId="38" borderId="38" xfId="0" applyFont="1" applyFill="1" applyBorder="1" applyAlignment="1">
      <alignment horizontal="center" vertical="center"/>
    </xf>
    <xf numFmtId="0" fontId="0" fillId="0" borderId="39" xfId="0" applyBorder="1" applyAlignment="1">
      <alignment wrapText="1"/>
    </xf>
    <xf numFmtId="181" fontId="27" fillId="0" borderId="41" xfId="2" applyNumberFormat="1" applyFont="1" applyBorder="1"/>
    <xf numFmtId="44" fontId="27" fillId="0" borderId="26" xfId="2" applyFont="1" applyBorder="1"/>
    <xf numFmtId="44" fontId="27" fillId="0" borderId="40" xfId="2" applyFont="1" applyBorder="1"/>
    <xf numFmtId="181" fontId="20" fillId="0" borderId="41" xfId="2" applyNumberFormat="1" applyFont="1" applyBorder="1"/>
    <xf numFmtId="9" fontId="20" fillId="0" borderId="0" xfId="0" applyNumberFormat="1" applyFont="1" applyAlignment="1">
      <alignment wrapText="1"/>
    </xf>
    <xf numFmtId="9" fontId="0" fillId="0" borderId="18" xfId="3" applyFont="1" applyBorder="1"/>
    <xf numFmtId="181" fontId="0" fillId="0" borderId="0" xfId="0" applyNumberFormat="1"/>
    <xf numFmtId="181" fontId="0" fillId="0" borderId="0" xfId="2" applyNumberFormat="1" applyFont="1"/>
    <xf numFmtId="44" fontId="0" fillId="0" borderId="0" xfId="0" applyNumberFormat="1"/>
    <xf numFmtId="0" fontId="0" fillId="0" borderId="21" xfId="0" applyBorder="1" applyAlignment="1">
      <alignment wrapText="1"/>
    </xf>
    <xf numFmtId="0" fontId="0" fillId="0" borderId="22" xfId="0" applyBorder="1" applyAlignment="1">
      <alignment wrapText="1"/>
    </xf>
    <xf numFmtId="181" fontId="0" fillId="0" borderId="23" xfId="2" applyNumberFormat="1" applyFont="1" applyBorder="1"/>
    <xf numFmtId="181" fontId="0" fillId="0" borderId="46" xfId="2" applyNumberFormat="1" applyFont="1" applyBorder="1"/>
    <xf numFmtId="181" fontId="0" fillId="0" borderId="24" xfId="2" applyNumberFormat="1" applyFont="1" applyBorder="1"/>
    <xf numFmtId="17" fontId="16" fillId="0" borderId="0" xfId="0" applyNumberFormat="1" applyFont="1"/>
    <xf numFmtId="168" fontId="0" fillId="0" borderId="0" xfId="0" applyNumberFormat="1"/>
    <xf numFmtId="182" fontId="0" fillId="0" borderId="0" xfId="0" applyNumberFormat="1"/>
    <xf numFmtId="183" fontId="0" fillId="0" borderId="0" xfId="0" applyNumberFormat="1"/>
    <xf numFmtId="0" fontId="14" fillId="0" borderId="0" xfId="0" applyFont="1"/>
    <xf numFmtId="3" fontId="14" fillId="0" borderId="0" xfId="0" applyNumberFormat="1" applyFont="1"/>
    <xf numFmtId="3" fontId="0" fillId="0" borderId="0" xfId="0" applyNumberFormat="1" applyFill="1"/>
    <xf numFmtId="3" fontId="0" fillId="0" borderId="0" xfId="0" applyNumberFormat="1" applyFill="1" applyBorder="1"/>
    <xf numFmtId="184" fontId="0" fillId="0" borderId="0" xfId="0" applyNumberFormat="1"/>
    <xf numFmtId="184" fontId="16" fillId="0" borderId="0" xfId="0" applyNumberFormat="1" applyFont="1"/>
    <xf numFmtId="0" fontId="0" fillId="0" borderId="0" xfId="0" applyBorder="1" applyAlignment="1">
      <alignment vertic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1" fontId="27" fillId="0" borderId="18" xfId="0" applyNumberFormat="1" applyFont="1" applyBorder="1" applyAlignment="1">
      <alignment horizontal="center"/>
    </xf>
    <xf numFmtId="1" fontId="27" fillId="0" borderId="22" xfId="0" applyNumberFormat="1" applyFont="1" applyBorder="1" applyAlignment="1">
      <alignment horizontal="center"/>
    </xf>
    <xf numFmtId="1" fontId="27" fillId="0" borderId="46" xfId="0" applyNumberFormat="1" applyFont="1" applyBorder="1" applyAlignment="1">
      <alignment horizontal="center"/>
    </xf>
    <xf numFmtId="1" fontId="27" fillId="0" borderId="24" xfId="0" applyNumberFormat="1" applyFont="1" applyBorder="1" applyAlignment="1">
      <alignment horizontal="center"/>
    </xf>
    <xf numFmtId="0" fontId="16" fillId="0" borderId="0" xfId="0" applyFont="1" applyAlignment="1">
      <alignment wrapText="1"/>
    </xf>
    <xf numFmtId="0" fontId="0" fillId="0" borderId="0" xfId="0" applyFont="1"/>
    <xf numFmtId="0" fontId="36" fillId="0" borderId="18" xfId="0" applyFont="1" applyBorder="1"/>
    <xf numFmtId="9" fontId="36" fillId="0" borderId="0" xfId="3" applyFont="1" applyBorder="1"/>
    <xf numFmtId="9" fontId="36" fillId="0" borderId="30" xfId="3" applyFont="1" applyBorder="1"/>
    <xf numFmtId="9" fontId="36" fillId="0" borderId="27" xfId="3" applyFont="1" applyBorder="1"/>
    <xf numFmtId="9" fontId="36" fillId="0" borderId="29" xfId="3" applyFont="1" applyBorder="1"/>
    <xf numFmtId="179" fontId="36" fillId="0" borderId="18" xfId="0" applyNumberFormat="1" applyFont="1" applyBorder="1"/>
    <xf numFmtId="44" fontId="38" fillId="0" borderId="11" xfId="2" applyFont="1" applyFill="1" applyBorder="1" applyAlignment="1"/>
    <xf numFmtId="169" fontId="0" fillId="0" borderId="15" xfId="3" applyNumberFormat="1" applyFont="1" applyBorder="1"/>
    <xf numFmtId="9" fontId="38" fillId="0" borderId="13" xfId="3" applyFont="1" applyFill="1" applyBorder="1" applyAlignment="1">
      <alignment horizontal="right"/>
    </xf>
    <xf numFmtId="44" fontId="0" fillId="0" borderId="39" xfId="0" applyNumberFormat="1" applyBorder="1"/>
    <xf numFmtId="44" fontId="0" fillId="0" borderId="41" xfId="0" applyNumberFormat="1" applyBorder="1"/>
    <xf numFmtId="177" fontId="0" fillId="0" borderId="0" xfId="2" applyNumberFormat="1" applyFont="1" applyAlignment="1">
      <alignment horizontal="center"/>
    </xf>
    <xf numFmtId="0" fontId="0" fillId="34" borderId="0" xfId="0" applyFill="1" applyAlignment="1">
      <alignment wrapText="1"/>
    </xf>
    <xf numFmtId="0" fontId="14" fillId="34" borderId="0" xfId="0" applyFont="1" applyFill="1" applyAlignment="1">
      <alignment wrapText="1"/>
    </xf>
    <xf numFmtId="9" fontId="0" fillId="34" borderId="0" xfId="0" applyNumberFormat="1" applyFill="1" applyAlignment="1">
      <alignment wrapText="1"/>
    </xf>
    <xf numFmtId="9" fontId="20" fillId="34" borderId="0" xfId="0" applyNumberFormat="1" applyFont="1" applyFill="1" applyAlignment="1">
      <alignment wrapText="1"/>
    </xf>
    <xf numFmtId="9" fontId="0" fillId="34" borderId="0" xfId="0" applyNumberFormat="1" applyFill="1"/>
    <xf numFmtId="44" fontId="0" fillId="34" borderId="0" xfId="2" applyNumberFormat="1" applyFont="1" applyFill="1"/>
    <xf numFmtId="8" fontId="0" fillId="34" borderId="0" xfId="2" applyNumberFormat="1" applyFont="1" applyFill="1"/>
    <xf numFmtId="164" fontId="0" fillId="0" borderId="39" xfId="1" applyNumberFormat="1" applyFont="1" applyBorder="1"/>
    <xf numFmtId="0" fontId="33" fillId="37" borderId="25" xfId="0" quotePrefix="1" applyFont="1" applyFill="1" applyBorder="1"/>
    <xf numFmtId="0" fontId="0" fillId="36" borderId="0" xfId="0" applyFill="1" applyAlignment="1">
      <alignment wrapText="1"/>
    </xf>
    <xf numFmtId="0" fontId="0" fillId="40" borderId="0" xfId="0" applyFill="1" applyAlignment="1">
      <alignment wrapText="1"/>
    </xf>
    <xf numFmtId="0" fontId="0" fillId="40" borderId="0" xfId="0" applyFill="1"/>
    <xf numFmtId="177" fontId="0" fillId="40" borderId="0" xfId="2" applyNumberFormat="1" applyFont="1" applyFill="1" applyAlignment="1">
      <alignment wrapText="1"/>
    </xf>
    <xf numFmtId="10" fontId="0" fillId="34" borderId="36" xfId="0" applyNumberFormat="1" applyFill="1" applyBorder="1" applyAlignment="1">
      <alignment wrapText="1"/>
    </xf>
    <xf numFmtId="164" fontId="0" fillId="34" borderId="26" xfId="1" applyNumberFormat="1" applyFont="1" applyFill="1" applyBorder="1" applyAlignment="1">
      <alignment wrapText="1"/>
    </xf>
    <xf numFmtId="10" fontId="0" fillId="34" borderId="25" xfId="0" applyNumberFormat="1" applyFill="1" applyBorder="1" applyAlignment="1">
      <alignment wrapText="1"/>
    </xf>
    <xf numFmtId="0" fontId="0" fillId="34" borderId="26" xfId="0" applyFill="1" applyBorder="1" applyAlignment="1">
      <alignment wrapText="1"/>
    </xf>
    <xf numFmtId="2" fontId="27" fillId="34" borderId="30" xfId="0" applyNumberFormat="1" applyFont="1" applyFill="1" applyBorder="1"/>
    <xf numFmtId="9" fontId="27" fillId="34" borderId="31" xfId="3" applyFont="1" applyFill="1" applyBorder="1"/>
    <xf numFmtId="170" fontId="27" fillId="34" borderId="31" xfId="0" applyNumberFormat="1" applyFont="1" applyFill="1" applyBorder="1"/>
    <xf numFmtId="177" fontId="0" fillId="0" borderId="0" xfId="0" applyNumberFormat="1"/>
    <xf numFmtId="0" fontId="20" fillId="0" borderId="18" xfId="0" applyFont="1" applyFill="1" applyBorder="1"/>
    <xf numFmtId="0" fontId="20" fillId="0" borderId="0" xfId="0" applyFont="1" applyFill="1"/>
    <xf numFmtId="44" fontId="20" fillId="0" borderId="0" xfId="2" applyFont="1" applyFill="1"/>
    <xf numFmtId="44" fontId="0" fillId="0" borderId="0" xfId="2" applyFont="1" applyFill="1"/>
    <xf numFmtId="0" fontId="27" fillId="34" borderId="28" xfId="0" applyFont="1" applyFill="1" applyBorder="1"/>
    <xf numFmtId="0" fontId="27" fillId="34" borderId="31" xfId="0" applyFont="1" applyFill="1" applyBorder="1"/>
    <xf numFmtId="177" fontId="0" fillId="41" borderId="0" xfId="2" applyNumberFormat="1" applyFont="1" applyFill="1" applyAlignment="1">
      <alignment wrapText="1"/>
    </xf>
    <xf numFmtId="0" fontId="0" fillId="41" borderId="0" xfId="0" applyFill="1"/>
    <xf numFmtId="0" fontId="0" fillId="41" borderId="0" xfId="0" applyFill="1" applyAlignment="1">
      <alignment wrapText="1"/>
    </xf>
    <xf numFmtId="10" fontId="0" fillId="0" borderId="0" xfId="3" applyNumberFormat="1" applyFont="1" applyFill="1"/>
    <xf numFmtId="167" fontId="39" fillId="0" borderId="0" xfId="0" applyNumberFormat="1" applyFont="1" applyFill="1" applyBorder="1" applyAlignment="1" applyProtection="1">
      <alignment horizontal="right" vertical="center" wrapText="1"/>
      <protection locked="0"/>
    </xf>
    <xf numFmtId="0" fontId="0" fillId="0" borderId="0" xfId="0"/>
    <xf numFmtId="10" fontId="0" fillId="0" borderId="0" xfId="3" applyNumberFormat="1" applyFont="1"/>
    <xf numFmtId="0" fontId="0" fillId="0" borderId="0" xfId="0" quotePrefix="1"/>
    <xf numFmtId="1" fontId="0" fillId="0" borderId="0" xfId="0" applyNumberFormat="1"/>
    <xf numFmtId="175" fontId="0" fillId="0" borderId="0" xfId="0" applyNumberFormat="1"/>
    <xf numFmtId="177" fontId="0" fillId="0" borderId="0" xfId="2" applyNumberFormat="1" applyFont="1"/>
    <xf numFmtId="9" fontId="0" fillId="0" borderId="0" xfId="0" applyNumberFormat="1"/>
    <xf numFmtId="9" fontId="0" fillId="0" borderId="0" xfId="0" applyNumberFormat="1" applyAlignment="1">
      <alignment wrapText="1"/>
    </xf>
    <xf numFmtId="44" fontId="0" fillId="0" borderId="0" xfId="0" applyNumberFormat="1"/>
    <xf numFmtId="0" fontId="3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8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0" xfId="0" applyFill="1" applyBorder="1" applyAlignment="1"/>
    <xf numFmtId="0" fontId="0" fillId="0" borderId="0" xfId="0" applyAlignment="1"/>
    <xf numFmtId="0" fontId="41" fillId="0" borderId="0" xfId="1270"/>
    <xf numFmtId="0" fontId="0" fillId="35" borderId="0" xfId="0" applyFill="1" applyAlignment="1">
      <alignment wrapText="1"/>
    </xf>
    <xf numFmtId="4" fontId="14" fillId="0" borderId="0" xfId="0" applyNumberFormat="1" applyFont="1"/>
  </cellXfs>
  <cellStyles count="1271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Body: normal cell" xfId="1268"/>
    <cellStyle name="Calculation" xfId="14" builtinId="22" customBuiltin="1"/>
    <cellStyle name="Check Cell" xfId="16" builtinId="23" customBuiltin="1"/>
    <cellStyle name="Comma" xfId="1" builtinId="3"/>
    <cellStyle name="Comma 2" xfId="47"/>
    <cellStyle name="Comma 3" xfId="1095"/>
    <cellStyle name="Comma 4" xfId="1096"/>
    <cellStyle name="Comma 5" xfId="1097"/>
    <cellStyle name="Comma 6" xfId="1098"/>
    <cellStyle name="Comma 7" xfId="1099"/>
    <cellStyle name="Comma 8" xfId="46"/>
    <cellStyle name="Currency" xfId="2" builtinId="4"/>
    <cellStyle name="Explanatory Text" xfId="19" builtinId="53" customBuilti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nt: Calibri, 9pt regular" xfId="1265"/>
    <cellStyle name="Good" xfId="9" builtinId="26" customBuiltin="1"/>
    <cellStyle name="Header: bottom row" xfId="1266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10" xfId="48"/>
    <cellStyle name="Normal 11" xfId="49"/>
    <cellStyle name="Normal 12" xfId="50"/>
    <cellStyle name="Normal 13" xfId="51"/>
    <cellStyle name="Normal 14" xfId="81"/>
    <cellStyle name="Normal 14 10" xfId="98"/>
    <cellStyle name="Normal 14 10 10" xfId="906"/>
    <cellStyle name="Normal 14 10 11" xfId="954"/>
    <cellStyle name="Normal 14 10 12" xfId="1025"/>
    <cellStyle name="Normal 14 10 2" xfId="188"/>
    <cellStyle name="Normal 14 10 3" xfId="273"/>
    <cellStyle name="Normal 14 10 4" xfId="347"/>
    <cellStyle name="Normal 14 10 5" xfId="418"/>
    <cellStyle name="Normal 14 10 6" xfId="605"/>
    <cellStyle name="Normal 14 10 7" xfId="690"/>
    <cellStyle name="Normal 14 10 8" xfId="764"/>
    <cellStyle name="Normal 14 10 9" xfId="835"/>
    <cellStyle name="Normal 14 10_Hawaii" xfId="1101"/>
    <cellStyle name="Normal 14 100" xfId="836"/>
    <cellStyle name="Normal 14 101" xfId="907"/>
    <cellStyle name="Normal 14 102" xfId="953"/>
    <cellStyle name="Normal 14 103" xfId="1024"/>
    <cellStyle name="Normal 14 11" xfId="100"/>
    <cellStyle name="Normal 14 11 10" xfId="903"/>
    <cellStyle name="Normal 14 11 11" xfId="955"/>
    <cellStyle name="Normal 14 11 12" xfId="1026"/>
    <cellStyle name="Normal 14 11 2" xfId="189"/>
    <cellStyle name="Normal 14 11 3" xfId="270"/>
    <cellStyle name="Normal 14 11 4" xfId="344"/>
    <cellStyle name="Normal 14 11 5" xfId="415"/>
    <cellStyle name="Normal 14 11 6" xfId="606"/>
    <cellStyle name="Normal 14 11 7" xfId="687"/>
    <cellStyle name="Normal 14 11 8" xfId="761"/>
    <cellStyle name="Normal 14 11 9" xfId="832"/>
    <cellStyle name="Normal 14 11_Hawaii" xfId="1102"/>
    <cellStyle name="Normal 14 12" xfId="102"/>
    <cellStyle name="Normal 14 12 10" xfId="900"/>
    <cellStyle name="Normal 14 12 11" xfId="956"/>
    <cellStyle name="Normal 14 12 12" xfId="1027"/>
    <cellStyle name="Normal 14 12 2" xfId="190"/>
    <cellStyle name="Normal 14 12 3" xfId="269"/>
    <cellStyle name="Normal 14 12 4" xfId="341"/>
    <cellStyle name="Normal 14 12 5" xfId="412"/>
    <cellStyle name="Normal 14 12 6" xfId="607"/>
    <cellStyle name="Normal 14 12 7" xfId="686"/>
    <cellStyle name="Normal 14 12 8" xfId="758"/>
    <cellStyle name="Normal 14 12 9" xfId="829"/>
    <cellStyle name="Normal 14 12_Hawaii" xfId="1103"/>
    <cellStyle name="Normal 14 13" xfId="104"/>
    <cellStyle name="Normal 14 13 10" xfId="899"/>
    <cellStyle name="Normal 14 13 11" xfId="957"/>
    <cellStyle name="Normal 14 13 12" xfId="1028"/>
    <cellStyle name="Normal 14 13 2" xfId="191"/>
    <cellStyle name="Normal 14 13 3" xfId="268"/>
    <cellStyle name="Normal 14 13 4" xfId="340"/>
    <cellStyle name="Normal 14 13 5" xfId="411"/>
    <cellStyle name="Normal 14 13 6" xfId="608"/>
    <cellStyle name="Normal 14 13 7" xfId="685"/>
    <cellStyle name="Normal 14 13 8" xfId="757"/>
    <cellStyle name="Normal 14 13 9" xfId="828"/>
    <cellStyle name="Normal 14 13_Hawaii" xfId="1104"/>
    <cellStyle name="Normal 14 14" xfId="106"/>
    <cellStyle name="Normal 14 14 10" xfId="898"/>
    <cellStyle name="Normal 14 14 11" xfId="958"/>
    <cellStyle name="Normal 14 14 12" xfId="1029"/>
    <cellStyle name="Normal 14 14 2" xfId="192"/>
    <cellStyle name="Normal 14 14 3" xfId="267"/>
    <cellStyle name="Normal 14 14 4" xfId="339"/>
    <cellStyle name="Normal 14 14 5" xfId="410"/>
    <cellStyle name="Normal 14 14 6" xfId="609"/>
    <cellStyle name="Normal 14 14 7" xfId="684"/>
    <cellStyle name="Normal 14 14 8" xfId="756"/>
    <cellStyle name="Normal 14 14 9" xfId="827"/>
    <cellStyle name="Normal 14 14_Hawaii" xfId="1105"/>
    <cellStyle name="Normal 14 15" xfId="108"/>
    <cellStyle name="Normal 14 15 10" xfId="897"/>
    <cellStyle name="Normal 14 15 11" xfId="959"/>
    <cellStyle name="Normal 14 15 12" xfId="1030"/>
    <cellStyle name="Normal 14 15 2" xfId="193"/>
    <cellStyle name="Normal 14 15 3" xfId="266"/>
    <cellStyle name="Normal 14 15 4" xfId="338"/>
    <cellStyle name="Normal 14 15 5" xfId="409"/>
    <cellStyle name="Normal 14 15 6" xfId="610"/>
    <cellStyle name="Normal 14 15 7" xfId="683"/>
    <cellStyle name="Normal 14 15 8" xfId="755"/>
    <cellStyle name="Normal 14 15 9" xfId="826"/>
    <cellStyle name="Normal 14 15_Hawaii" xfId="1106"/>
    <cellStyle name="Normal 14 16" xfId="110"/>
    <cellStyle name="Normal 14 16 10" xfId="896"/>
    <cellStyle name="Normal 14 16 11" xfId="960"/>
    <cellStyle name="Normal 14 16 12" xfId="1031"/>
    <cellStyle name="Normal 14 16 2" xfId="194"/>
    <cellStyle name="Normal 14 16 3" xfId="265"/>
    <cellStyle name="Normal 14 16 4" xfId="337"/>
    <cellStyle name="Normal 14 16 5" xfId="408"/>
    <cellStyle name="Normal 14 16 6" xfId="611"/>
    <cellStyle name="Normal 14 16 7" xfId="682"/>
    <cellStyle name="Normal 14 16 8" xfId="754"/>
    <cellStyle name="Normal 14 16 9" xfId="825"/>
    <cellStyle name="Normal 14 16_Hawaii" xfId="1107"/>
    <cellStyle name="Normal 14 17" xfId="112"/>
    <cellStyle name="Normal 14 17 10" xfId="895"/>
    <cellStyle name="Normal 14 17 11" xfId="961"/>
    <cellStyle name="Normal 14 17 12" xfId="1032"/>
    <cellStyle name="Normal 14 17 2" xfId="195"/>
    <cellStyle name="Normal 14 17 3" xfId="264"/>
    <cellStyle name="Normal 14 17 4" xfId="336"/>
    <cellStyle name="Normal 14 17 5" xfId="407"/>
    <cellStyle name="Normal 14 17 6" xfId="612"/>
    <cellStyle name="Normal 14 17 7" xfId="681"/>
    <cellStyle name="Normal 14 17 8" xfId="753"/>
    <cellStyle name="Normal 14 17 9" xfId="824"/>
    <cellStyle name="Normal 14 17_Hawaii" xfId="1108"/>
    <cellStyle name="Normal 14 18" xfId="114"/>
    <cellStyle name="Normal 14 18 10" xfId="894"/>
    <cellStyle name="Normal 14 18 11" xfId="962"/>
    <cellStyle name="Normal 14 18 12" xfId="1033"/>
    <cellStyle name="Normal 14 18 2" xfId="196"/>
    <cellStyle name="Normal 14 18 3" xfId="263"/>
    <cellStyle name="Normal 14 18 4" xfId="335"/>
    <cellStyle name="Normal 14 18 5" xfId="406"/>
    <cellStyle name="Normal 14 18 6" xfId="613"/>
    <cellStyle name="Normal 14 18 7" xfId="680"/>
    <cellStyle name="Normal 14 18 8" xfId="752"/>
    <cellStyle name="Normal 14 18 9" xfId="823"/>
    <cellStyle name="Normal 14 18_Hawaii" xfId="1109"/>
    <cellStyle name="Normal 14 19" xfId="116"/>
    <cellStyle name="Normal 14 19 10" xfId="893"/>
    <cellStyle name="Normal 14 19 11" xfId="963"/>
    <cellStyle name="Normal 14 19 12" xfId="1034"/>
    <cellStyle name="Normal 14 19 2" xfId="197"/>
    <cellStyle name="Normal 14 19 3" xfId="262"/>
    <cellStyle name="Normal 14 19 4" xfId="334"/>
    <cellStyle name="Normal 14 19 5" xfId="405"/>
    <cellStyle name="Normal 14 19 6" xfId="614"/>
    <cellStyle name="Normal 14 19 7" xfId="679"/>
    <cellStyle name="Normal 14 19 8" xfId="751"/>
    <cellStyle name="Normal 14 19 9" xfId="822"/>
    <cellStyle name="Normal 14 19_Hawaii" xfId="1110"/>
    <cellStyle name="Normal 14 2" xfId="88"/>
    <cellStyle name="Normal 14 2 10" xfId="892"/>
    <cellStyle name="Normal 14 2 11" xfId="964"/>
    <cellStyle name="Normal 14 2 12" xfId="1035"/>
    <cellStyle name="Normal 14 2 2" xfId="198"/>
    <cellStyle name="Normal 14 2 3" xfId="261"/>
    <cellStyle name="Normal 14 2 4" xfId="333"/>
    <cellStyle name="Normal 14 2 5" xfId="404"/>
    <cellStyle name="Normal 14 2 6" xfId="615"/>
    <cellStyle name="Normal 14 2 7" xfId="678"/>
    <cellStyle name="Normal 14 2 8" xfId="750"/>
    <cellStyle name="Normal 14 2 9" xfId="821"/>
    <cellStyle name="Normal 14 2_Hawaii" xfId="1111"/>
    <cellStyle name="Normal 14 20" xfId="118"/>
    <cellStyle name="Normal 14 20 10" xfId="891"/>
    <cellStyle name="Normal 14 20 11" xfId="965"/>
    <cellStyle name="Normal 14 20 12" xfId="1036"/>
    <cellStyle name="Normal 14 20 2" xfId="199"/>
    <cellStyle name="Normal 14 20 3" xfId="260"/>
    <cellStyle name="Normal 14 20 4" xfId="332"/>
    <cellStyle name="Normal 14 20 5" xfId="403"/>
    <cellStyle name="Normal 14 20 6" xfId="616"/>
    <cellStyle name="Normal 14 20 7" xfId="677"/>
    <cellStyle name="Normal 14 20 8" xfId="749"/>
    <cellStyle name="Normal 14 20 9" xfId="820"/>
    <cellStyle name="Normal 14 20_Hawaii" xfId="1112"/>
    <cellStyle name="Normal 14 21" xfId="120"/>
    <cellStyle name="Normal 14 21 10" xfId="890"/>
    <cellStyle name="Normal 14 21 11" xfId="966"/>
    <cellStyle name="Normal 14 21 12" xfId="1037"/>
    <cellStyle name="Normal 14 21 2" xfId="200"/>
    <cellStyle name="Normal 14 21 3" xfId="259"/>
    <cellStyle name="Normal 14 21 4" xfId="331"/>
    <cellStyle name="Normal 14 21 5" xfId="402"/>
    <cellStyle name="Normal 14 21 6" xfId="617"/>
    <cellStyle name="Normal 14 21 7" xfId="676"/>
    <cellStyle name="Normal 14 21 8" xfId="748"/>
    <cellStyle name="Normal 14 21 9" xfId="819"/>
    <cellStyle name="Normal 14 21_Hawaii" xfId="1113"/>
    <cellStyle name="Normal 14 22" xfId="122"/>
    <cellStyle name="Normal 14 22 10" xfId="889"/>
    <cellStyle name="Normal 14 22 11" xfId="967"/>
    <cellStyle name="Normal 14 22 12" xfId="1038"/>
    <cellStyle name="Normal 14 22 2" xfId="201"/>
    <cellStyle name="Normal 14 22 3" xfId="258"/>
    <cellStyle name="Normal 14 22 4" xfId="330"/>
    <cellStyle name="Normal 14 22 5" xfId="401"/>
    <cellStyle name="Normal 14 22 6" xfId="618"/>
    <cellStyle name="Normal 14 22 7" xfId="675"/>
    <cellStyle name="Normal 14 22 8" xfId="747"/>
    <cellStyle name="Normal 14 22 9" xfId="818"/>
    <cellStyle name="Normal 14 22_Hawaii" xfId="1114"/>
    <cellStyle name="Normal 14 23" xfId="124"/>
    <cellStyle name="Normal 14 23 10" xfId="888"/>
    <cellStyle name="Normal 14 23 11" xfId="968"/>
    <cellStyle name="Normal 14 23 12" xfId="1039"/>
    <cellStyle name="Normal 14 23 2" xfId="202"/>
    <cellStyle name="Normal 14 23 3" xfId="257"/>
    <cellStyle name="Normal 14 23 4" xfId="329"/>
    <cellStyle name="Normal 14 23 5" xfId="400"/>
    <cellStyle name="Normal 14 23 6" xfId="619"/>
    <cellStyle name="Normal 14 23 7" xfId="674"/>
    <cellStyle name="Normal 14 23 8" xfId="746"/>
    <cellStyle name="Normal 14 23 9" xfId="817"/>
    <cellStyle name="Normal 14 23_Hawaii" xfId="1115"/>
    <cellStyle name="Normal 14 24" xfId="126"/>
    <cellStyle name="Normal 14 24 10" xfId="887"/>
    <cellStyle name="Normal 14 24 11" xfId="969"/>
    <cellStyle name="Normal 14 24 12" xfId="1040"/>
    <cellStyle name="Normal 14 24 2" xfId="203"/>
    <cellStyle name="Normal 14 24 3" xfId="256"/>
    <cellStyle name="Normal 14 24 4" xfId="328"/>
    <cellStyle name="Normal 14 24 5" xfId="399"/>
    <cellStyle name="Normal 14 24 6" xfId="620"/>
    <cellStyle name="Normal 14 24 7" xfId="673"/>
    <cellStyle name="Normal 14 24 8" xfId="745"/>
    <cellStyle name="Normal 14 24 9" xfId="816"/>
    <cellStyle name="Normal 14 24_Hawaii" xfId="1116"/>
    <cellStyle name="Normal 14 25" xfId="128"/>
    <cellStyle name="Normal 14 25 10" xfId="886"/>
    <cellStyle name="Normal 14 25 11" xfId="970"/>
    <cellStyle name="Normal 14 25 12" xfId="1041"/>
    <cellStyle name="Normal 14 25 2" xfId="204"/>
    <cellStyle name="Normal 14 25 3" xfId="255"/>
    <cellStyle name="Normal 14 25 4" xfId="327"/>
    <cellStyle name="Normal 14 25 5" xfId="398"/>
    <cellStyle name="Normal 14 25 6" xfId="621"/>
    <cellStyle name="Normal 14 25 7" xfId="672"/>
    <cellStyle name="Normal 14 25 8" xfId="744"/>
    <cellStyle name="Normal 14 25 9" xfId="815"/>
    <cellStyle name="Normal 14 25_Hawaii" xfId="1117"/>
    <cellStyle name="Normal 14 26" xfId="130"/>
    <cellStyle name="Normal 14 26 10" xfId="885"/>
    <cellStyle name="Normal 14 26 11" xfId="971"/>
    <cellStyle name="Normal 14 26 12" xfId="1042"/>
    <cellStyle name="Normal 14 26 2" xfId="205"/>
    <cellStyle name="Normal 14 26 3" xfId="221"/>
    <cellStyle name="Normal 14 26 4" xfId="326"/>
    <cellStyle name="Normal 14 26 5" xfId="397"/>
    <cellStyle name="Normal 14 26 6" xfId="622"/>
    <cellStyle name="Normal 14 26 7" xfId="638"/>
    <cellStyle name="Normal 14 26 8" xfId="743"/>
    <cellStyle name="Normal 14 26 9" xfId="814"/>
    <cellStyle name="Normal 14 26_Hawaii" xfId="1118"/>
    <cellStyle name="Normal 14 27" xfId="132"/>
    <cellStyle name="Normal 14 27 10" xfId="851"/>
    <cellStyle name="Normal 14 27 11" xfId="972"/>
    <cellStyle name="Normal 14 27 12" xfId="1043"/>
    <cellStyle name="Normal 14 27 2" xfId="206"/>
    <cellStyle name="Normal 14 27 3" xfId="186"/>
    <cellStyle name="Normal 14 27 4" xfId="292"/>
    <cellStyle name="Normal 14 27 5" xfId="363"/>
    <cellStyle name="Normal 14 27 6" xfId="623"/>
    <cellStyle name="Normal 14 27 7" xfId="603"/>
    <cellStyle name="Normal 14 27 8" xfId="709"/>
    <cellStyle name="Normal 14 27 9" xfId="780"/>
    <cellStyle name="Normal 14 27_Hawaii" xfId="1119"/>
    <cellStyle name="Normal 14 28" xfId="140"/>
    <cellStyle name="Normal 14 28 10" xfId="837"/>
    <cellStyle name="Normal 14 28 11" xfId="973"/>
    <cellStyle name="Normal 14 28 12" xfId="1044"/>
    <cellStyle name="Normal 14 28 2" xfId="207"/>
    <cellStyle name="Normal 14 28 3" xfId="185"/>
    <cellStyle name="Normal 14 28 4" xfId="277"/>
    <cellStyle name="Normal 14 28 5" xfId="349"/>
    <cellStyle name="Normal 14 28 6" xfId="624"/>
    <cellStyle name="Normal 14 28 7" xfId="602"/>
    <cellStyle name="Normal 14 28 8" xfId="694"/>
    <cellStyle name="Normal 14 28 9" xfId="766"/>
    <cellStyle name="Normal 14 28_Hawaii" xfId="1120"/>
    <cellStyle name="Normal 14 29" xfId="143"/>
    <cellStyle name="Normal 14 29 10" xfId="838"/>
    <cellStyle name="Normal 14 29 11" xfId="974"/>
    <cellStyle name="Normal 14 29 12" xfId="1045"/>
    <cellStyle name="Normal 14 29 2" xfId="208"/>
    <cellStyle name="Normal 14 29 3" xfId="184"/>
    <cellStyle name="Normal 14 29 4" xfId="278"/>
    <cellStyle name="Normal 14 29 5" xfId="350"/>
    <cellStyle name="Normal 14 29 6" xfId="625"/>
    <cellStyle name="Normal 14 29 7" xfId="601"/>
    <cellStyle name="Normal 14 29 8" xfId="695"/>
    <cellStyle name="Normal 14 29 9" xfId="767"/>
    <cellStyle name="Normal 14 29_Hawaii" xfId="1121"/>
    <cellStyle name="Normal 14 3" xfId="91"/>
    <cellStyle name="Normal 14 3 10" xfId="839"/>
    <cellStyle name="Normal 14 3 11" xfId="975"/>
    <cellStyle name="Normal 14 3 12" xfId="1046"/>
    <cellStyle name="Normal 14 3 2" xfId="209"/>
    <cellStyle name="Normal 14 3 3" xfId="183"/>
    <cellStyle name="Normal 14 3 4" xfId="279"/>
    <cellStyle name="Normal 14 3 5" xfId="351"/>
    <cellStyle name="Normal 14 3 6" xfId="626"/>
    <cellStyle name="Normal 14 3 7" xfId="600"/>
    <cellStyle name="Normal 14 3 8" xfId="696"/>
    <cellStyle name="Normal 14 3 9" xfId="768"/>
    <cellStyle name="Normal 14 3_Hawaii" xfId="1122"/>
    <cellStyle name="Normal 14 30" xfId="138"/>
    <cellStyle name="Normal 14 30 10" xfId="840"/>
    <cellStyle name="Normal 14 30 11" xfId="976"/>
    <cellStyle name="Normal 14 30 12" xfId="1047"/>
    <cellStyle name="Normal 14 30 2" xfId="210"/>
    <cellStyle name="Normal 14 30 3" xfId="181"/>
    <cellStyle name="Normal 14 30 4" xfId="280"/>
    <cellStyle name="Normal 14 30 5" xfId="352"/>
    <cellStyle name="Normal 14 30 6" xfId="627"/>
    <cellStyle name="Normal 14 30 7" xfId="598"/>
    <cellStyle name="Normal 14 30 8" xfId="697"/>
    <cellStyle name="Normal 14 30 9" xfId="769"/>
    <cellStyle name="Normal 14 30_Hawaii" xfId="1123"/>
    <cellStyle name="Normal 14 31" xfId="145"/>
    <cellStyle name="Normal 14 31 10" xfId="842"/>
    <cellStyle name="Normal 14 31 11" xfId="977"/>
    <cellStyle name="Normal 14 31 12" xfId="1048"/>
    <cellStyle name="Normal 14 31 2" xfId="211"/>
    <cellStyle name="Normal 14 31 3" xfId="182"/>
    <cellStyle name="Normal 14 31 4" xfId="282"/>
    <cellStyle name="Normal 14 31 5" xfId="354"/>
    <cellStyle name="Normal 14 31 6" xfId="628"/>
    <cellStyle name="Normal 14 31 7" xfId="599"/>
    <cellStyle name="Normal 14 31 8" xfId="699"/>
    <cellStyle name="Normal 14 31 9" xfId="771"/>
    <cellStyle name="Normal 14 31_Hawaii" xfId="1124"/>
    <cellStyle name="Normal 14 32" xfId="135"/>
    <cellStyle name="Normal 14 32 10" xfId="841"/>
    <cellStyle name="Normal 14 32 11" xfId="978"/>
    <cellStyle name="Normal 14 32 12" xfId="1049"/>
    <cellStyle name="Normal 14 32 2" xfId="212"/>
    <cellStyle name="Normal 14 32 3" xfId="283"/>
    <cellStyle name="Normal 14 32 4" xfId="281"/>
    <cellStyle name="Normal 14 32 5" xfId="353"/>
    <cellStyle name="Normal 14 32 6" xfId="629"/>
    <cellStyle name="Normal 14 32 7" xfId="700"/>
    <cellStyle name="Normal 14 32 8" xfId="698"/>
    <cellStyle name="Normal 14 32 9" xfId="770"/>
    <cellStyle name="Normal 14 32_Hawaii" xfId="1125"/>
    <cellStyle name="Normal 14 33" xfId="147"/>
    <cellStyle name="Normal 14 33 10" xfId="908"/>
    <cellStyle name="Normal 14 33 11" xfId="979"/>
    <cellStyle name="Normal 14 33 12" xfId="1050"/>
    <cellStyle name="Normal 14 33 2" xfId="213"/>
    <cellStyle name="Normal 14 33 3" xfId="284"/>
    <cellStyle name="Normal 14 33 4" xfId="355"/>
    <cellStyle name="Normal 14 33 5" xfId="420"/>
    <cellStyle name="Normal 14 33 6" xfId="630"/>
    <cellStyle name="Normal 14 33 7" xfId="701"/>
    <cellStyle name="Normal 14 33 8" xfId="772"/>
    <cellStyle name="Normal 14 33 9" xfId="843"/>
    <cellStyle name="Normal 14 33_Hawaii" xfId="1126"/>
    <cellStyle name="Normal 14 34" xfId="136"/>
    <cellStyle name="Normal 14 34 10" xfId="909"/>
    <cellStyle name="Normal 14 34 11" xfId="980"/>
    <cellStyle name="Normal 14 34 12" xfId="1051"/>
    <cellStyle name="Normal 14 34 2" xfId="214"/>
    <cellStyle name="Normal 14 34 3" xfId="285"/>
    <cellStyle name="Normal 14 34 4" xfId="356"/>
    <cellStyle name="Normal 14 34 5" xfId="421"/>
    <cellStyle name="Normal 14 34 6" xfId="631"/>
    <cellStyle name="Normal 14 34 7" xfId="702"/>
    <cellStyle name="Normal 14 34 8" xfId="773"/>
    <cellStyle name="Normal 14 34 9" xfId="844"/>
    <cellStyle name="Normal 14 34_Hawaii" xfId="1127"/>
    <cellStyle name="Normal 14 35" xfId="153"/>
    <cellStyle name="Normal 14 36" xfId="157"/>
    <cellStyle name="Normal 14 37" xfId="150"/>
    <cellStyle name="Normal 14 38" xfId="161"/>
    <cellStyle name="Normal 14 39" xfId="165"/>
    <cellStyle name="Normal 14 4" xfId="86"/>
    <cellStyle name="Normal 14 4 10" xfId="910"/>
    <cellStyle name="Normal 14 4 11" xfId="981"/>
    <cellStyle name="Normal 14 4 12" xfId="1052"/>
    <cellStyle name="Normal 14 4 2" xfId="215"/>
    <cellStyle name="Normal 14 4 3" xfId="286"/>
    <cellStyle name="Normal 14 4 4" xfId="357"/>
    <cellStyle name="Normal 14 4 5" xfId="422"/>
    <cellStyle name="Normal 14 4 6" xfId="632"/>
    <cellStyle name="Normal 14 4 7" xfId="703"/>
    <cellStyle name="Normal 14 4 8" xfId="774"/>
    <cellStyle name="Normal 14 4 9" xfId="845"/>
    <cellStyle name="Normal 14 4_Hawaii" xfId="1128"/>
    <cellStyle name="Normal 14 40" xfId="163"/>
    <cellStyle name="Normal 14 41" xfId="172"/>
    <cellStyle name="Normal 14 42" xfId="176"/>
    <cellStyle name="Normal 14 43" xfId="170"/>
    <cellStyle name="Normal 14 44" xfId="178"/>
    <cellStyle name="Normal 14 45" xfId="168"/>
    <cellStyle name="Normal 14 46" xfId="180"/>
    <cellStyle name="Normal 14 47" xfId="167"/>
    <cellStyle name="Normal 14 48" xfId="187"/>
    <cellStyle name="Normal 14 49" xfId="276"/>
    <cellStyle name="Normal 14 5" xfId="93"/>
    <cellStyle name="Normal 14 5 10" xfId="911"/>
    <cellStyle name="Normal 14 5 11" xfId="982"/>
    <cellStyle name="Normal 14 5 12" xfId="1053"/>
    <cellStyle name="Normal 14 5 2" xfId="216"/>
    <cellStyle name="Normal 14 5 3" xfId="287"/>
    <cellStyle name="Normal 14 5 4" xfId="358"/>
    <cellStyle name="Normal 14 5 5" xfId="423"/>
    <cellStyle name="Normal 14 5 6" xfId="633"/>
    <cellStyle name="Normal 14 5 7" xfId="704"/>
    <cellStyle name="Normal 14 5 8" xfId="775"/>
    <cellStyle name="Normal 14 5 9" xfId="846"/>
    <cellStyle name="Normal 14 5_Hawaii" xfId="1129"/>
    <cellStyle name="Normal 14 50" xfId="348"/>
    <cellStyle name="Normal 14 51" xfId="419"/>
    <cellStyle name="Normal 14 52" xfId="476"/>
    <cellStyle name="Normal 14 53" xfId="467"/>
    <cellStyle name="Normal 14 54" xfId="479"/>
    <cellStyle name="Normal 14 55" xfId="464"/>
    <cellStyle name="Normal 14 56" xfId="481"/>
    <cellStyle name="Normal 14 57" xfId="462"/>
    <cellStyle name="Normal 14 58" xfId="484"/>
    <cellStyle name="Normal 14 59" xfId="487"/>
    <cellStyle name="Normal 14 6" xfId="84"/>
    <cellStyle name="Normal 14 6 10" xfId="912"/>
    <cellStyle name="Normal 14 6 11" xfId="983"/>
    <cellStyle name="Normal 14 6 12" xfId="1054"/>
    <cellStyle name="Normal 14 6 2" xfId="217"/>
    <cellStyle name="Normal 14 6 3" xfId="288"/>
    <cellStyle name="Normal 14 6 4" xfId="359"/>
    <cellStyle name="Normal 14 6 5" xfId="424"/>
    <cellStyle name="Normal 14 6 6" xfId="634"/>
    <cellStyle name="Normal 14 6 7" xfId="705"/>
    <cellStyle name="Normal 14 6 8" xfId="776"/>
    <cellStyle name="Normal 14 6 9" xfId="847"/>
    <cellStyle name="Normal 14 6_Hawaii" xfId="1130"/>
    <cellStyle name="Normal 14 60" xfId="490"/>
    <cellStyle name="Normal 14 61" xfId="493"/>
    <cellStyle name="Normal 14 62" xfId="496"/>
    <cellStyle name="Normal 14 63" xfId="499"/>
    <cellStyle name="Normal 14 64" xfId="502"/>
    <cellStyle name="Normal 14 65" xfId="505"/>
    <cellStyle name="Normal 14 66" xfId="508"/>
    <cellStyle name="Normal 14 67" xfId="511"/>
    <cellStyle name="Normal 14 68" xfId="514"/>
    <cellStyle name="Normal 14 69" xfId="517"/>
    <cellStyle name="Normal 14 7" xfId="95"/>
    <cellStyle name="Normal 14 7 10" xfId="913"/>
    <cellStyle name="Normal 14 7 11" xfId="984"/>
    <cellStyle name="Normal 14 7 12" xfId="1055"/>
    <cellStyle name="Normal 14 7 2" xfId="218"/>
    <cellStyle name="Normal 14 7 3" xfId="289"/>
    <cellStyle name="Normal 14 7 4" xfId="360"/>
    <cellStyle name="Normal 14 7 5" xfId="425"/>
    <cellStyle name="Normal 14 7 6" xfId="635"/>
    <cellStyle name="Normal 14 7 7" xfId="706"/>
    <cellStyle name="Normal 14 7 8" xfId="777"/>
    <cellStyle name="Normal 14 7 9" xfId="848"/>
    <cellStyle name="Normal 14 7_Hawaii" xfId="1131"/>
    <cellStyle name="Normal 14 70" xfId="520"/>
    <cellStyle name="Normal 14 71" xfId="523"/>
    <cellStyle name="Normal 14 72" xfId="526"/>
    <cellStyle name="Normal 14 73" xfId="529"/>
    <cellStyle name="Normal 14 74" xfId="532"/>
    <cellStyle name="Normal 14 75" xfId="535"/>
    <cellStyle name="Normal 14 76" xfId="538"/>
    <cellStyle name="Normal 14 77" xfId="541"/>
    <cellStyle name="Normal 14 78" xfId="544"/>
    <cellStyle name="Normal 14 79" xfId="547"/>
    <cellStyle name="Normal 14 8" xfId="83"/>
    <cellStyle name="Normal 14 8 10" xfId="914"/>
    <cellStyle name="Normal 14 8 11" xfId="985"/>
    <cellStyle name="Normal 14 8 12" xfId="1056"/>
    <cellStyle name="Normal 14 8 2" xfId="219"/>
    <cellStyle name="Normal 14 8 3" xfId="290"/>
    <cellStyle name="Normal 14 8 4" xfId="361"/>
    <cellStyle name="Normal 14 8 5" xfId="426"/>
    <cellStyle name="Normal 14 8 6" xfId="636"/>
    <cellStyle name="Normal 14 8 7" xfId="707"/>
    <cellStyle name="Normal 14 8 8" xfId="778"/>
    <cellStyle name="Normal 14 8 9" xfId="849"/>
    <cellStyle name="Normal 14 8_Hawaii" xfId="1132"/>
    <cellStyle name="Normal 14 80" xfId="550"/>
    <cellStyle name="Normal 14 81" xfId="553"/>
    <cellStyle name="Normal 14 82" xfId="556"/>
    <cellStyle name="Normal 14 83" xfId="559"/>
    <cellStyle name="Normal 14 84" xfId="562"/>
    <cellStyle name="Normal 14 85" xfId="565"/>
    <cellStyle name="Normal 14 86" xfId="568"/>
    <cellStyle name="Normal 14 87" xfId="571"/>
    <cellStyle name="Normal 14 88" xfId="574"/>
    <cellStyle name="Normal 14 89" xfId="577"/>
    <cellStyle name="Normal 14 9" xfId="96"/>
    <cellStyle name="Normal 14 9 10" xfId="915"/>
    <cellStyle name="Normal 14 9 11" xfId="986"/>
    <cellStyle name="Normal 14 9 12" xfId="1057"/>
    <cellStyle name="Normal 14 9 2" xfId="220"/>
    <cellStyle name="Normal 14 9 3" xfId="291"/>
    <cellStyle name="Normal 14 9 4" xfId="362"/>
    <cellStyle name="Normal 14 9 5" xfId="427"/>
    <cellStyle name="Normal 14 9 6" xfId="637"/>
    <cellStyle name="Normal 14 9 7" xfId="708"/>
    <cellStyle name="Normal 14 9 8" xfId="779"/>
    <cellStyle name="Normal 14 9 9" xfId="850"/>
    <cellStyle name="Normal 14 9_Hawaii" xfId="1133"/>
    <cellStyle name="Normal 14 90" xfId="580"/>
    <cellStyle name="Normal 14 91" xfId="583"/>
    <cellStyle name="Normal 14 92" xfId="586"/>
    <cellStyle name="Normal 14 93" xfId="589"/>
    <cellStyle name="Normal 14 94" xfId="592"/>
    <cellStyle name="Normal 14 95" xfId="595"/>
    <cellStyle name="Normal 14 96" xfId="597"/>
    <cellStyle name="Normal 14 97" xfId="604"/>
    <cellStyle name="Normal 14 98" xfId="693"/>
    <cellStyle name="Normal 14 99" xfId="765"/>
    <cellStyle name="Normal 14_Hawaii" xfId="1100"/>
    <cellStyle name="Normal 15" xfId="52"/>
    <cellStyle name="Normal 15 10" xfId="99"/>
    <cellStyle name="Normal 15 10 10" xfId="916"/>
    <cellStyle name="Normal 15 10 11" xfId="987"/>
    <cellStyle name="Normal 15 10 12" xfId="1058"/>
    <cellStyle name="Normal 15 10 2" xfId="222"/>
    <cellStyle name="Normal 15 10 3" xfId="293"/>
    <cellStyle name="Normal 15 10 4" xfId="364"/>
    <cellStyle name="Normal 15 10 5" xfId="428"/>
    <cellStyle name="Normal 15 10 6" xfId="639"/>
    <cellStyle name="Normal 15 10 7" xfId="710"/>
    <cellStyle name="Normal 15 10 8" xfId="781"/>
    <cellStyle name="Normal 15 10 9" xfId="852"/>
    <cellStyle name="Normal 15 10_Hawaii" xfId="1134"/>
    <cellStyle name="Normal 15 11" xfId="101"/>
    <cellStyle name="Normal 15 11 10" xfId="917"/>
    <cellStyle name="Normal 15 11 11" xfId="988"/>
    <cellStyle name="Normal 15 11 12" xfId="1059"/>
    <cellStyle name="Normal 15 11 2" xfId="223"/>
    <cellStyle name="Normal 15 11 3" xfId="294"/>
    <cellStyle name="Normal 15 11 4" xfId="365"/>
    <cellStyle name="Normal 15 11 5" xfId="429"/>
    <cellStyle name="Normal 15 11 6" xfId="640"/>
    <cellStyle name="Normal 15 11 7" xfId="711"/>
    <cellStyle name="Normal 15 11 8" xfId="782"/>
    <cellStyle name="Normal 15 11 9" xfId="853"/>
    <cellStyle name="Normal 15 11_Hawaii" xfId="1135"/>
    <cellStyle name="Normal 15 12" xfId="103"/>
    <cellStyle name="Normal 15 12 10" xfId="918"/>
    <cellStyle name="Normal 15 12 11" xfId="989"/>
    <cellStyle name="Normal 15 12 12" xfId="1060"/>
    <cellStyle name="Normal 15 12 2" xfId="224"/>
    <cellStyle name="Normal 15 12 3" xfId="295"/>
    <cellStyle name="Normal 15 12 4" xfId="366"/>
    <cellStyle name="Normal 15 12 5" xfId="430"/>
    <cellStyle name="Normal 15 12 6" xfId="641"/>
    <cellStyle name="Normal 15 12 7" xfId="712"/>
    <cellStyle name="Normal 15 12 8" xfId="783"/>
    <cellStyle name="Normal 15 12 9" xfId="854"/>
    <cellStyle name="Normal 15 12_Hawaii" xfId="1136"/>
    <cellStyle name="Normal 15 13" xfId="105"/>
    <cellStyle name="Normal 15 13 10" xfId="919"/>
    <cellStyle name="Normal 15 13 11" xfId="990"/>
    <cellStyle name="Normal 15 13 12" xfId="1061"/>
    <cellStyle name="Normal 15 13 2" xfId="225"/>
    <cellStyle name="Normal 15 13 3" xfId="296"/>
    <cellStyle name="Normal 15 13 4" xfId="367"/>
    <cellStyle name="Normal 15 13 5" xfId="431"/>
    <cellStyle name="Normal 15 13 6" xfId="642"/>
    <cellStyle name="Normal 15 13 7" xfId="713"/>
    <cellStyle name="Normal 15 13 8" xfId="784"/>
    <cellStyle name="Normal 15 13 9" xfId="855"/>
    <cellStyle name="Normal 15 13_Hawaii" xfId="1137"/>
    <cellStyle name="Normal 15 14" xfId="107"/>
    <cellStyle name="Normal 15 14 10" xfId="920"/>
    <cellStyle name="Normal 15 14 11" xfId="991"/>
    <cellStyle name="Normal 15 14 12" xfId="1062"/>
    <cellStyle name="Normal 15 14 2" xfId="226"/>
    <cellStyle name="Normal 15 14 3" xfId="297"/>
    <cellStyle name="Normal 15 14 4" xfId="368"/>
    <cellStyle name="Normal 15 14 5" xfId="432"/>
    <cellStyle name="Normal 15 14 6" xfId="643"/>
    <cellStyle name="Normal 15 14 7" xfId="714"/>
    <cellStyle name="Normal 15 14 8" xfId="785"/>
    <cellStyle name="Normal 15 14 9" xfId="856"/>
    <cellStyle name="Normal 15 14_Hawaii" xfId="1138"/>
    <cellStyle name="Normal 15 15" xfId="109"/>
    <cellStyle name="Normal 15 15 10" xfId="921"/>
    <cellStyle name="Normal 15 15 11" xfId="992"/>
    <cellStyle name="Normal 15 15 12" xfId="1063"/>
    <cellStyle name="Normal 15 15 2" xfId="227"/>
    <cellStyle name="Normal 15 15 3" xfId="298"/>
    <cellStyle name="Normal 15 15 4" xfId="369"/>
    <cellStyle name="Normal 15 15 5" xfId="433"/>
    <cellStyle name="Normal 15 15 6" xfId="644"/>
    <cellStyle name="Normal 15 15 7" xfId="715"/>
    <cellStyle name="Normal 15 15 8" xfId="786"/>
    <cellStyle name="Normal 15 15 9" xfId="857"/>
    <cellStyle name="Normal 15 15_Hawaii" xfId="1139"/>
    <cellStyle name="Normal 15 16" xfId="111"/>
    <cellStyle name="Normal 15 16 10" xfId="922"/>
    <cellStyle name="Normal 15 16 11" xfId="993"/>
    <cellStyle name="Normal 15 16 12" xfId="1064"/>
    <cellStyle name="Normal 15 16 2" xfId="228"/>
    <cellStyle name="Normal 15 16 3" xfId="299"/>
    <cellStyle name="Normal 15 16 4" xfId="370"/>
    <cellStyle name="Normal 15 16 5" xfId="434"/>
    <cellStyle name="Normal 15 16 6" xfId="645"/>
    <cellStyle name="Normal 15 16 7" xfId="716"/>
    <cellStyle name="Normal 15 16 8" xfId="787"/>
    <cellStyle name="Normal 15 16 9" xfId="858"/>
    <cellStyle name="Normal 15 16_Hawaii" xfId="1140"/>
    <cellStyle name="Normal 15 17" xfId="113"/>
    <cellStyle name="Normal 15 17 10" xfId="923"/>
    <cellStyle name="Normal 15 17 11" xfId="994"/>
    <cellStyle name="Normal 15 17 12" xfId="1065"/>
    <cellStyle name="Normal 15 17 2" xfId="229"/>
    <cellStyle name="Normal 15 17 3" xfId="300"/>
    <cellStyle name="Normal 15 17 4" xfId="371"/>
    <cellStyle name="Normal 15 17 5" xfId="435"/>
    <cellStyle name="Normal 15 17 6" xfId="646"/>
    <cellStyle name="Normal 15 17 7" xfId="717"/>
    <cellStyle name="Normal 15 17 8" xfId="788"/>
    <cellStyle name="Normal 15 17 9" xfId="859"/>
    <cellStyle name="Normal 15 17_Hawaii" xfId="1141"/>
    <cellStyle name="Normal 15 18" xfId="115"/>
    <cellStyle name="Normal 15 18 10" xfId="924"/>
    <cellStyle name="Normal 15 18 11" xfId="995"/>
    <cellStyle name="Normal 15 18 12" xfId="1066"/>
    <cellStyle name="Normal 15 18 2" xfId="230"/>
    <cellStyle name="Normal 15 18 3" xfId="301"/>
    <cellStyle name="Normal 15 18 4" xfId="372"/>
    <cellStyle name="Normal 15 18 5" xfId="436"/>
    <cellStyle name="Normal 15 18 6" xfId="647"/>
    <cellStyle name="Normal 15 18 7" xfId="718"/>
    <cellStyle name="Normal 15 18 8" xfId="789"/>
    <cellStyle name="Normal 15 18 9" xfId="860"/>
    <cellStyle name="Normal 15 18_Hawaii" xfId="1142"/>
    <cellStyle name="Normal 15 19" xfId="117"/>
    <cellStyle name="Normal 15 19 10" xfId="925"/>
    <cellStyle name="Normal 15 19 11" xfId="996"/>
    <cellStyle name="Normal 15 19 12" xfId="1067"/>
    <cellStyle name="Normal 15 19 2" xfId="231"/>
    <cellStyle name="Normal 15 19 3" xfId="302"/>
    <cellStyle name="Normal 15 19 4" xfId="373"/>
    <cellStyle name="Normal 15 19 5" xfId="437"/>
    <cellStyle name="Normal 15 19 6" xfId="648"/>
    <cellStyle name="Normal 15 19 7" xfId="719"/>
    <cellStyle name="Normal 15 19 8" xfId="790"/>
    <cellStyle name="Normal 15 19 9" xfId="861"/>
    <cellStyle name="Normal 15 19_Hawaii" xfId="1143"/>
    <cellStyle name="Normal 15 2" xfId="89"/>
    <cellStyle name="Normal 15 2 10" xfId="926"/>
    <cellStyle name="Normal 15 2 11" xfId="997"/>
    <cellStyle name="Normal 15 2 12" xfId="1068"/>
    <cellStyle name="Normal 15 2 2" xfId="232"/>
    <cellStyle name="Normal 15 2 3" xfId="303"/>
    <cellStyle name="Normal 15 2 4" xfId="374"/>
    <cellStyle name="Normal 15 2 5" xfId="438"/>
    <cellStyle name="Normal 15 2 6" xfId="649"/>
    <cellStyle name="Normal 15 2 7" xfId="720"/>
    <cellStyle name="Normal 15 2 8" xfId="791"/>
    <cellStyle name="Normal 15 2 9" xfId="862"/>
    <cellStyle name="Normal 15 2_Hawaii" xfId="1144"/>
    <cellStyle name="Normal 15 20" xfId="119"/>
    <cellStyle name="Normal 15 20 10" xfId="927"/>
    <cellStyle name="Normal 15 20 11" xfId="998"/>
    <cellStyle name="Normal 15 20 12" xfId="1069"/>
    <cellStyle name="Normal 15 20 2" xfId="233"/>
    <cellStyle name="Normal 15 20 3" xfId="304"/>
    <cellStyle name="Normal 15 20 4" xfId="375"/>
    <cellStyle name="Normal 15 20 5" xfId="439"/>
    <cellStyle name="Normal 15 20 6" xfId="650"/>
    <cellStyle name="Normal 15 20 7" xfId="721"/>
    <cellStyle name="Normal 15 20 8" xfId="792"/>
    <cellStyle name="Normal 15 20 9" xfId="863"/>
    <cellStyle name="Normal 15 20_Hawaii" xfId="1145"/>
    <cellStyle name="Normal 15 21" xfId="121"/>
    <cellStyle name="Normal 15 21 10" xfId="928"/>
    <cellStyle name="Normal 15 21 11" xfId="999"/>
    <cellStyle name="Normal 15 21 12" xfId="1070"/>
    <cellStyle name="Normal 15 21 2" xfId="234"/>
    <cellStyle name="Normal 15 21 3" xfId="305"/>
    <cellStyle name="Normal 15 21 4" xfId="376"/>
    <cellStyle name="Normal 15 21 5" xfId="440"/>
    <cellStyle name="Normal 15 21 6" xfId="651"/>
    <cellStyle name="Normal 15 21 7" xfId="722"/>
    <cellStyle name="Normal 15 21 8" xfId="793"/>
    <cellStyle name="Normal 15 21 9" xfId="864"/>
    <cellStyle name="Normal 15 21_Hawaii" xfId="1146"/>
    <cellStyle name="Normal 15 22" xfId="123"/>
    <cellStyle name="Normal 15 22 10" xfId="929"/>
    <cellStyle name="Normal 15 22 11" xfId="1000"/>
    <cellStyle name="Normal 15 22 12" xfId="1071"/>
    <cellStyle name="Normal 15 22 2" xfId="235"/>
    <cellStyle name="Normal 15 22 3" xfId="306"/>
    <cellStyle name="Normal 15 22 4" xfId="377"/>
    <cellStyle name="Normal 15 22 5" xfId="441"/>
    <cellStyle name="Normal 15 22 6" xfId="652"/>
    <cellStyle name="Normal 15 22 7" xfId="723"/>
    <cellStyle name="Normal 15 22 8" xfId="794"/>
    <cellStyle name="Normal 15 22 9" xfId="865"/>
    <cellStyle name="Normal 15 22_Hawaii" xfId="1147"/>
    <cellStyle name="Normal 15 23" xfId="125"/>
    <cellStyle name="Normal 15 23 10" xfId="930"/>
    <cellStyle name="Normal 15 23 11" xfId="1001"/>
    <cellStyle name="Normal 15 23 12" xfId="1072"/>
    <cellStyle name="Normal 15 23 2" xfId="236"/>
    <cellStyle name="Normal 15 23 3" xfId="307"/>
    <cellStyle name="Normal 15 23 4" xfId="378"/>
    <cellStyle name="Normal 15 23 5" xfId="442"/>
    <cellStyle name="Normal 15 23 6" xfId="653"/>
    <cellStyle name="Normal 15 23 7" xfId="724"/>
    <cellStyle name="Normal 15 23 8" xfId="795"/>
    <cellStyle name="Normal 15 23 9" xfId="866"/>
    <cellStyle name="Normal 15 23_Hawaii" xfId="1148"/>
    <cellStyle name="Normal 15 24" xfId="127"/>
    <cellStyle name="Normal 15 24 10" xfId="931"/>
    <cellStyle name="Normal 15 24 11" xfId="1002"/>
    <cellStyle name="Normal 15 24 12" xfId="1073"/>
    <cellStyle name="Normal 15 24 2" xfId="237"/>
    <cellStyle name="Normal 15 24 3" xfId="308"/>
    <cellStyle name="Normal 15 24 4" xfId="379"/>
    <cellStyle name="Normal 15 24 5" xfId="443"/>
    <cellStyle name="Normal 15 24 6" xfId="654"/>
    <cellStyle name="Normal 15 24 7" xfId="725"/>
    <cellStyle name="Normal 15 24 8" xfId="796"/>
    <cellStyle name="Normal 15 24 9" xfId="867"/>
    <cellStyle name="Normal 15 24_Hawaii" xfId="1149"/>
    <cellStyle name="Normal 15 25" xfId="129"/>
    <cellStyle name="Normal 15 25 10" xfId="932"/>
    <cellStyle name="Normal 15 25 11" xfId="1003"/>
    <cellStyle name="Normal 15 25 12" xfId="1074"/>
    <cellStyle name="Normal 15 25 2" xfId="238"/>
    <cellStyle name="Normal 15 25 3" xfId="309"/>
    <cellStyle name="Normal 15 25 4" xfId="380"/>
    <cellStyle name="Normal 15 25 5" xfId="444"/>
    <cellStyle name="Normal 15 25 6" xfId="655"/>
    <cellStyle name="Normal 15 25 7" xfId="726"/>
    <cellStyle name="Normal 15 25 8" xfId="797"/>
    <cellStyle name="Normal 15 25 9" xfId="868"/>
    <cellStyle name="Normal 15 25_Hawaii" xfId="1150"/>
    <cellStyle name="Normal 15 26" xfId="131"/>
    <cellStyle name="Normal 15 26 10" xfId="933"/>
    <cellStyle name="Normal 15 26 11" xfId="1004"/>
    <cellStyle name="Normal 15 26 12" xfId="1075"/>
    <cellStyle name="Normal 15 26 2" xfId="239"/>
    <cellStyle name="Normal 15 26 3" xfId="310"/>
    <cellStyle name="Normal 15 26 4" xfId="381"/>
    <cellStyle name="Normal 15 26 5" xfId="445"/>
    <cellStyle name="Normal 15 26 6" xfId="656"/>
    <cellStyle name="Normal 15 26 7" xfId="727"/>
    <cellStyle name="Normal 15 26 8" xfId="798"/>
    <cellStyle name="Normal 15 26 9" xfId="869"/>
    <cellStyle name="Normal 15 26_Hawaii" xfId="1151"/>
    <cellStyle name="Normal 15 27" xfId="133"/>
    <cellStyle name="Normal 15 27 10" xfId="934"/>
    <cellStyle name="Normal 15 27 11" xfId="1005"/>
    <cellStyle name="Normal 15 27 12" xfId="1076"/>
    <cellStyle name="Normal 15 27 2" xfId="240"/>
    <cellStyle name="Normal 15 27 3" xfId="311"/>
    <cellStyle name="Normal 15 27 4" xfId="382"/>
    <cellStyle name="Normal 15 27 5" xfId="446"/>
    <cellStyle name="Normal 15 27 6" xfId="657"/>
    <cellStyle name="Normal 15 27 7" xfId="728"/>
    <cellStyle name="Normal 15 27 8" xfId="799"/>
    <cellStyle name="Normal 15 27 9" xfId="870"/>
    <cellStyle name="Normal 15 27_Hawaii" xfId="1152"/>
    <cellStyle name="Normal 15 28" xfId="141"/>
    <cellStyle name="Normal 15 28 10" xfId="935"/>
    <cellStyle name="Normal 15 28 11" xfId="1006"/>
    <cellStyle name="Normal 15 28 12" xfId="1077"/>
    <cellStyle name="Normal 15 28 2" xfId="241"/>
    <cellStyle name="Normal 15 28 3" xfId="312"/>
    <cellStyle name="Normal 15 28 4" xfId="383"/>
    <cellStyle name="Normal 15 28 5" xfId="447"/>
    <cellStyle name="Normal 15 28 6" xfId="658"/>
    <cellStyle name="Normal 15 28 7" xfId="729"/>
    <cellStyle name="Normal 15 28 8" xfId="800"/>
    <cellStyle name="Normal 15 28 9" xfId="871"/>
    <cellStyle name="Normal 15 28_Hawaii" xfId="1153"/>
    <cellStyle name="Normal 15 29" xfId="142"/>
    <cellStyle name="Normal 15 29 10" xfId="936"/>
    <cellStyle name="Normal 15 29 11" xfId="1007"/>
    <cellStyle name="Normal 15 29 12" xfId="1078"/>
    <cellStyle name="Normal 15 29 2" xfId="242"/>
    <cellStyle name="Normal 15 29 3" xfId="313"/>
    <cellStyle name="Normal 15 29 4" xfId="384"/>
    <cellStyle name="Normal 15 29 5" xfId="448"/>
    <cellStyle name="Normal 15 29 6" xfId="659"/>
    <cellStyle name="Normal 15 29 7" xfId="730"/>
    <cellStyle name="Normal 15 29 8" xfId="801"/>
    <cellStyle name="Normal 15 29 9" xfId="872"/>
    <cellStyle name="Normal 15 29_Hawaii" xfId="1154"/>
    <cellStyle name="Normal 15 3" xfId="90"/>
    <cellStyle name="Normal 15 3 10" xfId="937"/>
    <cellStyle name="Normal 15 3 11" xfId="1008"/>
    <cellStyle name="Normal 15 3 12" xfId="1079"/>
    <cellStyle name="Normal 15 3 2" xfId="243"/>
    <cellStyle name="Normal 15 3 3" xfId="314"/>
    <cellStyle name="Normal 15 3 4" xfId="385"/>
    <cellStyle name="Normal 15 3 5" xfId="449"/>
    <cellStyle name="Normal 15 3 6" xfId="660"/>
    <cellStyle name="Normal 15 3 7" xfId="731"/>
    <cellStyle name="Normal 15 3 8" xfId="802"/>
    <cellStyle name="Normal 15 3 9" xfId="873"/>
    <cellStyle name="Normal 15 3_Hawaii" xfId="1155"/>
    <cellStyle name="Normal 15 30" xfId="139"/>
    <cellStyle name="Normal 15 30 10" xfId="938"/>
    <cellStyle name="Normal 15 30 11" xfId="1009"/>
    <cellStyle name="Normal 15 30 12" xfId="1080"/>
    <cellStyle name="Normal 15 30 2" xfId="244"/>
    <cellStyle name="Normal 15 30 3" xfId="315"/>
    <cellStyle name="Normal 15 30 4" xfId="386"/>
    <cellStyle name="Normal 15 30 5" xfId="450"/>
    <cellStyle name="Normal 15 30 6" xfId="661"/>
    <cellStyle name="Normal 15 30 7" xfId="732"/>
    <cellStyle name="Normal 15 30 8" xfId="803"/>
    <cellStyle name="Normal 15 30 9" xfId="874"/>
    <cellStyle name="Normal 15 30_Hawaii" xfId="1156"/>
    <cellStyle name="Normal 15 31" xfId="144"/>
    <cellStyle name="Normal 15 31 10" xfId="939"/>
    <cellStyle name="Normal 15 31 11" xfId="1010"/>
    <cellStyle name="Normal 15 31 12" xfId="1081"/>
    <cellStyle name="Normal 15 31 2" xfId="245"/>
    <cellStyle name="Normal 15 31 3" xfId="316"/>
    <cellStyle name="Normal 15 31 4" xfId="387"/>
    <cellStyle name="Normal 15 31 5" xfId="451"/>
    <cellStyle name="Normal 15 31 6" xfId="662"/>
    <cellStyle name="Normal 15 31 7" xfId="733"/>
    <cellStyle name="Normal 15 31 8" xfId="804"/>
    <cellStyle name="Normal 15 31 9" xfId="875"/>
    <cellStyle name="Normal 15 31_Hawaii" xfId="1157"/>
    <cellStyle name="Normal 15 32" xfId="137"/>
    <cellStyle name="Normal 15 32 10" xfId="940"/>
    <cellStyle name="Normal 15 32 11" xfId="1011"/>
    <cellStyle name="Normal 15 32 12" xfId="1082"/>
    <cellStyle name="Normal 15 32 2" xfId="246"/>
    <cellStyle name="Normal 15 32 3" xfId="317"/>
    <cellStyle name="Normal 15 32 4" xfId="388"/>
    <cellStyle name="Normal 15 32 5" xfId="452"/>
    <cellStyle name="Normal 15 32 6" xfId="663"/>
    <cellStyle name="Normal 15 32 7" xfId="734"/>
    <cellStyle name="Normal 15 32 8" xfId="805"/>
    <cellStyle name="Normal 15 32 9" xfId="876"/>
    <cellStyle name="Normal 15 32_Hawaii" xfId="1158"/>
    <cellStyle name="Normal 15 33" xfId="146"/>
    <cellStyle name="Normal 15 33 10" xfId="941"/>
    <cellStyle name="Normal 15 33 11" xfId="1012"/>
    <cellStyle name="Normal 15 33 12" xfId="1083"/>
    <cellStyle name="Normal 15 33 2" xfId="247"/>
    <cellStyle name="Normal 15 33 3" xfId="318"/>
    <cellStyle name="Normal 15 33 4" xfId="389"/>
    <cellStyle name="Normal 15 33 5" xfId="453"/>
    <cellStyle name="Normal 15 33 6" xfId="664"/>
    <cellStyle name="Normal 15 33 7" xfId="735"/>
    <cellStyle name="Normal 15 33 8" xfId="806"/>
    <cellStyle name="Normal 15 33 9" xfId="877"/>
    <cellStyle name="Normal 15 33_Hawaii" xfId="1159"/>
    <cellStyle name="Normal 15 34" xfId="134"/>
    <cellStyle name="Normal 15 34 10" xfId="942"/>
    <cellStyle name="Normal 15 34 11" xfId="1013"/>
    <cellStyle name="Normal 15 34 12" xfId="1084"/>
    <cellStyle name="Normal 15 34 2" xfId="248"/>
    <cellStyle name="Normal 15 34 3" xfId="319"/>
    <cellStyle name="Normal 15 34 4" xfId="390"/>
    <cellStyle name="Normal 15 34 5" xfId="454"/>
    <cellStyle name="Normal 15 34 6" xfId="665"/>
    <cellStyle name="Normal 15 34 7" xfId="736"/>
    <cellStyle name="Normal 15 34 8" xfId="807"/>
    <cellStyle name="Normal 15 34 9" xfId="878"/>
    <cellStyle name="Normal 15 34_Hawaii" xfId="1160"/>
    <cellStyle name="Normal 15 35" xfId="154"/>
    <cellStyle name="Normal 15 36" xfId="155"/>
    <cellStyle name="Normal 15 37" xfId="151"/>
    <cellStyle name="Normal 15 38" xfId="160"/>
    <cellStyle name="Normal 15 39" xfId="149"/>
    <cellStyle name="Normal 15 4" xfId="87"/>
    <cellStyle name="Normal 15 4 10" xfId="943"/>
    <cellStyle name="Normal 15 4 11" xfId="1014"/>
    <cellStyle name="Normal 15 4 12" xfId="1085"/>
    <cellStyle name="Normal 15 4 2" xfId="249"/>
    <cellStyle name="Normal 15 4 3" xfId="320"/>
    <cellStyle name="Normal 15 4 4" xfId="391"/>
    <cellStyle name="Normal 15 4 5" xfId="455"/>
    <cellStyle name="Normal 15 4 6" xfId="666"/>
    <cellStyle name="Normal 15 4 7" xfId="737"/>
    <cellStyle name="Normal 15 4 8" xfId="808"/>
    <cellStyle name="Normal 15 4 9" xfId="879"/>
    <cellStyle name="Normal 15 4_Hawaii" xfId="1161"/>
    <cellStyle name="Normal 15 40" xfId="164"/>
    <cellStyle name="Normal 15 41" xfId="475"/>
    <cellStyle name="Normal 15 42" xfId="468"/>
    <cellStyle name="Normal 15 43" xfId="478"/>
    <cellStyle name="Normal 15 44" xfId="465"/>
    <cellStyle name="Normal 15 45" xfId="482"/>
    <cellStyle name="Normal 15 46" xfId="461"/>
    <cellStyle name="Normal 15 47" xfId="485"/>
    <cellStyle name="Normal 15 48" xfId="488"/>
    <cellStyle name="Normal 15 49" xfId="491"/>
    <cellStyle name="Normal 15 5" xfId="92"/>
    <cellStyle name="Normal 15 5 10" xfId="944"/>
    <cellStyle name="Normal 15 5 11" xfId="1015"/>
    <cellStyle name="Normal 15 5 12" xfId="1086"/>
    <cellStyle name="Normal 15 5 2" xfId="250"/>
    <cellStyle name="Normal 15 5 3" xfId="321"/>
    <cellStyle name="Normal 15 5 4" xfId="392"/>
    <cellStyle name="Normal 15 5 5" xfId="456"/>
    <cellStyle name="Normal 15 5 6" xfId="667"/>
    <cellStyle name="Normal 15 5 7" xfId="738"/>
    <cellStyle name="Normal 15 5 8" xfId="809"/>
    <cellStyle name="Normal 15 5 9" xfId="880"/>
    <cellStyle name="Normal 15 5_Hawaii" xfId="1162"/>
    <cellStyle name="Normal 15 50" xfId="494"/>
    <cellStyle name="Normal 15 51" xfId="497"/>
    <cellStyle name="Normal 15 52" xfId="500"/>
    <cellStyle name="Normal 15 53" xfId="503"/>
    <cellStyle name="Normal 15 54" xfId="506"/>
    <cellStyle name="Normal 15 55" xfId="509"/>
    <cellStyle name="Normal 15 56" xfId="512"/>
    <cellStyle name="Normal 15 57" xfId="515"/>
    <cellStyle name="Normal 15 58" xfId="518"/>
    <cellStyle name="Normal 15 59" xfId="521"/>
    <cellStyle name="Normal 15 6" xfId="85"/>
    <cellStyle name="Normal 15 6 10" xfId="945"/>
    <cellStyle name="Normal 15 6 11" xfId="1016"/>
    <cellStyle name="Normal 15 6 12" xfId="1087"/>
    <cellStyle name="Normal 15 6 2" xfId="251"/>
    <cellStyle name="Normal 15 6 3" xfId="322"/>
    <cellStyle name="Normal 15 6 4" xfId="393"/>
    <cellStyle name="Normal 15 6 5" xfId="457"/>
    <cellStyle name="Normal 15 6 6" xfId="668"/>
    <cellStyle name="Normal 15 6 7" xfId="739"/>
    <cellStyle name="Normal 15 6 8" xfId="810"/>
    <cellStyle name="Normal 15 6 9" xfId="881"/>
    <cellStyle name="Normal 15 6_Hawaii" xfId="1163"/>
    <cellStyle name="Normal 15 60" xfId="524"/>
    <cellStyle name="Normal 15 61" xfId="527"/>
    <cellStyle name="Normal 15 62" xfId="530"/>
    <cellStyle name="Normal 15 63" xfId="533"/>
    <cellStyle name="Normal 15 64" xfId="536"/>
    <cellStyle name="Normal 15 65" xfId="539"/>
    <cellStyle name="Normal 15 66" xfId="542"/>
    <cellStyle name="Normal 15 67" xfId="545"/>
    <cellStyle name="Normal 15 68" xfId="548"/>
    <cellStyle name="Normal 15 69" xfId="551"/>
    <cellStyle name="Normal 15 7" xfId="94"/>
    <cellStyle name="Normal 15 7 10" xfId="946"/>
    <cellStyle name="Normal 15 7 11" xfId="1017"/>
    <cellStyle name="Normal 15 7 12" xfId="1088"/>
    <cellStyle name="Normal 15 7 2" xfId="252"/>
    <cellStyle name="Normal 15 7 3" xfId="323"/>
    <cellStyle name="Normal 15 7 4" xfId="394"/>
    <cellStyle name="Normal 15 7 5" xfId="458"/>
    <cellStyle name="Normal 15 7 6" xfId="669"/>
    <cellStyle name="Normal 15 7 7" xfId="740"/>
    <cellStyle name="Normal 15 7 8" xfId="811"/>
    <cellStyle name="Normal 15 7 9" xfId="882"/>
    <cellStyle name="Normal 15 7_Hawaii" xfId="1164"/>
    <cellStyle name="Normal 15 70" xfId="554"/>
    <cellStyle name="Normal 15 71" xfId="557"/>
    <cellStyle name="Normal 15 72" xfId="560"/>
    <cellStyle name="Normal 15 73" xfId="563"/>
    <cellStyle name="Normal 15 74" xfId="566"/>
    <cellStyle name="Normal 15 75" xfId="569"/>
    <cellStyle name="Normal 15 76" xfId="572"/>
    <cellStyle name="Normal 15 77" xfId="575"/>
    <cellStyle name="Normal 15 78" xfId="578"/>
    <cellStyle name="Normal 15 79" xfId="581"/>
    <cellStyle name="Normal 15 8" xfId="82"/>
    <cellStyle name="Normal 15 8 10" xfId="947"/>
    <cellStyle name="Normal 15 8 11" xfId="1018"/>
    <cellStyle name="Normal 15 8 12" xfId="1089"/>
    <cellStyle name="Normal 15 8 2" xfId="253"/>
    <cellStyle name="Normal 15 8 3" xfId="324"/>
    <cellStyle name="Normal 15 8 4" xfId="395"/>
    <cellStyle name="Normal 15 8 5" xfId="459"/>
    <cellStyle name="Normal 15 8 6" xfId="670"/>
    <cellStyle name="Normal 15 8 7" xfId="741"/>
    <cellStyle name="Normal 15 8 8" xfId="812"/>
    <cellStyle name="Normal 15 8 9" xfId="883"/>
    <cellStyle name="Normal 15 8_Hawaii" xfId="1165"/>
    <cellStyle name="Normal 15 80" xfId="584"/>
    <cellStyle name="Normal 15 81" xfId="587"/>
    <cellStyle name="Normal 15 82" xfId="590"/>
    <cellStyle name="Normal 15 83" xfId="593"/>
    <cellStyle name="Normal 15 9" xfId="97"/>
    <cellStyle name="Normal 15 9 10" xfId="948"/>
    <cellStyle name="Normal 15 9 11" xfId="1019"/>
    <cellStyle name="Normal 15 9 12" xfId="1090"/>
    <cellStyle name="Normal 15 9 2" xfId="254"/>
    <cellStyle name="Normal 15 9 3" xfId="325"/>
    <cellStyle name="Normal 15 9 4" xfId="396"/>
    <cellStyle name="Normal 15 9 5" xfId="460"/>
    <cellStyle name="Normal 15 9 6" xfId="671"/>
    <cellStyle name="Normal 15 9 7" xfId="742"/>
    <cellStyle name="Normal 15 9 8" xfId="813"/>
    <cellStyle name="Normal 15 9 9" xfId="884"/>
    <cellStyle name="Normal 15 9_Hawaii" xfId="1166"/>
    <cellStyle name="Normal 16" xfId="53"/>
    <cellStyle name="Normal 17" xfId="54"/>
    <cellStyle name="Normal 18" xfId="55"/>
    <cellStyle name="Normal 19" xfId="56"/>
    <cellStyle name="Normal 2" xfId="57"/>
    <cellStyle name="Normal 2 2" xfId="58"/>
    <cellStyle name="Normal 2 2 2" xfId="59"/>
    <cellStyle name="Normal 2 2_State" xfId="60"/>
    <cellStyle name="Normal 2_State" xfId="61"/>
    <cellStyle name="Normal 20" xfId="62"/>
    <cellStyle name="Normal 21" xfId="63"/>
    <cellStyle name="Normal 22" xfId="64"/>
    <cellStyle name="Normal 23" xfId="65"/>
    <cellStyle name="Normal 24" xfId="66"/>
    <cellStyle name="Normal 25" xfId="67"/>
    <cellStyle name="Normal 26" xfId="68"/>
    <cellStyle name="Normal 27" xfId="69"/>
    <cellStyle name="Normal 27 10" xfId="175"/>
    <cellStyle name="Normal 27 11" xfId="171"/>
    <cellStyle name="Normal 27 12" xfId="177"/>
    <cellStyle name="Normal 27 13" xfId="169"/>
    <cellStyle name="Normal 27 14" xfId="179"/>
    <cellStyle name="Normal 27 15" xfId="271"/>
    <cellStyle name="Normal 27 16" xfId="342"/>
    <cellStyle name="Normal 27 17" xfId="413"/>
    <cellStyle name="Normal 27 18" xfId="471"/>
    <cellStyle name="Normal 27 19" xfId="469"/>
    <cellStyle name="Normal 27 2" xfId="156"/>
    <cellStyle name="Normal 27 20" xfId="477"/>
    <cellStyle name="Normal 27 21" xfId="466"/>
    <cellStyle name="Normal 27 22" xfId="480"/>
    <cellStyle name="Normal 27 23" xfId="463"/>
    <cellStyle name="Normal 27 24" xfId="483"/>
    <cellStyle name="Normal 27 25" xfId="486"/>
    <cellStyle name="Normal 27 26" xfId="489"/>
    <cellStyle name="Normal 27 27" xfId="492"/>
    <cellStyle name="Normal 27 28" xfId="495"/>
    <cellStyle name="Normal 27 29" xfId="498"/>
    <cellStyle name="Normal 27 3" xfId="152"/>
    <cellStyle name="Normal 27 30" xfId="501"/>
    <cellStyle name="Normal 27 31" xfId="504"/>
    <cellStyle name="Normal 27 32" xfId="507"/>
    <cellStyle name="Normal 27 33" xfId="510"/>
    <cellStyle name="Normal 27 34" xfId="513"/>
    <cellStyle name="Normal 27 35" xfId="516"/>
    <cellStyle name="Normal 27 36" xfId="519"/>
    <cellStyle name="Normal 27 37" xfId="522"/>
    <cellStyle name="Normal 27 38" xfId="525"/>
    <cellStyle name="Normal 27 39" xfId="528"/>
    <cellStyle name="Normal 27 4" xfId="159"/>
    <cellStyle name="Normal 27 40" xfId="531"/>
    <cellStyle name="Normal 27 41" xfId="534"/>
    <cellStyle name="Normal 27 42" xfId="537"/>
    <cellStyle name="Normal 27 43" xfId="540"/>
    <cellStyle name="Normal 27 44" xfId="543"/>
    <cellStyle name="Normal 27 45" xfId="546"/>
    <cellStyle name="Normal 27 46" xfId="549"/>
    <cellStyle name="Normal 27 47" xfId="552"/>
    <cellStyle name="Normal 27 48" xfId="555"/>
    <cellStyle name="Normal 27 49" xfId="558"/>
    <cellStyle name="Normal 27 5" xfId="148"/>
    <cellStyle name="Normal 27 50" xfId="561"/>
    <cellStyle name="Normal 27 51" xfId="564"/>
    <cellStyle name="Normal 27 52" xfId="567"/>
    <cellStyle name="Normal 27 53" xfId="570"/>
    <cellStyle name="Normal 27 54" xfId="573"/>
    <cellStyle name="Normal 27 55" xfId="576"/>
    <cellStyle name="Normal 27 56" xfId="579"/>
    <cellStyle name="Normal 27 57" xfId="582"/>
    <cellStyle name="Normal 27 58" xfId="585"/>
    <cellStyle name="Normal 27 59" xfId="588"/>
    <cellStyle name="Normal 27 6" xfId="162"/>
    <cellStyle name="Normal 27 60" xfId="591"/>
    <cellStyle name="Normal 27 61" xfId="594"/>
    <cellStyle name="Normal 27 62" xfId="596"/>
    <cellStyle name="Normal 27 63" xfId="470"/>
    <cellStyle name="Normal 27 64" xfId="688"/>
    <cellStyle name="Normal 27 65" xfId="759"/>
    <cellStyle name="Normal 27 66" xfId="830"/>
    <cellStyle name="Normal 27 67" xfId="901"/>
    <cellStyle name="Normal 27 68" xfId="949"/>
    <cellStyle name="Normal 27 69" xfId="1020"/>
    <cellStyle name="Normal 27 7" xfId="166"/>
    <cellStyle name="Normal 27 70" xfId="1091"/>
    <cellStyle name="Normal 27 8" xfId="174"/>
    <cellStyle name="Normal 27 9" xfId="173"/>
    <cellStyle name="Normal 27_Hawaii" xfId="1167"/>
    <cellStyle name="Normal 28" xfId="70"/>
    <cellStyle name="Normal 28 10" xfId="950"/>
    <cellStyle name="Normal 28 11" xfId="1021"/>
    <cellStyle name="Normal 28 12" xfId="1092"/>
    <cellStyle name="Normal 28 2" xfId="272"/>
    <cellStyle name="Normal 28 3" xfId="343"/>
    <cellStyle name="Normal 28 4" xfId="414"/>
    <cellStyle name="Normal 28 5" xfId="472"/>
    <cellStyle name="Normal 28 6" xfId="689"/>
    <cellStyle name="Normal 28 7" xfId="760"/>
    <cellStyle name="Normal 28 8" xfId="831"/>
    <cellStyle name="Normal 28 9" xfId="902"/>
    <cellStyle name="Normal 28_Hawaii" xfId="1168"/>
    <cellStyle name="Normal 29" xfId="1176"/>
    <cellStyle name="Normal 3" xfId="71"/>
    <cellStyle name="Normal 30" xfId="45"/>
    <cellStyle name="Normal 31" xfId="1177"/>
    <cellStyle name="Normal 32" xfId="1269"/>
    <cellStyle name="Normal 33" xfId="158"/>
    <cellStyle name="Normal 34" xfId="1270"/>
    <cellStyle name="Normal 36" xfId="72"/>
    <cellStyle name="Normal 36 10" xfId="951"/>
    <cellStyle name="Normal 36 11" xfId="1022"/>
    <cellStyle name="Normal 36 12" xfId="1093"/>
    <cellStyle name="Normal 36 2" xfId="274"/>
    <cellStyle name="Normal 36 3" xfId="345"/>
    <cellStyle name="Normal 36 4" xfId="416"/>
    <cellStyle name="Normal 36 5" xfId="473"/>
    <cellStyle name="Normal 36 6" xfId="691"/>
    <cellStyle name="Normal 36 7" xfId="762"/>
    <cellStyle name="Normal 36 8" xfId="833"/>
    <cellStyle name="Normal 36 9" xfId="904"/>
    <cellStyle name="Normal 36_Hawaii" xfId="1169"/>
    <cellStyle name="Normal 37" xfId="73"/>
    <cellStyle name="Normal 37 10" xfId="952"/>
    <cellStyle name="Normal 37 11" xfId="1023"/>
    <cellStyle name="Normal 37 12" xfId="1094"/>
    <cellStyle name="Normal 37 2" xfId="275"/>
    <cellStyle name="Normal 37 3" xfId="346"/>
    <cellStyle name="Normal 37 4" xfId="417"/>
    <cellStyle name="Normal 37 5" xfId="474"/>
    <cellStyle name="Normal 37 6" xfId="692"/>
    <cellStyle name="Normal 37 7" xfId="763"/>
    <cellStyle name="Normal 37 8" xfId="834"/>
    <cellStyle name="Normal 37 9" xfId="905"/>
    <cellStyle name="Normal 37_Hawaii" xfId="1170"/>
    <cellStyle name="Normal 4" xfId="74"/>
    <cellStyle name="Normal 5" xfId="75"/>
    <cellStyle name="Normal 6" xfId="76"/>
    <cellStyle name="Normal 7" xfId="77"/>
    <cellStyle name="Normal 8" xfId="78"/>
    <cellStyle name="Normal 9" xfId="79"/>
    <cellStyle name="Note" xfId="18" builtinId="10" customBuiltin="1"/>
    <cellStyle name="Output" xfId="13" builtinId="21" customBuiltin="1"/>
    <cellStyle name="Parent row" xfId="1267"/>
    <cellStyle name="Percent" xfId="3" builtinId="5"/>
    <cellStyle name="Percent 2" xfId="1171"/>
    <cellStyle name="Percent 3" xfId="1172"/>
    <cellStyle name="Percent 4" xfId="1173"/>
    <cellStyle name="Percent 5" xfId="1174"/>
    <cellStyle name="Percent 6" xfId="1175"/>
    <cellStyle name="Percent 7" xfId="80"/>
    <cellStyle name="Table title" xfId="1264"/>
    <cellStyle name="Title" xfId="4" builtinId="15" customBuiltin="1"/>
    <cellStyle name="Total" xfId="20" builtinId="25" customBuiltin="1"/>
    <cellStyle name="Warning 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Fossil Fuel Expense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'Fuel Cost Risk Sim'!$D$138</c:f>
              <c:strCache>
                <c:ptCount val="1"/>
                <c:pt idx="0">
                  <c:v>AB1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Sim'!$E$137:$MZ$137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Sim'!$E$138:$MZ$138</c:f>
              <c:numCache>
                <c:formatCode>"$"#,##0</c:formatCode>
                <c:ptCount val="360"/>
                <c:pt idx="0">
                  <c:v>88996133.220760718</c:v>
                </c:pt>
                <c:pt idx="1">
                  <c:v>89284480.804968819</c:v>
                </c:pt>
                <c:pt idx="2">
                  <c:v>89573762.635714501</c:v>
                </c:pt>
                <c:pt idx="3">
                  <c:v>89863981.73995772</c:v>
                </c:pt>
                <c:pt idx="4">
                  <c:v>90155141.15446578</c:v>
                </c:pt>
                <c:pt idx="5">
                  <c:v>90447243.925845146</c:v>
                </c:pt>
                <c:pt idx="6">
                  <c:v>90740293.110573247</c:v>
                </c:pt>
                <c:pt idx="7">
                  <c:v>91034291.775030568</c:v>
                </c:pt>
                <c:pt idx="8">
                  <c:v>91329242.995532602</c:v>
                </c:pt>
                <c:pt idx="9">
                  <c:v>91625149.858362168</c:v>
                </c:pt>
                <c:pt idx="10">
                  <c:v>91922015.459801584</c:v>
                </c:pt>
                <c:pt idx="11">
                  <c:v>92219842.906165168</c:v>
                </c:pt>
                <c:pt idx="12">
                  <c:v>92518635.313831717</c:v>
                </c:pt>
                <c:pt idx="13">
                  <c:v>92818395.809277043</c:v>
                </c:pt>
                <c:pt idx="14">
                  <c:v>93119127.529106781</c:v>
                </c:pt>
                <c:pt idx="15">
                  <c:v>93420833.620089188</c:v>
                </c:pt>
                <c:pt idx="16">
                  <c:v>93723517.239187986</c:v>
                </c:pt>
                <c:pt idx="17">
                  <c:v>94027181.553595543</c:v>
                </c:pt>
                <c:pt idx="18">
                  <c:v>94331829.740765885</c:v>
                </c:pt>
                <c:pt idx="19">
                  <c:v>94637464.988448039</c:v>
                </c:pt>
                <c:pt idx="20">
                  <c:v>94944090.494719267</c:v>
                </c:pt>
                <c:pt idx="21">
                  <c:v>95251709.468018681</c:v>
                </c:pt>
                <c:pt idx="22">
                  <c:v>95560325.127180696</c:v>
                </c:pt>
                <c:pt idx="23">
                  <c:v>95869940.701468766</c:v>
                </c:pt>
                <c:pt idx="24">
                  <c:v>96180559.430609167</c:v>
                </c:pt>
                <c:pt idx="25">
                  <c:v>96492184.564824894</c:v>
                </c:pt>
                <c:pt idx="26">
                  <c:v>96804819.364869669</c:v>
                </c:pt>
                <c:pt idx="27">
                  <c:v>97118467.102062032</c:v>
                </c:pt>
                <c:pt idx="28">
                  <c:v>97433131.058319643</c:v>
                </c:pt>
                <c:pt idx="29">
                  <c:v>97748814.526193544</c:v>
                </c:pt>
                <c:pt idx="30">
                  <c:v>98065520.808902681</c:v>
                </c:pt>
                <c:pt idx="31">
                  <c:v>98383253.2203684</c:v>
                </c:pt>
                <c:pt idx="32">
                  <c:v>98702015.085249171</c:v>
                </c:pt>
                <c:pt idx="33">
                  <c:v>99021809.738975361</c:v>
                </c:pt>
                <c:pt idx="34">
                  <c:v>99342640.527784154</c:v>
                </c:pt>
                <c:pt idx="35">
                  <c:v>99664510.808754489</c:v>
                </c:pt>
                <c:pt idx="36">
                  <c:v>99987423.949842319</c:v>
                </c:pt>
                <c:pt idx="37">
                  <c:v>100311383.32991572</c:v>
                </c:pt>
                <c:pt idx="38">
                  <c:v>100636392.33879036</c:v>
                </c:pt>
                <c:pt idx="39">
                  <c:v>100962454.37726484</c:v>
                </c:pt>
                <c:pt idx="40">
                  <c:v>101289572.85715644</c:v>
                </c:pt>
                <c:pt idx="41">
                  <c:v>101617751.20133665</c:v>
                </c:pt>
                <c:pt idx="42">
                  <c:v>101946992.84376715</c:v>
                </c:pt>
                <c:pt idx="43">
                  <c:v>102277301.22953558</c:v>
                </c:pt>
                <c:pt idx="44">
                  <c:v>102608679.8148917</c:v>
                </c:pt>
                <c:pt idx="45">
                  <c:v>102941132.06728354</c:v>
                </c:pt>
                <c:pt idx="46">
                  <c:v>103274661.46539366</c:v>
                </c:pt>
                <c:pt idx="47">
                  <c:v>103609271.49917555</c:v>
                </c:pt>
                <c:pt idx="48">
                  <c:v>103944965.66989015</c:v>
                </c:pt>
                <c:pt idx="49">
                  <c:v>104281747.49014249</c:v>
                </c:pt>
                <c:pt idx="50">
                  <c:v>104619620.48391844</c:v>
                </c:pt>
                <c:pt idx="51">
                  <c:v>104958588.18662162</c:v>
                </c:pt>
                <c:pt idx="52">
                  <c:v>105298654.14511029</c:v>
                </c:pt>
                <c:pt idx="53">
                  <c:v>105639821.91773465</c:v>
                </c:pt>
                <c:pt idx="54">
                  <c:v>105982095.07437386</c:v>
                </c:pt>
                <c:pt idx="55">
                  <c:v>106325477.19647352</c:v>
                </c:pt>
                <c:pt idx="56">
                  <c:v>106669971.87708315</c:v>
                </c:pt>
                <c:pt idx="57">
                  <c:v>107015582.7208937</c:v>
                </c:pt>
                <c:pt idx="58">
                  <c:v>107362313.34427537</c:v>
                </c:pt>
                <c:pt idx="59">
                  <c:v>107710167.37531537</c:v>
                </c:pt>
                <c:pt idx="60">
                  <c:v>72129174.722812787</c:v>
                </c:pt>
                <c:pt idx="61">
                  <c:v>72362873.340152219</c:v>
                </c:pt>
                <c:pt idx="62">
                  <c:v>72597329.141307428</c:v>
                </c:pt>
                <c:pt idx="63">
                  <c:v>72832544.57955496</c:v>
                </c:pt>
                <c:pt idx="64">
                  <c:v>73068522.116119936</c:v>
                </c:pt>
                <c:pt idx="65">
                  <c:v>73305264.22020188</c:v>
                </c:pt>
                <c:pt idx="66">
                  <c:v>73542773.369000494</c:v>
                </c:pt>
                <c:pt idx="67">
                  <c:v>73781052.047741666</c:v>
                </c:pt>
                <c:pt idx="68">
                  <c:v>74020102.749703348</c:v>
                </c:pt>
                <c:pt idx="69">
                  <c:v>74259927.976241782</c:v>
                </c:pt>
                <c:pt idx="70">
                  <c:v>74500530.236817554</c:v>
                </c:pt>
                <c:pt idx="71">
                  <c:v>74741912.049021915</c:v>
                </c:pt>
                <c:pt idx="72">
                  <c:v>74984075.938603163</c:v>
                </c:pt>
                <c:pt idx="73">
                  <c:v>75227024.439492956</c:v>
                </c:pt>
                <c:pt idx="74">
                  <c:v>75470760.09383297</c:v>
                </c:pt>
                <c:pt idx="75">
                  <c:v>75715285.452001333</c:v>
                </c:pt>
                <c:pt idx="76">
                  <c:v>75960603.072639465</c:v>
                </c:pt>
                <c:pt idx="77">
                  <c:v>76206715.522678778</c:v>
                </c:pt>
                <c:pt idx="78">
                  <c:v>76453625.377367526</c:v>
                </c:pt>
                <c:pt idx="79">
                  <c:v>76701335.220297784</c:v>
                </c:pt>
                <c:pt idx="80">
                  <c:v>76949847.643432468</c:v>
                </c:pt>
                <c:pt idx="81">
                  <c:v>77199165.247132465</c:v>
                </c:pt>
                <c:pt idx="82">
                  <c:v>77449290.640183806</c:v>
                </c:pt>
                <c:pt idx="83">
                  <c:v>77700226.439825028</c:v>
                </c:pt>
                <c:pt idx="84">
                  <c:v>77951975.271774501</c:v>
                </c:pt>
                <c:pt idx="85">
                  <c:v>78204539.770257935</c:v>
                </c:pt>
                <c:pt idx="86">
                  <c:v>78457922.578035921</c:v>
                </c:pt>
                <c:pt idx="87">
                  <c:v>78712126.346431613</c:v>
                </c:pt>
                <c:pt idx="88">
                  <c:v>78967153.735358462</c:v>
                </c:pt>
                <c:pt idx="89">
                  <c:v>79223007.413348019</c:v>
                </c:pt>
                <c:pt idx="90">
                  <c:v>79479690.057577908</c:v>
                </c:pt>
                <c:pt idx="91">
                  <c:v>79737204.353899777</c:v>
                </c:pt>
                <c:pt idx="92">
                  <c:v>79995552.996867463</c:v>
                </c:pt>
                <c:pt idx="93">
                  <c:v>80254738.689765155</c:v>
                </c:pt>
                <c:pt idx="94">
                  <c:v>80514764.144635677</c:v>
                </c:pt>
                <c:pt idx="95">
                  <c:v>80775632.082308888</c:v>
                </c:pt>
                <c:pt idx="96">
                  <c:v>81037345.232430145</c:v>
                </c:pt>
                <c:pt idx="97">
                  <c:v>81299906.333488852</c:v>
                </c:pt>
                <c:pt idx="98">
                  <c:v>81563318.132847086</c:v>
                </c:pt>
                <c:pt idx="99">
                  <c:v>81827583.386768445</c:v>
                </c:pt>
                <c:pt idx="100">
                  <c:v>82092704.860446781</c:v>
                </c:pt>
                <c:pt idx="101">
                  <c:v>82358685.328035191</c:v>
                </c:pt>
                <c:pt idx="102">
                  <c:v>82625527.572675034</c:v>
                </c:pt>
                <c:pt idx="103">
                  <c:v>82893234.386525035</c:v>
                </c:pt>
                <c:pt idx="104">
                  <c:v>83161808.570790544</c:v>
                </c:pt>
                <c:pt idx="105">
                  <c:v>83431252.935752809</c:v>
                </c:pt>
                <c:pt idx="106">
                  <c:v>83701570.300798371</c:v>
                </c:pt>
                <c:pt idx="107">
                  <c:v>83972763.494448602</c:v>
                </c:pt>
                <c:pt idx="108">
                  <c:v>84244835.35438931</c:v>
                </c:pt>
                <c:pt idx="109">
                  <c:v>84517788.727500364</c:v>
                </c:pt>
                <c:pt idx="110">
                  <c:v>84791626.469885558</c:v>
                </c:pt>
                <c:pt idx="111">
                  <c:v>85066351.446902469</c:v>
                </c:pt>
                <c:pt idx="112">
                  <c:v>85341966.533192411</c:v>
                </c:pt>
                <c:pt idx="113">
                  <c:v>85618474.612710565</c:v>
                </c:pt>
                <c:pt idx="114">
                  <c:v>85895878.578756124</c:v>
                </c:pt>
                <c:pt idx="115">
                  <c:v>86174181.334002569</c:v>
                </c:pt>
                <c:pt idx="116">
                  <c:v>86453385.790528044</c:v>
                </c:pt>
                <c:pt idx="117">
                  <c:v>86733494.869845822</c:v>
                </c:pt>
                <c:pt idx="118">
                  <c:v>87014511.502934903</c:v>
                </c:pt>
                <c:pt idx="119">
                  <c:v>87296438.63027066</c:v>
                </c:pt>
                <c:pt idx="120">
                  <c:v>87579279.2018556</c:v>
                </c:pt>
                <c:pt idx="121">
                  <c:v>87863036.177250251</c:v>
                </c:pt>
                <c:pt idx="122">
                  <c:v>88147712.525604114</c:v>
                </c:pt>
                <c:pt idx="123">
                  <c:v>88433311.225686714</c:v>
                </c:pt>
                <c:pt idx="124">
                  <c:v>88719835.265918866</c:v>
                </c:pt>
                <c:pt idx="125">
                  <c:v>89007287.644403785</c:v>
                </c:pt>
                <c:pt idx="126">
                  <c:v>89295671.368958592</c:v>
                </c:pt>
                <c:pt idx="127">
                  <c:v>89584989.457145751</c:v>
                </c:pt>
                <c:pt idx="128">
                  <c:v>89875244.936304599</c:v>
                </c:pt>
                <c:pt idx="129">
                  <c:v>90166440.843583077</c:v>
                </c:pt>
                <c:pt idx="130">
                  <c:v>90458580.225969464</c:v>
                </c:pt>
                <c:pt idx="131">
                  <c:v>90751666.140324309</c:v>
                </c:pt>
                <c:pt idx="132">
                  <c:v>91045701.653412417</c:v>
                </c:pt>
                <c:pt idx="133">
                  <c:v>91340689.841934845</c:v>
                </c:pt>
                <c:pt idx="134">
                  <c:v>91636633.792561233</c:v>
                </c:pt>
                <c:pt idx="135">
                  <c:v>91933536.60196197</c:v>
                </c:pt>
                <c:pt idx="136">
                  <c:v>92231401.37684074</c:v>
                </c:pt>
                <c:pt idx="137">
                  <c:v>92530231.233966902</c:v>
                </c:pt>
                <c:pt idx="138">
                  <c:v>92830029.300208136</c:v>
                </c:pt>
                <c:pt idx="139">
                  <c:v>93130798.712563217</c:v>
                </c:pt>
                <c:pt idx="140">
                  <c:v>93432542.618194759</c:v>
                </c:pt>
                <c:pt idx="141">
                  <c:v>93735264.174462244</c:v>
                </c:pt>
                <c:pt idx="142">
                  <c:v>94038966.548954964</c:v>
                </c:pt>
                <c:pt idx="143">
                  <c:v>94343652.919525191</c:v>
                </c:pt>
                <c:pt idx="144">
                  <c:v>94649326.474321455</c:v>
                </c:pt>
                <c:pt idx="145">
                  <c:v>94955990.411821932</c:v>
                </c:pt>
                <c:pt idx="146">
                  <c:v>95263647.940867797</c:v>
                </c:pt>
                <c:pt idx="147">
                  <c:v>95572302.280696943</c:v>
                </c:pt>
                <c:pt idx="148">
                  <c:v>95881956.660977557</c:v>
                </c:pt>
                <c:pt idx="149">
                  <c:v>96192614.32184197</c:v>
                </c:pt>
                <c:pt idx="150">
                  <c:v>96504278.513920531</c:v>
                </c:pt>
                <c:pt idx="151">
                  <c:v>96816952.498375669</c:v>
                </c:pt>
                <c:pt idx="152">
                  <c:v>97130639.546935946</c:v>
                </c:pt>
                <c:pt idx="153">
                  <c:v>97445342.941930339</c:v>
                </c:pt>
                <c:pt idx="154">
                  <c:v>97761065.976322591</c:v>
                </c:pt>
                <c:pt idx="155">
                  <c:v>98077811.953745633</c:v>
                </c:pt>
                <c:pt idx="156">
                  <c:v>98395584.188536182</c:v>
                </c:pt>
                <c:pt idx="157">
                  <c:v>98714386.005769402</c:v>
                </c:pt>
                <c:pt idx="158">
                  <c:v>99034220.741293728</c:v>
                </c:pt>
                <c:pt idx="159">
                  <c:v>99355091.741765708</c:v>
                </c:pt>
                <c:pt idx="160">
                  <c:v>99677002.364685103</c:v>
                </c:pt>
                <c:pt idx="161">
                  <c:v>99999955.978429943</c:v>
                </c:pt>
                <c:pt idx="162">
                  <c:v>100323955.96229184</c:v>
                </c:pt>
                <c:pt idx="163">
                  <c:v>100649005.70651127</c:v>
                </c:pt>
                <c:pt idx="164">
                  <c:v>100975108.61231315</c:v>
                </c:pt>
                <c:pt idx="165">
                  <c:v>101302268.09194231</c:v>
                </c:pt>
                <c:pt idx="166">
                  <c:v>101630487.5686993</c:v>
                </c:pt>
                <c:pt idx="167">
                  <c:v>101959770.47697614</c:v>
                </c:pt>
                <c:pt idx="168">
                  <c:v>102290120.26229233</c:v>
                </c:pt>
                <c:pt idx="169">
                  <c:v>102621540.38133079</c:v>
                </c:pt>
                <c:pt idx="170">
                  <c:v>102954034.30197416</c:v>
                </c:pt>
                <c:pt idx="171">
                  <c:v>103287605.50334102</c:v>
                </c:pt>
                <c:pt idx="172">
                  <c:v>103622257.47582223</c:v>
                </c:pt>
                <c:pt idx="173">
                  <c:v>103957993.72111759</c:v>
                </c:pt>
                <c:pt idx="174">
                  <c:v>104294817.75227237</c:v>
                </c:pt>
                <c:pt idx="175">
                  <c:v>104632733.09371415</c:v>
                </c:pt>
                <c:pt idx="176">
                  <c:v>104971743.28128965</c:v>
                </c:pt>
                <c:pt idx="177">
                  <c:v>105311851.86230171</c:v>
                </c:pt>
                <c:pt idx="178">
                  <c:v>105653062.39554647</c:v>
                </c:pt>
                <c:pt idx="179">
                  <c:v>105995378.45135054</c:v>
                </c:pt>
                <c:pt idx="180">
                  <c:v>106338803.6116084</c:v>
                </c:pt>
                <c:pt idx="181">
                  <c:v>106683341.4698199</c:v>
                </c:pt>
                <c:pt idx="182">
                  <c:v>107028995.63112783</c:v>
                </c:pt>
                <c:pt idx="183">
                  <c:v>107375769.71235561</c:v>
                </c:pt>
                <c:pt idx="184">
                  <c:v>107723667.34204523</c:v>
                </c:pt>
                <c:pt idx="185">
                  <c:v>108072692.16049509</c:v>
                </c:pt>
                <c:pt idx="186">
                  <c:v>108422847.81979822</c:v>
                </c:pt>
                <c:pt idx="187">
                  <c:v>108774137.98388042</c:v>
                </c:pt>
                <c:pt idx="188">
                  <c:v>109126566.32853858</c:v>
                </c:pt>
                <c:pt idx="189">
                  <c:v>109480136.54147924</c:v>
                </c:pt>
                <c:pt idx="190">
                  <c:v>109834852.32235707</c:v>
                </c:pt>
                <c:pt idx="191">
                  <c:v>110190717.38281363</c:v>
                </c:pt>
                <c:pt idx="192">
                  <c:v>110547735.44651619</c:v>
                </c:pt>
                <c:pt idx="193">
                  <c:v>110905910.24919677</c:v>
                </c:pt>
                <c:pt idx="194">
                  <c:v>111265245.53869109</c:v>
                </c:pt>
                <c:pt idx="195">
                  <c:v>111625745.07497789</c:v>
                </c:pt>
                <c:pt idx="196">
                  <c:v>111987412.63021827</c:v>
                </c:pt>
                <c:pt idx="197">
                  <c:v>112350251.9887951</c:v>
                </c:pt>
                <c:pt idx="198">
                  <c:v>112714266.94735271</c:v>
                </c:pt>
                <c:pt idx="199">
                  <c:v>113079461.31483646</c:v>
                </c:pt>
                <c:pt idx="200">
                  <c:v>113445838.91253282</c:v>
                </c:pt>
                <c:pt idx="201">
                  <c:v>113813403.57410914</c:v>
                </c:pt>
                <c:pt idx="202">
                  <c:v>114182159.1456539</c:v>
                </c:pt>
                <c:pt idx="203">
                  <c:v>114552109.48571694</c:v>
                </c:pt>
                <c:pt idx="204">
                  <c:v>114923258.46534972</c:v>
                </c:pt>
                <c:pt idx="205">
                  <c:v>115295609.96814598</c:v>
                </c:pt>
                <c:pt idx="206">
                  <c:v>115669167.8902823</c:v>
                </c:pt>
                <c:pt idx="207">
                  <c:v>116043936.14055885</c:v>
                </c:pt>
                <c:pt idx="208">
                  <c:v>116419918.64044036</c:v>
                </c:pt>
                <c:pt idx="209">
                  <c:v>116797119.32409708</c:v>
                </c:pt>
                <c:pt idx="210">
                  <c:v>117175542.13844596</c:v>
                </c:pt>
                <c:pt idx="211">
                  <c:v>117555191.043192</c:v>
                </c:pt>
                <c:pt idx="212">
                  <c:v>117936070.01086965</c:v>
                </c:pt>
                <c:pt idx="213">
                  <c:v>118318183.02688436</c:v>
                </c:pt>
                <c:pt idx="214">
                  <c:v>118701534.08955429</c:v>
                </c:pt>
                <c:pt idx="215">
                  <c:v>119086127.21015219</c:v>
                </c:pt>
                <c:pt idx="216">
                  <c:v>119471966.4129473</c:v>
                </c:pt>
                <c:pt idx="217">
                  <c:v>119859055.73524754</c:v>
                </c:pt>
                <c:pt idx="218">
                  <c:v>120247399.22744165</c:v>
                </c:pt>
                <c:pt idx="219">
                  <c:v>120637000.9530417</c:v>
                </c:pt>
                <c:pt idx="220">
                  <c:v>121027864.9887255</c:v>
                </c:pt>
                <c:pt idx="221">
                  <c:v>121419995.42437932</c:v>
                </c:pt>
                <c:pt idx="222">
                  <c:v>121813396.36314067</c:v>
                </c:pt>
                <c:pt idx="223">
                  <c:v>122208071.92144124</c:v>
                </c:pt>
                <c:pt idx="224">
                  <c:v>122604026.22904994</c:v>
                </c:pt>
                <c:pt idx="225">
                  <c:v>123001263.42911614</c:v>
                </c:pt>
                <c:pt idx="226">
                  <c:v>123399787.67821305</c:v>
                </c:pt>
                <c:pt idx="227">
                  <c:v>123799603.1463811</c:v>
                </c:pt>
                <c:pt idx="228">
                  <c:v>124200714.01717176</c:v>
                </c:pt>
                <c:pt idx="229">
                  <c:v>124603124.48769115</c:v>
                </c:pt>
                <c:pt idx="230">
                  <c:v>125006838.76864403</c:v>
                </c:pt>
                <c:pt idx="231">
                  <c:v>125411861.08437787</c:v>
                </c:pt>
                <c:pt idx="232">
                  <c:v>125818195.67292701</c:v>
                </c:pt>
                <c:pt idx="233">
                  <c:v>126225846.78605704</c:v>
                </c:pt>
                <c:pt idx="234">
                  <c:v>126634818.68930924</c:v>
                </c:pt>
                <c:pt idx="235">
                  <c:v>127045115.66204529</c:v>
                </c:pt>
                <c:pt idx="236">
                  <c:v>127456741.997492</c:v>
                </c:pt>
                <c:pt idx="237">
                  <c:v>127869702.00278625</c:v>
                </c:pt>
                <c:pt idx="238">
                  <c:v>128283999.99902</c:v>
                </c:pt>
                <c:pt idx="239">
                  <c:v>128699640.32128559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'Fuel Cost Risk Sim'!$D$140</c:f>
              <c:strCache>
                <c:ptCount val="1"/>
                <c:pt idx="0">
                  <c:v>AB2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Sim'!$E$137:$MZ$137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Sim'!$E$140:$MZ$140</c:f>
              <c:numCache>
                <c:formatCode>"$"#,##0</c:formatCode>
                <c:ptCount val="360"/>
                <c:pt idx="0">
                  <c:v>88996133.220760718</c:v>
                </c:pt>
                <c:pt idx="1">
                  <c:v>89284480.804968819</c:v>
                </c:pt>
                <c:pt idx="2">
                  <c:v>89573762.635714501</c:v>
                </c:pt>
                <c:pt idx="3">
                  <c:v>89863981.73995772</c:v>
                </c:pt>
                <c:pt idx="4">
                  <c:v>90155141.15446578</c:v>
                </c:pt>
                <c:pt idx="5">
                  <c:v>90447243.925845146</c:v>
                </c:pt>
                <c:pt idx="6">
                  <c:v>90740293.110573247</c:v>
                </c:pt>
                <c:pt idx="7">
                  <c:v>91034291.775030568</c:v>
                </c:pt>
                <c:pt idx="8">
                  <c:v>91329242.995532602</c:v>
                </c:pt>
                <c:pt idx="9">
                  <c:v>91625149.858362168</c:v>
                </c:pt>
                <c:pt idx="10">
                  <c:v>91922015.459801584</c:v>
                </c:pt>
                <c:pt idx="11">
                  <c:v>92219842.906165168</c:v>
                </c:pt>
                <c:pt idx="12">
                  <c:v>92518635.313831717</c:v>
                </c:pt>
                <c:pt idx="13">
                  <c:v>92818395.809277043</c:v>
                </c:pt>
                <c:pt idx="14">
                  <c:v>93119127.529106781</c:v>
                </c:pt>
                <c:pt idx="15">
                  <c:v>93420833.620089188</c:v>
                </c:pt>
                <c:pt idx="16">
                  <c:v>93723517.239187986</c:v>
                </c:pt>
                <c:pt idx="17">
                  <c:v>94027181.553595543</c:v>
                </c:pt>
                <c:pt idx="18">
                  <c:v>94331829.740765885</c:v>
                </c:pt>
                <c:pt idx="19">
                  <c:v>94637464.988448039</c:v>
                </c:pt>
                <c:pt idx="20">
                  <c:v>94944090.494719267</c:v>
                </c:pt>
                <c:pt idx="21">
                  <c:v>95251709.468018681</c:v>
                </c:pt>
                <c:pt idx="22">
                  <c:v>95560325.127180696</c:v>
                </c:pt>
                <c:pt idx="23">
                  <c:v>95869940.701468766</c:v>
                </c:pt>
                <c:pt idx="24">
                  <c:v>96180559.430609167</c:v>
                </c:pt>
                <c:pt idx="25">
                  <c:v>96492184.564824894</c:v>
                </c:pt>
                <c:pt idx="26">
                  <c:v>96804819.364869669</c:v>
                </c:pt>
                <c:pt idx="27">
                  <c:v>97118467.102062032</c:v>
                </c:pt>
                <c:pt idx="28">
                  <c:v>97433131.058319643</c:v>
                </c:pt>
                <c:pt idx="29">
                  <c:v>97748814.526193544</c:v>
                </c:pt>
                <c:pt idx="30">
                  <c:v>98065520.808902681</c:v>
                </c:pt>
                <c:pt idx="31">
                  <c:v>98383253.2203684</c:v>
                </c:pt>
                <c:pt idx="32">
                  <c:v>98702015.085249171</c:v>
                </c:pt>
                <c:pt idx="33">
                  <c:v>99021809.738975361</c:v>
                </c:pt>
                <c:pt idx="34">
                  <c:v>99342640.527784154</c:v>
                </c:pt>
                <c:pt idx="35">
                  <c:v>99664510.808754489</c:v>
                </c:pt>
                <c:pt idx="36">
                  <c:v>99987423.949842319</c:v>
                </c:pt>
                <c:pt idx="37">
                  <c:v>100311383.32991572</c:v>
                </c:pt>
                <c:pt idx="38">
                  <c:v>100636392.33879036</c:v>
                </c:pt>
                <c:pt idx="39">
                  <c:v>100962454.37726484</c:v>
                </c:pt>
                <c:pt idx="40">
                  <c:v>101289572.85715644</c:v>
                </c:pt>
                <c:pt idx="41">
                  <c:v>101617751.20133665</c:v>
                </c:pt>
                <c:pt idx="42">
                  <c:v>101946992.84376715</c:v>
                </c:pt>
                <c:pt idx="43">
                  <c:v>102277301.22953558</c:v>
                </c:pt>
                <c:pt idx="44">
                  <c:v>102608679.8148917</c:v>
                </c:pt>
                <c:pt idx="45">
                  <c:v>102941132.06728354</c:v>
                </c:pt>
                <c:pt idx="46">
                  <c:v>103274661.46539366</c:v>
                </c:pt>
                <c:pt idx="47">
                  <c:v>103609271.49917555</c:v>
                </c:pt>
                <c:pt idx="48">
                  <c:v>103944965.66989015</c:v>
                </c:pt>
                <c:pt idx="49">
                  <c:v>104281747.49014249</c:v>
                </c:pt>
                <c:pt idx="50">
                  <c:v>104619620.48391844</c:v>
                </c:pt>
                <c:pt idx="51">
                  <c:v>104958588.18662162</c:v>
                </c:pt>
                <c:pt idx="52">
                  <c:v>105298654.14511029</c:v>
                </c:pt>
                <c:pt idx="53">
                  <c:v>105639821.91773465</c:v>
                </c:pt>
                <c:pt idx="54">
                  <c:v>105982095.07437386</c:v>
                </c:pt>
                <c:pt idx="55">
                  <c:v>106325477.19647352</c:v>
                </c:pt>
                <c:pt idx="56">
                  <c:v>106669971.87708315</c:v>
                </c:pt>
                <c:pt idx="57">
                  <c:v>107015582.7208937</c:v>
                </c:pt>
                <c:pt idx="58">
                  <c:v>107362313.34427537</c:v>
                </c:pt>
                <c:pt idx="59">
                  <c:v>107710167.37531537</c:v>
                </c:pt>
                <c:pt idx="60">
                  <c:v>38527757.092356443</c:v>
                </c:pt>
                <c:pt idx="61">
                  <c:v>38620997.508488208</c:v>
                </c:pt>
                <c:pt idx="62">
                  <c:v>38714540.032435223</c:v>
                </c:pt>
                <c:pt idx="63">
                  <c:v>38808385.643055566</c:v>
                </c:pt>
                <c:pt idx="64">
                  <c:v>38902535.322378859</c:v>
                </c:pt>
                <c:pt idx="65">
                  <c:v>38996990.055616617</c:v>
                </c:pt>
                <c:pt idx="66">
                  <c:v>39091750.831172541</c:v>
                </c:pt>
                <c:pt idx="67">
                  <c:v>39186818.640652843</c:v>
                </c:pt>
                <c:pt idx="68">
                  <c:v>39282194.478876643</c:v>
                </c:pt>
                <c:pt idx="69">
                  <c:v>39377879.343886361</c:v>
                </c:pt>
                <c:pt idx="70">
                  <c:v>39473874.236958161</c:v>
                </c:pt>
                <c:pt idx="71">
                  <c:v>39570180.162612461</c:v>
                </c:pt>
                <c:pt idx="72">
                  <c:v>39666798.128624402</c:v>
                </c:pt>
                <c:pt idx="73">
                  <c:v>39763729.14603442</c:v>
                </c:pt>
                <c:pt idx="74">
                  <c:v>39860974.229158804</c:v>
                </c:pt>
                <c:pt idx="75">
                  <c:v>39958534.395600356</c:v>
                </c:pt>
                <c:pt idx="76">
                  <c:v>40056410.666258976</c:v>
                </c:pt>
                <c:pt idx="77">
                  <c:v>40154604.065342374</c:v>
                </c:pt>
                <c:pt idx="78">
                  <c:v>40253115.620376833</c:v>
                </c:pt>
                <c:pt idx="79">
                  <c:v>40351946.362217873</c:v>
                </c:pt>
                <c:pt idx="80">
                  <c:v>40451097.325061105</c:v>
                </c:pt>
                <c:pt idx="81">
                  <c:v>40550569.546453036</c:v>
                </c:pt>
                <c:pt idx="82">
                  <c:v>40650364.067301907</c:v>
                </c:pt>
                <c:pt idx="83">
                  <c:v>40750481.93188861</c:v>
                </c:pt>
                <c:pt idx="84">
                  <c:v>40850924.18787761</c:v>
                </c:pt>
                <c:pt idx="85">
                  <c:v>40951691.886327893</c:v>
                </c:pt>
                <c:pt idx="86">
                  <c:v>41052786.081703991</c:v>
                </c:pt>
                <c:pt idx="87">
                  <c:v>41154207.831886984</c:v>
                </c:pt>
                <c:pt idx="88">
                  <c:v>41255958.1981856</c:v>
                </c:pt>
                <c:pt idx="89">
                  <c:v>41358038.245347314</c:v>
                </c:pt>
                <c:pt idx="90">
                  <c:v>41460449.041569456</c:v>
                </c:pt>
                <c:pt idx="91">
                  <c:v>41563191.658510454</c:v>
                </c:pt>
                <c:pt idx="92">
                  <c:v>41666267.171300985</c:v>
                </c:pt>
                <c:pt idx="93">
                  <c:v>41769676.658555262</c:v>
                </c:pt>
                <c:pt idx="94">
                  <c:v>41873421.202382304</c:v>
                </c:pt>
                <c:pt idx="95">
                  <c:v>41977501.888397262</c:v>
                </c:pt>
                <c:pt idx="96">
                  <c:v>42081919.805732816</c:v>
                </c:pt>
                <c:pt idx="97">
                  <c:v>42186676.047050491</c:v>
                </c:pt>
                <c:pt idx="98">
                  <c:v>42291771.708552182</c:v>
                </c:pt>
                <c:pt idx="99">
                  <c:v>42397207.889991552</c:v>
                </c:pt>
                <c:pt idx="100">
                  <c:v>42502985.694685586</c:v>
                </c:pt>
                <c:pt idx="101">
                  <c:v>42609106.229526117</c:v>
                </c:pt>
                <c:pt idx="102">
                  <c:v>42715570.604991414</c:v>
                </c:pt>
                <c:pt idx="103">
                  <c:v>42822379.935157798</c:v>
                </c:pt>
                <c:pt idx="104">
                  <c:v>42929535.337711312</c:v>
                </c:pt>
                <c:pt idx="105">
                  <c:v>43037037.933959395</c:v>
                </c:pt>
                <c:pt idx="106">
                  <c:v>43144888.848842628</c:v>
                </c:pt>
                <c:pt idx="107">
                  <c:v>43253089.21094653</c:v>
                </c:pt>
                <c:pt idx="108">
                  <c:v>43361640.152513325</c:v>
                </c:pt>
                <c:pt idx="109">
                  <c:v>43470542.809453793</c:v>
                </c:pt>
                <c:pt idx="110">
                  <c:v>43579798.321359217</c:v>
                </c:pt>
                <c:pt idx="111">
                  <c:v>43689407.831513226</c:v>
                </c:pt>
                <c:pt idx="112">
                  <c:v>43799372.486903816</c:v>
                </c:pt>
                <c:pt idx="113">
                  <c:v>43909693.438235328</c:v>
                </c:pt>
                <c:pt idx="114">
                  <c:v>44020371.839940496</c:v>
                </c:pt>
                <c:pt idx="115">
                  <c:v>44131408.850192524</c:v>
                </c:pt>
                <c:pt idx="116">
                  <c:v>44242805.630917192</c:v>
                </c:pt>
                <c:pt idx="117">
                  <c:v>44354563.347805068</c:v>
                </c:pt>
                <c:pt idx="118">
                  <c:v>44466683.170323625</c:v>
                </c:pt>
                <c:pt idx="119">
                  <c:v>44579166.271729551</c:v>
                </c:pt>
                <c:pt idx="120">
                  <c:v>44692013.829080999</c:v>
                </c:pt>
                <c:pt idx="121">
                  <c:v>44805227.023249879</c:v>
                </c:pt>
                <c:pt idx="122">
                  <c:v>44918807.038934246</c:v>
                </c:pt>
                <c:pt idx="123">
                  <c:v>45032755.064670704</c:v>
                </c:pt>
                <c:pt idx="124">
                  <c:v>45147072.292846821</c:v>
                </c:pt>
                <c:pt idx="125">
                  <c:v>45261759.919713609</c:v>
                </c:pt>
                <c:pt idx="126">
                  <c:v>45376819.145398051</c:v>
                </c:pt>
                <c:pt idx="127">
                  <c:v>45492251.173915662</c:v>
                </c:pt>
                <c:pt idx="128">
                  <c:v>45608057.21318306</c:v>
                </c:pt>
                <c:pt idx="129">
                  <c:v>45724238.475030661</c:v>
                </c:pt>
                <c:pt idx="130">
                  <c:v>45840796.175215289</c:v>
                </c:pt>
                <c:pt idx="131">
                  <c:v>45957731.533432961</c:v>
                </c:pt>
                <c:pt idx="132">
                  <c:v>46075045.773331627</c:v>
                </c:pt>
                <c:pt idx="133">
                  <c:v>46192740.122523956</c:v>
                </c:pt>
                <c:pt idx="134">
                  <c:v>46310815.81260021</c:v>
                </c:pt>
                <c:pt idx="135">
                  <c:v>46429274.079141125</c:v>
                </c:pt>
                <c:pt idx="136">
                  <c:v>46548116.161730818</c:v>
                </c:pt>
                <c:pt idx="137">
                  <c:v>46667343.303969786</c:v>
                </c:pt>
                <c:pt idx="138">
                  <c:v>46786956.75348793</c:v>
                </c:pt>
                <c:pt idx="139">
                  <c:v>46906957.761957556</c:v>
                </c:pt>
                <c:pt idx="140">
                  <c:v>47027347.585106537</c:v>
                </c:pt>
                <c:pt idx="141">
                  <c:v>47148127.482731394</c:v>
                </c:pt>
                <c:pt idx="142">
                  <c:v>47269298.718710534</c:v>
                </c:pt>
                <c:pt idx="143">
                  <c:v>47390862.561017431</c:v>
                </c:pt>
                <c:pt idx="144">
                  <c:v>47512820.281733938</c:v>
                </c:pt>
                <c:pt idx="145">
                  <c:v>47635173.157063551</c:v>
                </c:pt>
                <c:pt idx="146">
                  <c:v>47757922.467344798</c:v>
                </c:pt>
                <c:pt idx="147">
                  <c:v>47881069.49706462</c:v>
                </c:pt>
                <c:pt idx="148">
                  <c:v>48004615.534871832</c:v>
                </c:pt>
                <c:pt idx="149">
                  <c:v>48128561.873590559</c:v>
                </c:pt>
                <c:pt idx="150">
                  <c:v>48252909.810233846</c:v>
                </c:pt>
                <c:pt idx="151">
                  <c:v>48377660.646017157</c:v>
                </c:pt>
                <c:pt idx="152">
                  <c:v>48502815.686372012</c:v>
                </c:pt>
                <c:pt idx="153">
                  <c:v>48628376.240959674</c:v>
                </c:pt>
                <c:pt idx="154">
                  <c:v>48754343.623684801</c:v>
                </c:pt>
                <c:pt idx="155">
                  <c:v>48880719.152709261</c:v>
                </c:pt>
                <c:pt idx="156">
                  <c:v>49007504.150465883</c:v>
                </c:pt>
                <c:pt idx="157">
                  <c:v>49134699.943672292</c:v>
                </c:pt>
                <c:pt idx="158">
                  <c:v>49262307.863344811</c:v>
                </c:pt>
                <c:pt idx="159">
                  <c:v>49390329.244812392</c:v>
                </c:pt>
                <c:pt idx="160">
                  <c:v>49518765.42773056</c:v>
                </c:pt>
                <c:pt idx="161">
                  <c:v>49647617.756095469</c:v>
                </c:pt>
                <c:pt idx="162">
                  <c:v>49776887.578257941</c:v>
                </c:pt>
                <c:pt idx="163">
                  <c:v>49906576.246937573</c:v>
                </c:pt>
                <c:pt idx="164">
                  <c:v>50036685.119236939</c:v>
                </c:pt>
                <c:pt idx="165">
                  <c:v>50167215.556655705</c:v>
                </c:pt>
                <c:pt idx="166">
                  <c:v>50298168.925104938</c:v>
                </c:pt>
                <c:pt idx="167">
                  <c:v>50429546.594921432</c:v>
                </c:pt>
                <c:pt idx="168">
                  <c:v>50561349.94088193</c:v>
                </c:pt>
                <c:pt idx="169">
                  <c:v>50693580.342217654</c:v>
                </c:pt>
                <c:pt idx="170">
                  <c:v>50826239.182628617</c:v>
                </c:pt>
                <c:pt idx="171">
                  <c:v>50959327.850298174</c:v>
                </c:pt>
                <c:pt idx="172">
                  <c:v>51092847.737907507</c:v>
                </c:pt>
                <c:pt idx="173">
                  <c:v>51226800.242650233</c:v>
                </c:pt>
                <c:pt idx="174">
                  <c:v>51361186.766247004</c:v>
                </c:pt>
                <c:pt idx="175">
                  <c:v>51496008.714960195</c:v>
                </c:pt>
                <c:pt idx="176">
                  <c:v>51631267.499608576</c:v>
                </c:pt>
                <c:pt idx="177">
                  <c:v>51766964.53558214</c:v>
                </c:pt>
                <c:pt idx="178">
                  <c:v>51903101.24285683</c:v>
                </c:pt>
                <c:pt idx="179">
                  <c:v>52039679.046009496</c:v>
                </c:pt>
                <c:pt idx="180">
                  <c:v>52176699.374232724</c:v>
                </c:pt>
                <c:pt idx="181">
                  <c:v>52314163.661349826</c:v>
                </c:pt>
                <c:pt idx="182">
                  <c:v>52452073.345829844</c:v>
                </c:pt>
                <c:pt idx="183">
                  <c:v>52590429.870802581</c:v>
                </c:pt>
                <c:pt idx="184">
                  <c:v>52729234.684073724</c:v>
                </c:pt>
                <c:pt idx="185">
                  <c:v>52868489.238140017</c:v>
                </c:pt>
                <c:pt idx="186">
                  <c:v>53008194.990204379</c:v>
                </c:pt>
                <c:pt idx="187">
                  <c:v>53148353.402191237</c:v>
                </c:pt>
                <c:pt idx="188">
                  <c:v>53288965.940761805</c:v>
                </c:pt>
                <c:pt idx="189">
                  <c:v>53430034.077329382</c:v>
                </c:pt>
                <c:pt idx="190">
                  <c:v>53571559.288074821</c:v>
                </c:pt>
                <c:pt idx="191">
                  <c:v>53713543.053961918</c:v>
                </c:pt>
                <c:pt idx="192">
                  <c:v>53855986.86075294</c:v>
                </c:pt>
                <c:pt idx="193">
                  <c:v>53998892.199024171</c:v>
                </c:pt>
                <c:pt idx="194">
                  <c:v>54142260.564181484</c:v>
                </c:pt>
                <c:pt idx="195">
                  <c:v>54286093.456476033</c:v>
                </c:pt>
                <c:pt idx="196">
                  <c:v>54430392.38101992</c:v>
                </c:pt>
                <c:pt idx="197">
                  <c:v>54575158.847801954</c:v>
                </c:pt>
                <c:pt idx="198">
                  <c:v>54720394.371703446</c:v>
                </c:pt>
                <c:pt idx="199">
                  <c:v>54866100.472514063</c:v>
                </c:pt>
                <c:pt idx="200">
                  <c:v>55012278.674947768</c:v>
                </c:pt>
                <c:pt idx="201">
                  <c:v>55158930.508658677</c:v>
                </c:pt>
                <c:pt idx="202">
                  <c:v>55306057.50825721</c:v>
                </c:pt>
                <c:pt idx="203">
                  <c:v>55453661.213326</c:v>
                </c:pt>
                <c:pt idx="204">
                  <c:v>55601743.168436125</c:v>
                </c:pt>
                <c:pt idx="205">
                  <c:v>55750304.923163183</c:v>
                </c:pt>
                <c:pt idx="206">
                  <c:v>55899348.032103583</c:v>
                </c:pt>
                <c:pt idx="207">
                  <c:v>56048874.054890722</c:v>
                </c:pt>
                <c:pt idx="208">
                  <c:v>56198884.556211427</c:v>
                </c:pt>
                <c:pt idx="209">
                  <c:v>56349381.105822198</c:v>
                </c:pt>
                <c:pt idx="210">
                  <c:v>56500365.27856572</c:v>
                </c:pt>
                <c:pt idx="211">
                  <c:v>56651838.65438731</c:v>
                </c:pt>
                <c:pt idx="212">
                  <c:v>56803802.81835147</c:v>
                </c:pt>
                <c:pt idx="213">
                  <c:v>56956259.360658467</c:v>
                </c:pt>
                <c:pt idx="214">
                  <c:v>57109209.876660936</c:v>
                </c:pt>
                <c:pt idx="215">
                  <c:v>57262655.966880634</c:v>
                </c:pt>
                <c:pt idx="216">
                  <c:v>57416599.237025164</c:v>
                </c:pt>
                <c:pt idx="217">
                  <c:v>57571041.298004761</c:v>
                </c:pt>
                <c:pt idx="218">
                  <c:v>57725983.765949145</c:v>
                </c:pt>
                <c:pt idx="219">
                  <c:v>57881428.26222451</c:v>
                </c:pt>
                <c:pt idx="220">
                  <c:v>58037376.413450345</c:v>
                </c:pt>
                <c:pt idx="221">
                  <c:v>58193829.851516619</c:v>
                </c:pt>
                <c:pt idx="222">
                  <c:v>58350790.213600747</c:v>
                </c:pt>
                <c:pt idx="223">
                  <c:v>58508259.142184719</c:v>
                </c:pt>
                <c:pt idx="224">
                  <c:v>58666238.285072416</c:v>
                </c:pt>
                <c:pt idx="225">
                  <c:v>58824729.295406662</c:v>
                </c:pt>
                <c:pt idx="226">
                  <c:v>58983733.831686661</c:v>
                </c:pt>
                <c:pt idx="227">
                  <c:v>59143253.557785355</c:v>
                </c:pt>
                <c:pt idx="228">
                  <c:v>59303290.142966688</c:v>
                </c:pt>
                <c:pt idx="229">
                  <c:v>59463845.261903293</c:v>
                </c:pt>
                <c:pt idx="230">
                  <c:v>59624920.594693817</c:v>
                </c:pt>
                <c:pt idx="231">
                  <c:v>59786517.826880656</c:v>
                </c:pt>
                <c:pt idx="232">
                  <c:v>59948638.649467446</c:v>
                </c:pt>
                <c:pt idx="233">
                  <c:v>60111284.758936897</c:v>
                </c:pt>
                <c:pt idx="234">
                  <c:v>60274457.857268468</c:v>
                </c:pt>
                <c:pt idx="235">
                  <c:v>60438159.651956163</c:v>
                </c:pt>
                <c:pt idx="236">
                  <c:v>60602391.856026486</c:v>
                </c:pt>
                <c:pt idx="237">
                  <c:v>60767156.18805626</c:v>
                </c:pt>
                <c:pt idx="238">
                  <c:v>60932454.372190684</c:v>
                </c:pt>
                <c:pt idx="239">
                  <c:v>61098288.138161339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22208"/>
        <c:axId val="32361907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'Fuel Cost Risk Sim'!$D$139</c15:sqref>
                        </c15:formulaRef>
                      </c:ext>
                    </c:extLst>
                    <c:strCache>
                      <c:ptCount val="1"/>
                      <c:pt idx="0">
                        <c:v>AB1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'Fuel Cost Risk Sim'!$E$137:$MZ$137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'Fuel Cost Risk Sim'!$E$139:$MZ$139</c15:sqref>
                        </c15:formulaRef>
                      </c:ext>
                    </c:extLst>
                    <c:numCache>
                      <c:formatCode>"$"#,##0</c:formatCode>
                      <c:ptCount val="360"/>
                      <c:pt idx="0">
                        <c:v>111097171.54231954</c:v>
                      </c:pt>
                      <c:pt idx="1">
                        <c:v>111385519.12652764</c:v>
                      </c:pt>
                      <c:pt idx="2">
                        <c:v>111674800.95727333</c:v>
                      </c:pt>
                      <c:pt idx="3">
                        <c:v>111965020.06151655</c:v>
                      </c:pt>
                      <c:pt idx="4">
                        <c:v>112256179.4760246</c:v>
                      </c:pt>
                      <c:pt idx="5">
                        <c:v>112548282.24740398</c:v>
                      </c:pt>
                      <c:pt idx="6">
                        <c:v>112841331.43213207</c:v>
                      </c:pt>
                      <c:pt idx="7">
                        <c:v>113135330.09658939</c:v>
                      </c:pt>
                      <c:pt idx="8">
                        <c:v>113430281.31709144</c:v>
                      </c:pt>
                      <c:pt idx="9">
                        <c:v>113726188.179921</c:v>
                      </c:pt>
                      <c:pt idx="10">
                        <c:v>114023053.78136042</c:v>
                      </c:pt>
                      <c:pt idx="11">
                        <c:v>114320881.22772399</c:v>
                      </c:pt>
                      <c:pt idx="12">
                        <c:v>114619673.63539055</c:v>
                      </c:pt>
                      <c:pt idx="13">
                        <c:v>114919434.13083586</c:v>
                      </c:pt>
                      <c:pt idx="14">
                        <c:v>115220165.8506656</c:v>
                      </c:pt>
                      <c:pt idx="15">
                        <c:v>115521871.94164801</c:v>
                      </c:pt>
                      <c:pt idx="16">
                        <c:v>115824555.56074682</c:v>
                      </c:pt>
                      <c:pt idx="17">
                        <c:v>116128219.87515438</c:v>
                      </c:pt>
                      <c:pt idx="18">
                        <c:v>116432868.0623247</c:v>
                      </c:pt>
                      <c:pt idx="19">
                        <c:v>116738503.31000686</c:v>
                      </c:pt>
                      <c:pt idx="20">
                        <c:v>117045128.8162781</c:v>
                      </c:pt>
                      <c:pt idx="21">
                        <c:v>117352747.78957751</c:v>
                      </c:pt>
                      <c:pt idx="22">
                        <c:v>117661363.44873953</c:v>
                      </c:pt>
                      <c:pt idx="23">
                        <c:v>117970979.0230276</c:v>
                      </c:pt>
                      <c:pt idx="24">
                        <c:v>118281597.752168</c:v>
                      </c:pt>
                      <c:pt idx="25">
                        <c:v>118593222.88638371</c:v>
                      </c:pt>
                      <c:pt idx="26">
                        <c:v>118905857.68642849</c:v>
                      </c:pt>
                      <c:pt idx="27">
                        <c:v>119219505.42362085</c:v>
                      </c:pt>
                      <c:pt idx="28">
                        <c:v>119534169.37987846</c:v>
                      </c:pt>
                      <c:pt idx="29">
                        <c:v>119849852.84775236</c:v>
                      </c:pt>
                      <c:pt idx="30">
                        <c:v>120166559.13046151</c:v>
                      </c:pt>
                      <c:pt idx="31">
                        <c:v>120484291.54192722</c:v>
                      </c:pt>
                      <c:pt idx="32">
                        <c:v>120803053.40680799</c:v>
                      </c:pt>
                      <c:pt idx="33">
                        <c:v>121122848.06053418</c:v>
                      </c:pt>
                      <c:pt idx="34">
                        <c:v>121443678.84934297</c:v>
                      </c:pt>
                      <c:pt idx="35">
                        <c:v>121765549.13031331</c:v>
                      </c:pt>
                      <c:pt idx="36">
                        <c:v>122088462.27140114</c:v>
                      </c:pt>
                      <c:pt idx="37">
                        <c:v>122412421.65147454</c:v>
                      </c:pt>
                      <c:pt idx="38">
                        <c:v>122737430.66034919</c:v>
                      </c:pt>
                      <c:pt idx="39">
                        <c:v>123063492.69882366</c:v>
                      </c:pt>
                      <c:pt idx="40">
                        <c:v>123390611.17871526</c:v>
                      </c:pt>
                      <c:pt idx="41">
                        <c:v>123718789.52289549</c:v>
                      </c:pt>
                      <c:pt idx="42">
                        <c:v>124048031.16532597</c:v>
                      </c:pt>
                      <c:pt idx="43">
                        <c:v>124378339.55109441</c:v>
                      </c:pt>
                      <c:pt idx="44">
                        <c:v>124709718.13645053</c:v>
                      </c:pt>
                      <c:pt idx="45">
                        <c:v>125042170.38884237</c:v>
                      </c:pt>
                      <c:pt idx="46">
                        <c:v>125375699.7869525</c:v>
                      </c:pt>
                      <c:pt idx="47">
                        <c:v>125710309.82073438</c:v>
                      </c:pt>
                      <c:pt idx="48">
                        <c:v>126046003.99144897</c:v>
                      </c:pt>
                      <c:pt idx="49">
                        <c:v>126382785.81170133</c:v>
                      </c:pt>
                      <c:pt idx="50">
                        <c:v>126720658.80547726</c:v>
                      </c:pt>
                      <c:pt idx="51">
                        <c:v>127059626.50818044</c:v>
                      </c:pt>
                      <c:pt idx="52">
                        <c:v>127399692.46666911</c:v>
                      </c:pt>
                      <c:pt idx="53">
                        <c:v>127740860.23929349</c:v>
                      </c:pt>
                      <c:pt idx="54">
                        <c:v>128083133.39593267</c:v>
                      </c:pt>
                      <c:pt idx="55">
                        <c:v>128426515.51803234</c:v>
                      </c:pt>
                      <c:pt idx="56">
                        <c:v>128771010.19864199</c:v>
                      </c:pt>
                      <c:pt idx="57">
                        <c:v>129116621.04245251</c:v>
                      </c:pt>
                      <c:pt idx="58">
                        <c:v>129463351.66583419</c:v>
                      </c:pt>
                      <c:pt idx="59">
                        <c:v>129811205.6968742</c:v>
                      </c:pt>
                      <c:pt idx="60">
                        <c:v>123643037.53758751</c:v>
                      </c:pt>
                      <c:pt idx="61">
                        <c:v>123876736.15492694</c:v>
                      </c:pt>
                      <c:pt idx="62">
                        <c:v>124111191.95608215</c:v>
                      </c:pt>
                      <c:pt idx="63">
                        <c:v>124346407.39432968</c:v>
                      </c:pt>
                      <c:pt idx="64">
                        <c:v>124582384.93089466</c:v>
                      </c:pt>
                      <c:pt idx="65">
                        <c:v>124819127.0349766</c:v>
                      </c:pt>
                      <c:pt idx="66">
                        <c:v>125056636.18377522</c:v>
                      </c:pt>
                      <c:pt idx="67">
                        <c:v>125294914.86251639</c:v>
                      </c:pt>
                      <c:pt idx="68">
                        <c:v>125533965.56447807</c:v>
                      </c:pt>
                      <c:pt idx="69">
                        <c:v>125773790.7910165</c:v>
                      </c:pt>
                      <c:pt idx="70">
                        <c:v>126014393.05159228</c:v>
                      </c:pt>
                      <c:pt idx="71">
                        <c:v>126255774.86379664</c:v>
                      </c:pt>
                      <c:pt idx="72">
                        <c:v>126497938.75337788</c:v>
                      </c:pt>
                      <c:pt idx="73">
                        <c:v>126740887.25426768</c:v>
                      </c:pt>
                      <c:pt idx="74">
                        <c:v>126984622.90860769</c:v>
                      </c:pt>
                      <c:pt idx="75">
                        <c:v>127229148.26677606</c:v>
                      </c:pt>
                      <c:pt idx="76">
                        <c:v>127474465.88741419</c:v>
                      </c:pt>
                      <c:pt idx="77">
                        <c:v>127720578.3374535</c:v>
                      </c:pt>
                      <c:pt idx="78">
                        <c:v>127967488.19214225</c:v>
                      </c:pt>
                      <c:pt idx="79">
                        <c:v>128215198.03507251</c:v>
                      </c:pt>
                      <c:pt idx="80">
                        <c:v>128463710.45820719</c:v>
                      </c:pt>
                      <c:pt idx="81">
                        <c:v>128713028.06190719</c:v>
                      </c:pt>
                      <c:pt idx="82">
                        <c:v>128963153.45495853</c:v>
                      </c:pt>
                      <c:pt idx="83">
                        <c:v>129214089.25459975</c:v>
                      </c:pt>
                      <c:pt idx="84">
                        <c:v>129465838.08654922</c:v>
                      </c:pt>
                      <c:pt idx="85">
                        <c:v>129718402.58503266</c:v>
                      </c:pt>
                      <c:pt idx="86">
                        <c:v>129971785.39281064</c:v>
                      </c:pt>
                      <c:pt idx="87">
                        <c:v>130225989.16120633</c:v>
                      </c:pt>
                      <c:pt idx="88">
                        <c:v>130481016.55013318</c:v>
                      </c:pt>
                      <c:pt idx="89">
                        <c:v>130736870.22812274</c:v>
                      </c:pt>
                      <c:pt idx="90">
                        <c:v>130993552.87235263</c:v>
                      </c:pt>
                      <c:pt idx="91">
                        <c:v>131251067.1686745</c:v>
                      </c:pt>
                      <c:pt idx="92">
                        <c:v>131509415.81164218</c:v>
                      </c:pt>
                      <c:pt idx="93">
                        <c:v>131768601.50453988</c:v>
                      </c:pt>
                      <c:pt idx="94">
                        <c:v>132028626.9594104</c:v>
                      </c:pt>
                      <c:pt idx="95">
                        <c:v>132289494.89708361</c:v>
                      </c:pt>
                      <c:pt idx="96">
                        <c:v>132551208.04720487</c:v>
                      </c:pt>
                      <c:pt idx="97">
                        <c:v>132813769.14826357</c:v>
                      </c:pt>
                      <c:pt idx="98">
                        <c:v>133077180.94762181</c:v>
                      </c:pt>
                      <c:pt idx="99">
                        <c:v>133341446.20154317</c:v>
                      </c:pt>
                      <c:pt idx="100">
                        <c:v>133606567.6752215</c:v>
                      </c:pt>
                      <c:pt idx="101">
                        <c:v>133872548.14280991</c:v>
                      </c:pt>
                      <c:pt idx="102">
                        <c:v>134139390.38744976</c:v>
                      </c:pt>
                      <c:pt idx="103">
                        <c:v>134407097.20129976</c:v>
                      </c:pt>
                      <c:pt idx="104">
                        <c:v>134675671.38556528</c:v>
                      </c:pt>
                      <c:pt idx="105">
                        <c:v>134945115.75052753</c:v>
                      </c:pt>
                      <c:pt idx="106">
                        <c:v>135215433.11557311</c:v>
                      </c:pt>
                      <c:pt idx="107">
                        <c:v>135486626.30922332</c:v>
                      </c:pt>
                      <c:pt idx="108">
                        <c:v>135758698.16916403</c:v>
                      </c:pt>
                      <c:pt idx="109">
                        <c:v>136031651.54227507</c:v>
                      </c:pt>
                      <c:pt idx="110">
                        <c:v>136305489.28466028</c:v>
                      </c:pt>
                      <c:pt idx="111">
                        <c:v>136580214.26167721</c:v>
                      </c:pt>
                      <c:pt idx="112">
                        <c:v>136855829.34796715</c:v>
                      </c:pt>
                      <c:pt idx="113">
                        <c:v>137132337.42748529</c:v>
                      </c:pt>
                      <c:pt idx="114">
                        <c:v>137409741.39353085</c:v>
                      </c:pt>
                      <c:pt idx="115">
                        <c:v>137688044.14877731</c:v>
                      </c:pt>
                      <c:pt idx="116">
                        <c:v>137967248.60530275</c:v>
                      </c:pt>
                      <c:pt idx="117">
                        <c:v>138247357.68462056</c:v>
                      </c:pt>
                      <c:pt idx="118">
                        <c:v>138528374.31770962</c:v>
                      </c:pt>
                      <c:pt idx="119">
                        <c:v>138810301.44504538</c:v>
                      </c:pt>
                      <c:pt idx="120">
                        <c:v>139093142.01663032</c:v>
                      </c:pt>
                      <c:pt idx="121">
                        <c:v>139376898.99202496</c:v>
                      </c:pt>
                      <c:pt idx="122">
                        <c:v>139661575.34037882</c:v>
                      </c:pt>
                      <c:pt idx="123">
                        <c:v>139947174.04046142</c:v>
                      </c:pt>
                      <c:pt idx="124">
                        <c:v>140233698.0806936</c:v>
                      </c:pt>
                      <c:pt idx="125">
                        <c:v>140521150.45917851</c:v>
                      </c:pt>
                      <c:pt idx="126">
                        <c:v>140809534.18373331</c:v>
                      </c:pt>
                      <c:pt idx="127">
                        <c:v>141098852.27192047</c:v>
                      </c:pt>
                      <c:pt idx="128">
                        <c:v>141389107.75107932</c:v>
                      </c:pt>
                      <c:pt idx="129">
                        <c:v>141680303.6583578</c:v>
                      </c:pt>
                      <c:pt idx="130">
                        <c:v>141972443.04074419</c:v>
                      </c:pt>
                      <c:pt idx="131">
                        <c:v>142265528.95509905</c:v>
                      </c:pt>
                      <c:pt idx="132">
                        <c:v>142559564.46818715</c:v>
                      </c:pt>
                      <c:pt idx="133">
                        <c:v>142854552.65670955</c:v>
                      </c:pt>
                      <c:pt idx="134">
                        <c:v>143150496.60733595</c:v>
                      </c:pt>
                      <c:pt idx="135">
                        <c:v>143447399.41673669</c:v>
                      </c:pt>
                      <c:pt idx="136">
                        <c:v>143745264.19161546</c:v>
                      </c:pt>
                      <c:pt idx="137">
                        <c:v>144044094.04874164</c:v>
                      </c:pt>
                      <c:pt idx="138">
                        <c:v>144343892.11498284</c:v>
                      </c:pt>
                      <c:pt idx="139">
                        <c:v>144644661.52733794</c:v>
                      </c:pt>
                      <c:pt idx="140">
                        <c:v>144946405.43296948</c:v>
                      </c:pt>
                      <c:pt idx="141">
                        <c:v>145249126.98923695</c:v>
                      </c:pt>
                      <c:pt idx="142">
                        <c:v>145552829.36372969</c:v>
                      </c:pt>
                      <c:pt idx="143">
                        <c:v>145857515.7342999</c:v>
                      </c:pt>
                      <c:pt idx="144">
                        <c:v>146163189.28909618</c:v>
                      </c:pt>
                      <c:pt idx="145">
                        <c:v>146469853.22659665</c:v>
                      </c:pt>
                      <c:pt idx="146">
                        <c:v>146777510.75564253</c:v>
                      </c:pt>
                      <c:pt idx="147">
                        <c:v>147086165.09547168</c:v>
                      </c:pt>
                      <c:pt idx="148">
                        <c:v>147395819.47575229</c:v>
                      </c:pt>
                      <c:pt idx="149">
                        <c:v>147706477.13661671</c:v>
                      </c:pt>
                      <c:pt idx="150">
                        <c:v>148018141.32869524</c:v>
                      </c:pt>
                      <c:pt idx="151">
                        <c:v>148330815.31315041</c:v>
                      </c:pt>
                      <c:pt idx="152">
                        <c:v>148644502.36171067</c:v>
                      </c:pt>
                      <c:pt idx="153">
                        <c:v>148959205.75670505</c:v>
                      </c:pt>
                      <c:pt idx="154">
                        <c:v>149274928.79109731</c:v>
                      </c:pt>
                      <c:pt idx="155">
                        <c:v>149591674.76852036</c:v>
                      </c:pt>
                      <c:pt idx="156">
                        <c:v>149909447.00331092</c:v>
                      </c:pt>
                      <c:pt idx="157">
                        <c:v>150228248.82054412</c:v>
                      </c:pt>
                      <c:pt idx="158">
                        <c:v>150548083.55606845</c:v>
                      </c:pt>
                      <c:pt idx="159">
                        <c:v>150868954.55654043</c:v>
                      </c:pt>
                      <c:pt idx="160">
                        <c:v>151190865.17945981</c:v>
                      </c:pt>
                      <c:pt idx="161">
                        <c:v>151513818.79320467</c:v>
                      </c:pt>
                      <c:pt idx="162">
                        <c:v>151837818.77706656</c:v>
                      </c:pt>
                      <c:pt idx="163">
                        <c:v>152162868.52128601</c:v>
                      </c:pt>
                      <c:pt idx="164">
                        <c:v>152488971.42708787</c:v>
                      </c:pt>
                      <c:pt idx="165">
                        <c:v>152816130.90671703</c:v>
                      </c:pt>
                      <c:pt idx="166">
                        <c:v>153144350.38347402</c:v>
                      </c:pt>
                      <c:pt idx="167">
                        <c:v>153473633.29175085</c:v>
                      </c:pt>
                      <c:pt idx="168">
                        <c:v>153803983.07706705</c:v>
                      </c:pt>
                      <c:pt idx="169">
                        <c:v>154135403.19610551</c:v>
                      </c:pt>
                      <c:pt idx="170">
                        <c:v>154467897.11674887</c:v>
                      </c:pt>
                      <c:pt idx="171">
                        <c:v>154801468.31811574</c:v>
                      </c:pt>
                      <c:pt idx="172">
                        <c:v>155136120.29059696</c:v>
                      </c:pt>
                      <c:pt idx="173">
                        <c:v>155471856.53589231</c:v>
                      </c:pt>
                      <c:pt idx="174">
                        <c:v>155808680.56704709</c:v>
                      </c:pt>
                      <c:pt idx="175">
                        <c:v>156146595.90848887</c:v>
                      </c:pt>
                      <c:pt idx="176">
                        <c:v>156485606.09606439</c:v>
                      </c:pt>
                      <c:pt idx="177">
                        <c:v>156825714.67707643</c:v>
                      </c:pt>
                      <c:pt idx="178">
                        <c:v>157166925.21032119</c:v>
                      </c:pt>
                      <c:pt idx="179">
                        <c:v>157509241.26612526</c:v>
                      </c:pt>
                      <c:pt idx="180">
                        <c:v>157852666.42638314</c:v>
                      </c:pt>
                      <c:pt idx="181">
                        <c:v>158197204.28459463</c:v>
                      </c:pt>
                      <c:pt idx="182">
                        <c:v>158542858.44590256</c:v>
                      </c:pt>
                      <c:pt idx="183">
                        <c:v>158889632.52713034</c:v>
                      </c:pt>
                      <c:pt idx="184">
                        <c:v>159237530.15681994</c:v>
                      </c:pt>
                      <c:pt idx="185">
                        <c:v>159586554.97526979</c:v>
                      </c:pt>
                      <c:pt idx="186">
                        <c:v>159936710.63457292</c:v>
                      </c:pt>
                      <c:pt idx="187">
                        <c:v>160288000.79865515</c:v>
                      </c:pt>
                      <c:pt idx="188">
                        <c:v>160640429.14331329</c:v>
                      </c:pt>
                      <c:pt idx="189">
                        <c:v>160993999.35625398</c:v>
                      </c:pt>
                      <c:pt idx="190">
                        <c:v>161348715.13713181</c:v>
                      </c:pt>
                      <c:pt idx="191">
                        <c:v>161704580.19758835</c:v>
                      </c:pt>
                      <c:pt idx="192">
                        <c:v>162061598.26129091</c:v>
                      </c:pt>
                      <c:pt idx="193">
                        <c:v>162419773.06397149</c:v>
                      </c:pt>
                      <c:pt idx="194">
                        <c:v>162779108.3534658</c:v>
                      </c:pt>
                      <c:pt idx="195">
                        <c:v>163139607.88975263</c:v>
                      </c:pt>
                      <c:pt idx="196">
                        <c:v>163501275.44499299</c:v>
                      </c:pt>
                      <c:pt idx="197">
                        <c:v>163864114.80356982</c:v>
                      </c:pt>
                      <c:pt idx="198">
                        <c:v>164228129.76212743</c:v>
                      </c:pt>
                      <c:pt idx="199">
                        <c:v>164593324.12961119</c:v>
                      </c:pt>
                      <c:pt idx="200">
                        <c:v>164959701.72730756</c:v>
                      </c:pt>
                      <c:pt idx="201">
                        <c:v>165327266.38888386</c:v>
                      </c:pt>
                      <c:pt idx="202">
                        <c:v>165696021.96042863</c:v>
                      </c:pt>
                      <c:pt idx="203">
                        <c:v>166065972.30049166</c:v>
                      </c:pt>
                      <c:pt idx="204">
                        <c:v>166437121.28012443</c:v>
                      </c:pt>
                      <c:pt idx="205">
                        <c:v>166809472.78292072</c:v>
                      </c:pt>
                      <c:pt idx="206">
                        <c:v>167183030.70505702</c:v>
                      </c:pt>
                      <c:pt idx="207">
                        <c:v>167557798.95533359</c:v>
                      </c:pt>
                      <c:pt idx="208">
                        <c:v>167933781.4552151</c:v>
                      </c:pt>
                      <c:pt idx="209">
                        <c:v>168310982.13887179</c:v>
                      </c:pt>
                      <c:pt idx="210">
                        <c:v>168689404.95322067</c:v>
                      </c:pt>
                      <c:pt idx="211">
                        <c:v>169069053.85796672</c:v>
                      </c:pt>
                      <c:pt idx="212">
                        <c:v>169449932.82564437</c:v>
                      </c:pt>
                      <c:pt idx="213">
                        <c:v>169832045.84165907</c:v>
                      </c:pt>
                      <c:pt idx="214">
                        <c:v>170215396.904329</c:v>
                      </c:pt>
                      <c:pt idx="215">
                        <c:v>170599990.0249269</c:v>
                      </c:pt>
                      <c:pt idx="216">
                        <c:v>170985829.22772202</c:v>
                      </c:pt>
                      <c:pt idx="217">
                        <c:v>171372918.55002224</c:v>
                      </c:pt>
                      <c:pt idx="218">
                        <c:v>171761262.04221636</c:v>
                      </c:pt>
                      <c:pt idx="219">
                        <c:v>172150863.76781642</c:v>
                      </c:pt>
                      <c:pt idx="220">
                        <c:v>172541727.80350024</c:v>
                      </c:pt>
                      <c:pt idx="221">
                        <c:v>172933858.23915404</c:v>
                      </c:pt>
                      <c:pt idx="222">
                        <c:v>173327259.17791539</c:v>
                      </c:pt>
                      <c:pt idx="223">
                        <c:v>173721934.73621595</c:v>
                      </c:pt>
                      <c:pt idx="224">
                        <c:v>174117889.04382467</c:v>
                      </c:pt>
                      <c:pt idx="225">
                        <c:v>174515126.24389088</c:v>
                      </c:pt>
                      <c:pt idx="226">
                        <c:v>174913650.49298775</c:v>
                      </c:pt>
                      <c:pt idx="227">
                        <c:v>175313465.96115583</c:v>
                      </c:pt>
                      <c:pt idx="228">
                        <c:v>175714576.83194649</c:v>
                      </c:pt>
                      <c:pt idx="229">
                        <c:v>176116987.30246586</c:v>
                      </c:pt>
                      <c:pt idx="230">
                        <c:v>176520701.58341876</c:v>
                      </c:pt>
                      <c:pt idx="231">
                        <c:v>176925723.89915258</c:v>
                      </c:pt>
                      <c:pt idx="232">
                        <c:v>177332058.48770171</c:v>
                      </c:pt>
                      <c:pt idx="233">
                        <c:v>177739709.60083175</c:v>
                      </c:pt>
                      <c:pt idx="234">
                        <c:v>178148681.50408396</c:v>
                      </c:pt>
                      <c:pt idx="235">
                        <c:v>178558978.47681999</c:v>
                      </c:pt>
                      <c:pt idx="236">
                        <c:v>178970604.81226671</c:v>
                      </c:pt>
                      <c:pt idx="237">
                        <c:v>179383564.81756097</c:v>
                      </c:pt>
                      <c:pt idx="238">
                        <c:v>179797862.81379473</c:v>
                      </c:pt>
                      <c:pt idx="239">
                        <c:v>180213503.1360603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Sim'!$D$141</c15:sqref>
                        </c15:formulaRef>
                      </c:ext>
                    </c:extLst>
                    <c:strCache>
                      <c:ptCount val="1"/>
                      <c:pt idx="0">
                        <c:v>AB2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Sim'!$E$137:$MZ$137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Sim'!$E$141:$MZ$141</c15:sqref>
                        </c15:formulaRef>
                      </c:ext>
                    </c:extLst>
                    <c:numCache>
                      <c:formatCode>"$"#,##0</c:formatCode>
                      <c:ptCount val="360"/>
                      <c:pt idx="0">
                        <c:v>111097171.54231954</c:v>
                      </c:pt>
                      <c:pt idx="1">
                        <c:v>111385519.12652764</c:v>
                      </c:pt>
                      <c:pt idx="2">
                        <c:v>111674800.95727333</c:v>
                      </c:pt>
                      <c:pt idx="3">
                        <c:v>111965020.06151655</c:v>
                      </c:pt>
                      <c:pt idx="4">
                        <c:v>112256179.4760246</c:v>
                      </c:pt>
                      <c:pt idx="5">
                        <c:v>112548282.24740398</c:v>
                      </c:pt>
                      <c:pt idx="6">
                        <c:v>112841331.43213207</c:v>
                      </c:pt>
                      <c:pt idx="7">
                        <c:v>113135330.09658939</c:v>
                      </c:pt>
                      <c:pt idx="8">
                        <c:v>113430281.31709144</c:v>
                      </c:pt>
                      <c:pt idx="9">
                        <c:v>113726188.179921</c:v>
                      </c:pt>
                      <c:pt idx="10">
                        <c:v>114023053.78136042</c:v>
                      </c:pt>
                      <c:pt idx="11">
                        <c:v>114320881.22772399</c:v>
                      </c:pt>
                      <c:pt idx="12">
                        <c:v>114619673.63539055</c:v>
                      </c:pt>
                      <c:pt idx="13">
                        <c:v>114919434.13083586</c:v>
                      </c:pt>
                      <c:pt idx="14">
                        <c:v>115220165.8506656</c:v>
                      </c:pt>
                      <c:pt idx="15">
                        <c:v>115521871.94164801</c:v>
                      </c:pt>
                      <c:pt idx="16">
                        <c:v>115824555.56074682</c:v>
                      </c:pt>
                      <c:pt idx="17">
                        <c:v>116128219.87515438</c:v>
                      </c:pt>
                      <c:pt idx="18">
                        <c:v>116432868.0623247</c:v>
                      </c:pt>
                      <c:pt idx="19">
                        <c:v>116738503.31000686</c:v>
                      </c:pt>
                      <c:pt idx="20">
                        <c:v>117045128.8162781</c:v>
                      </c:pt>
                      <c:pt idx="21">
                        <c:v>117352747.78957751</c:v>
                      </c:pt>
                      <c:pt idx="22">
                        <c:v>117661363.44873953</c:v>
                      </c:pt>
                      <c:pt idx="23">
                        <c:v>117970979.0230276</c:v>
                      </c:pt>
                      <c:pt idx="24">
                        <c:v>118281597.752168</c:v>
                      </c:pt>
                      <c:pt idx="25">
                        <c:v>118593222.88638371</c:v>
                      </c:pt>
                      <c:pt idx="26">
                        <c:v>118905857.68642849</c:v>
                      </c:pt>
                      <c:pt idx="27">
                        <c:v>119219505.42362085</c:v>
                      </c:pt>
                      <c:pt idx="28">
                        <c:v>119534169.37987846</c:v>
                      </c:pt>
                      <c:pt idx="29">
                        <c:v>119849852.84775236</c:v>
                      </c:pt>
                      <c:pt idx="30">
                        <c:v>120166559.13046151</c:v>
                      </c:pt>
                      <c:pt idx="31">
                        <c:v>120484291.54192722</c:v>
                      </c:pt>
                      <c:pt idx="32">
                        <c:v>120803053.40680799</c:v>
                      </c:pt>
                      <c:pt idx="33">
                        <c:v>121122848.06053418</c:v>
                      </c:pt>
                      <c:pt idx="34">
                        <c:v>121443678.84934297</c:v>
                      </c:pt>
                      <c:pt idx="35">
                        <c:v>121765549.13031331</c:v>
                      </c:pt>
                      <c:pt idx="36">
                        <c:v>122088462.27140114</c:v>
                      </c:pt>
                      <c:pt idx="37">
                        <c:v>122412421.65147454</c:v>
                      </c:pt>
                      <c:pt idx="38">
                        <c:v>122737430.66034919</c:v>
                      </c:pt>
                      <c:pt idx="39">
                        <c:v>123063492.69882366</c:v>
                      </c:pt>
                      <c:pt idx="40">
                        <c:v>123390611.17871526</c:v>
                      </c:pt>
                      <c:pt idx="41">
                        <c:v>123718789.52289549</c:v>
                      </c:pt>
                      <c:pt idx="42">
                        <c:v>124048031.16532597</c:v>
                      </c:pt>
                      <c:pt idx="43">
                        <c:v>124378339.55109441</c:v>
                      </c:pt>
                      <c:pt idx="44">
                        <c:v>124709718.13645053</c:v>
                      </c:pt>
                      <c:pt idx="45">
                        <c:v>125042170.38884237</c:v>
                      </c:pt>
                      <c:pt idx="46">
                        <c:v>125375699.7869525</c:v>
                      </c:pt>
                      <c:pt idx="47">
                        <c:v>125710309.82073438</c:v>
                      </c:pt>
                      <c:pt idx="48">
                        <c:v>126046003.99144897</c:v>
                      </c:pt>
                      <c:pt idx="49">
                        <c:v>126382785.81170133</c:v>
                      </c:pt>
                      <c:pt idx="50">
                        <c:v>126720658.80547726</c:v>
                      </c:pt>
                      <c:pt idx="51">
                        <c:v>127059626.50818044</c:v>
                      </c:pt>
                      <c:pt idx="52">
                        <c:v>127399692.46666911</c:v>
                      </c:pt>
                      <c:pt idx="53">
                        <c:v>127740860.23929349</c:v>
                      </c:pt>
                      <c:pt idx="54">
                        <c:v>128083133.39593267</c:v>
                      </c:pt>
                      <c:pt idx="55">
                        <c:v>128426515.51803234</c:v>
                      </c:pt>
                      <c:pt idx="56">
                        <c:v>128771010.19864199</c:v>
                      </c:pt>
                      <c:pt idx="57">
                        <c:v>129116621.04245251</c:v>
                      </c:pt>
                      <c:pt idx="58">
                        <c:v>129463351.66583419</c:v>
                      </c:pt>
                      <c:pt idx="59">
                        <c:v>129811205.6968742</c:v>
                      </c:pt>
                      <c:pt idx="60">
                        <c:v>90041619.907131165</c:v>
                      </c:pt>
                      <c:pt idx="61">
                        <c:v>90134860.32326293</c:v>
                      </c:pt>
                      <c:pt idx="62">
                        <c:v>90228402.847209945</c:v>
                      </c:pt>
                      <c:pt idx="63">
                        <c:v>90322248.45783028</c:v>
                      </c:pt>
                      <c:pt idx="64">
                        <c:v>90416398.137153581</c:v>
                      </c:pt>
                      <c:pt idx="65">
                        <c:v>90510852.870391339</c:v>
                      </c:pt>
                      <c:pt idx="66">
                        <c:v>90605613.645947263</c:v>
                      </c:pt>
                      <c:pt idx="67">
                        <c:v>90700681.455427557</c:v>
                      </c:pt>
                      <c:pt idx="68">
                        <c:v>90796057.293651372</c:v>
                      </c:pt>
                      <c:pt idx="69">
                        <c:v>90891742.158661082</c:v>
                      </c:pt>
                      <c:pt idx="70">
                        <c:v>90987737.051732883</c:v>
                      </c:pt>
                      <c:pt idx="71">
                        <c:v>91084042.97738719</c:v>
                      </c:pt>
                      <c:pt idx="72">
                        <c:v>91180660.943399131</c:v>
                      </c:pt>
                      <c:pt idx="73">
                        <c:v>91277591.960809141</c:v>
                      </c:pt>
                      <c:pt idx="74">
                        <c:v>91374837.043933526</c:v>
                      </c:pt>
                      <c:pt idx="75">
                        <c:v>91472397.210375071</c:v>
                      </c:pt>
                      <c:pt idx="76">
                        <c:v>91570273.481033698</c:v>
                      </c:pt>
                      <c:pt idx="77">
                        <c:v>91668466.880117089</c:v>
                      </c:pt>
                      <c:pt idx="78">
                        <c:v>91766978.435151547</c:v>
                      </c:pt>
                      <c:pt idx="79">
                        <c:v>91865809.176992595</c:v>
                      </c:pt>
                      <c:pt idx="80">
                        <c:v>91964960.139835835</c:v>
                      </c:pt>
                      <c:pt idx="81">
                        <c:v>92064432.361227751</c:v>
                      </c:pt>
                      <c:pt idx="82">
                        <c:v>92164226.882076621</c:v>
                      </c:pt>
                      <c:pt idx="83">
                        <c:v>92264344.746663332</c:v>
                      </c:pt>
                      <c:pt idx="84">
                        <c:v>92364787.002652332</c:v>
                      </c:pt>
                      <c:pt idx="85">
                        <c:v>92465554.701102614</c:v>
                      </c:pt>
                      <c:pt idx="86">
                        <c:v>92566648.896478713</c:v>
                      </c:pt>
                      <c:pt idx="87">
                        <c:v>92668070.646661699</c:v>
                      </c:pt>
                      <c:pt idx="88">
                        <c:v>92769821.012960315</c:v>
                      </c:pt>
                      <c:pt idx="89">
                        <c:v>92871901.060122043</c:v>
                      </c:pt>
                      <c:pt idx="90">
                        <c:v>92974311.856344178</c:v>
                      </c:pt>
                      <c:pt idx="91">
                        <c:v>93077054.473285168</c:v>
                      </c:pt>
                      <c:pt idx="92">
                        <c:v>93180129.986075699</c:v>
                      </c:pt>
                      <c:pt idx="93">
                        <c:v>93283539.473329991</c:v>
                      </c:pt>
                      <c:pt idx="94">
                        <c:v>93387284.017157018</c:v>
                      </c:pt>
                      <c:pt idx="95">
                        <c:v>93491364.703171983</c:v>
                      </c:pt>
                      <c:pt idx="96">
                        <c:v>93595782.620507538</c:v>
                      </c:pt>
                      <c:pt idx="97">
                        <c:v>93700538.861825213</c:v>
                      </c:pt>
                      <c:pt idx="98">
                        <c:v>93805634.523326904</c:v>
                      </c:pt>
                      <c:pt idx="99">
                        <c:v>93911070.704766273</c:v>
                      </c:pt>
                      <c:pt idx="100">
                        <c:v>94016848.5094603</c:v>
                      </c:pt>
                      <c:pt idx="101">
                        <c:v>94122969.044300839</c:v>
                      </c:pt>
                      <c:pt idx="102">
                        <c:v>94229433.419766128</c:v>
                      </c:pt>
                      <c:pt idx="103">
                        <c:v>94336242.749932528</c:v>
                      </c:pt>
                      <c:pt idx="104">
                        <c:v>94443398.152486026</c:v>
                      </c:pt>
                      <c:pt idx="105">
                        <c:v>94550900.748734117</c:v>
                      </c:pt>
                      <c:pt idx="106">
                        <c:v>94658751.663617343</c:v>
                      </c:pt>
                      <c:pt idx="107">
                        <c:v>94766952.025721252</c:v>
                      </c:pt>
                      <c:pt idx="108">
                        <c:v>94875502.967288047</c:v>
                      </c:pt>
                      <c:pt idx="109">
                        <c:v>94984405.624228507</c:v>
                      </c:pt>
                      <c:pt idx="110">
                        <c:v>95093661.136133939</c:v>
                      </c:pt>
                      <c:pt idx="111">
                        <c:v>95203270.646287948</c:v>
                      </c:pt>
                      <c:pt idx="112">
                        <c:v>95313235.301678538</c:v>
                      </c:pt>
                      <c:pt idx="113">
                        <c:v>95423556.253010049</c:v>
                      </c:pt>
                      <c:pt idx="114">
                        <c:v>95534234.65471521</c:v>
                      </c:pt>
                      <c:pt idx="115">
                        <c:v>95645271.664967239</c:v>
                      </c:pt>
                      <c:pt idx="116">
                        <c:v>95756668.445691913</c:v>
                      </c:pt>
                      <c:pt idx="117">
                        <c:v>95868426.16257979</c:v>
                      </c:pt>
                      <c:pt idx="118">
                        <c:v>95980545.985098347</c:v>
                      </c:pt>
                      <c:pt idx="119">
                        <c:v>96093029.086504281</c:v>
                      </c:pt>
                      <c:pt idx="120">
                        <c:v>96205876.643855721</c:v>
                      </c:pt>
                      <c:pt idx="121">
                        <c:v>96319089.838024601</c:v>
                      </c:pt>
                      <c:pt idx="122">
                        <c:v>96432669.853708968</c:v>
                      </c:pt>
                      <c:pt idx="123">
                        <c:v>96546617.879445434</c:v>
                      </c:pt>
                      <c:pt idx="124">
                        <c:v>96660935.107621551</c:v>
                      </c:pt>
                      <c:pt idx="125">
                        <c:v>96775622.734488338</c:v>
                      </c:pt>
                      <c:pt idx="126">
                        <c:v>96890681.960172772</c:v>
                      </c:pt>
                      <c:pt idx="127">
                        <c:v>97006113.988690376</c:v>
                      </c:pt>
                      <c:pt idx="128">
                        <c:v>97121920.027957782</c:v>
                      </c:pt>
                      <c:pt idx="129">
                        <c:v>97238101.289805382</c:v>
                      </c:pt>
                      <c:pt idx="130">
                        <c:v>97354658.989990011</c:v>
                      </c:pt>
                      <c:pt idx="131">
                        <c:v>97471594.348207682</c:v>
                      </c:pt>
                      <c:pt idx="132">
                        <c:v>97588908.588106349</c:v>
                      </c:pt>
                      <c:pt idx="133">
                        <c:v>97706602.937298685</c:v>
                      </c:pt>
                      <c:pt idx="134">
                        <c:v>97824678.627374932</c:v>
                      </c:pt>
                      <c:pt idx="135">
                        <c:v>97943136.893915847</c:v>
                      </c:pt>
                      <c:pt idx="136">
                        <c:v>98061978.976505548</c:v>
                      </c:pt>
                      <c:pt idx="137">
                        <c:v>98181206.118744507</c:v>
                      </c:pt>
                      <c:pt idx="138">
                        <c:v>98300819.568262652</c:v>
                      </c:pt>
                      <c:pt idx="139">
                        <c:v>98420820.576732278</c:v>
                      </c:pt>
                      <c:pt idx="140">
                        <c:v>98541210.399881259</c:v>
                      </c:pt>
                      <c:pt idx="141">
                        <c:v>98661990.297506124</c:v>
                      </c:pt>
                      <c:pt idx="142">
                        <c:v>98783161.533485264</c:v>
                      </c:pt>
                      <c:pt idx="143">
                        <c:v>98904725.375792146</c:v>
                      </c:pt>
                      <c:pt idx="144">
                        <c:v>99026683.096508652</c:v>
                      </c:pt>
                      <c:pt idx="145">
                        <c:v>99149035.971838266</c:v>
                      </c:pt>
                      <c:pt idx="146">
                        <c:v>99271785.282119513</c:v>
                      </c:pt>
                      <c:pt idx="147">
                        <c:v>99394932.311839342</c:v>
                      </c:pt>
                      <c:pt idx="148">
                        <c:v>99518478.349646553</c:v>
                      </c:pt>
                      <c:pt idx="149">
                        <c:v>99642424.688365281</c:v>
                      </c:pt>
                      <c:pt idx="150">
                        <c:v>99766772.625008568</c:v>
                      </c:pt>
                      <c:pt idx="151">
                        <c:v>99891523.460791886</c:v>
                      </c:pt>
                      <c:pt idx="152">
                        <c:v>100016678.50114673</c:v>
                      </c:pt>
                      <c:pt idx="153">
                        <c:v>100142239.0557344</c:v>
                      </c:pt>
                      <c:pt idx="154">
                        <c:v>100268206.43845952</c:v>
                      </c:pt>
                      <c:pt idx="155">
                        <c:v>100394581.96748398</c:v>
                      </c:pt>
                      <c:pt idx="156">
                        <c:v>100521366.9652406</c:v>
                      </c:pt>
                      <c:pt idx="157">
                        <c:v>100648562.75844702</c:v>
                      </c:pt>
                      <c:pt idx="158">
                        <c:v>100776170.67811954</c:v>
                      </c:pt>
                      <c:pt idx="159">
                        <c:v>100904192.05958712</c:v>
                      </c:pt>
                      <c:pt idx="160">
                        <c:v>101032628.24250528</c:v>
                      </c:pt>
                      <c:pt idx="161">
                        <c:v>101161480.57087019</c:v>
                      </c:pt>
                      <c:pt idx="162">
                        <c:v>101290750.39303267</c:v>
                      </c:pt>
                      <c:pt idx="163">
                        <c:v>101420439.06171229</c:v>
                      </c:pt>
                      <c:pt idx="164">
                        <c:v>101550547.93401167</c:v>
                      </c:pt>
                      <c:pt idx="165">
                        <c:v>101681078.37143043</c:v>
                      </c:pt>
                      <c:pt idx="166">
                        <c:v>101812031.73987967</c:v>
                      </c:pt>
                      <c:pt idx="167">
                        <c:v>101943409.40969616</c:v>
                      </c:pt>
                      <c:pt idx="168">
                        <c:v>102075212.75565666</c:v>
                      </c:pt>
                      <c:pt idx="169">
                        <c:v>102207443.15699238</c:v>
                      </c:pt>
                      <c:pt idx="170">
                        <c:v>102340101.99740334</c:v>
                      </c:pt>
                      <c:pt idx="171">
                        <c:v>102473190.66507289</c:v>
                      </c:pt>
                      <c:pt idx="172">
                        <c:v>102606710.55268222</c:v>
                      </c:pt>
                      <c:pt idx="173">
                        <c:v>102740663.05742496</c:v>
                      </c:pt>
                      <c:pt idx="174">
                        <c:v>102875049.58102173</c:v>
                      </c:pt>
                      <c:pt idx="175">
                        <c:v>103009871.52973491</c:v>
                      </c:pt>
                      <c:pt idx="176">
                        <c:v>103145130.3143833</c:v>
                      </c:pt>
                      <c:pt idx="177">
                        <c:v>103280827.35035686</c:v>
                      </c:pt>
                      <c:pt idx="178">
                        <c:v>103416964.05763155</c:v>
                      </c:pt>
                      <c:pt idx="179">
                        <c:v>103553541.86078422</c:v>
                      </c:pt>
                      <c:pt idx="180">
                        <c:v>103690562.18900745</c:v>
                      </c:pt>
                      <c:pt idx="181">
                        <c:v>103828026.47612455</c:v>
                      </c:pt>
                      <c:pt idx="182">
                        <c:v>103965936.16060457</c:v>
                      </c:pt>
                      <c:pt idx="183">
                        <c:v>104104292.6855773</c:v>
                      </c:pt>
                      <c:pt idx="184">
                        <c:v>104243097.49884844</c:v>
                      </c:pt>
                      <c:pt idx="185">
                        <c:v>104382352.05291474</c:v>
                      </c:pt>
                      <c:pt idx="186">
                        <c:v>104522057.8049791</c:v>
                      </c:pt>
                      <c:pt idx="187">
                        <c:v>104662216.21696596</c:v>
                      </c:pt>
                      <c:pt idx="188">
                        <c:v>104802828.75553653</c:v>
                      </c:pt>
                      <c:pt idx="189">
                        <c:v>104943896.8921041</c:v>
                      </c:pt>
                      <c:pt idx="190">
                        <c:v>105085422.10284954</c:v>
                      </c:pt>
                      <c:pt idx="191">
                        <c:v>105227405.86873664</c:v>
                      </c:pt>
                      <c:pt idx="192">
                        <c:v>105369849.67552766</c:v>
                      </c:pt>
                      <c:pt idx="193">
                        <c:v>105512755.01379889</c:v>
                      </c:pt>
                      <c:pt idx="194">
                        <c:v>105656123.3789562</c:v>
                      </c:pt>
                      <c:pt idx="195">
                        <c:v>105799956.27125075</c:v>
                      </c:pt>
                      <c:pt idx="196">
                        <c:v>105944255.19579464</c:v>
                      </c:pt>
                      <c:pt idx="197">
                        <c:v>106089021.66257668</c:v>
                      </c:pt>
                      <c:pt idx="198">
                        <c:v>106234257.18647817</c:v>
                      </c:pt>
                      <c:pt idx="199">
                        <c:v>106379963.28728878</c:v>
                      </c:pt>
                      <c:pt idx="200">
                        <c:v>106526141.48972249</c:v>
                      </c:pt>
                      <c:pt idx="201">
                        <c:v>106672793.3234334</c:v>
                      </c:pt>
                      <c:pt idx="202">
                        <c:v>106819920.32303193</c:v>
                      </c:pt>
                      <c:pt idx="203">
                        <c:v>106967524.02810073</c:v>
                      </c:pt>
                      <c:pt idx="204">
                        <c:v>107115605.98321085</c:v>
                      </c:pt>
                      <c:pt idx="205">
                        <c:v>107264167.7379379</c:v>
                      </c:pt>
                      <c:pt idx="206">
                        <c:v>107413210.84687831</c:v>
                      </c:pt>
                      <c:pt idx="207">
                        <c:v>107562736.86966544</c:v>
                      </c:pt>
                      <c:pt idx="208">
                        <c:v>107712747.37098615</c:v>
                      </c:pt>
                      <c:pt idx="209">
                        <c:v>107863243.92059693</c:v>
                      </c:pt>
                      <c:pt idx="210">
                        <c:v>108014228.09334044</c:v>
                      </c:pt>
                      <c:pt idx="211">
                        <c:v>108165701.46916203</c:v>
                      </c:pt>
                      <c:pt idx="212">
                        <c:v>108317665.6331262</c:v>
                      </c:pt>
                      <c:pt idx="213">
                        <c:v>108470122.17543319</c:v>
                      </c:pt>
                      <c:pt idx="214">
                        <c:v>108623072.69143566</c:v>
                      </c:pt>
                      <c:pt idx="215">
                        <c:v>108776518.78165536</c:v>
                      </c:pt>
                      <c:pt idx="216">
                        <c:v>108930462.05179989</c:v>
                      </c:pt>
                      <c:pt idx="217">
                        <c:v>109084904.11277948</c:v>
                      </c:pt>
                      <c:pt idx="218">
                        <c:v>109239846.58072387</c:v>
                      </c:pt>
                      <c:pt idx="219">
                        <c:v>109395291.07699923</c:v>
                      </c:pt>
                      <c:pt idx="220">
                        <c:v>109551239.22822507</c:v>
                      </c:pt>
                      <c:pt idx="221">
                        <c:v>109707692.66629134</c:v>
                      </c:pt>
                      <c:pt idx="222">
                        <c:v>109864653.02837548</c:v>
                      </c:pt>
                      <c:pt idx="223">
                        <c:v>110022121.95695944</c:v>
                      </c:pt>
                      <c:pt idx="224">
                        <c:v>110180101.09984714</c:v>
                      </c:pt>
                      <c:pt idx="225">
                        <c:v>110338592.11018139</c:v>
                      </c:pt>
                      <c:pt idx="226">
                        <c:v>110497596.64646138</c:v>
                      </c:pt>
                      <c:pt idx="227">
                        <c:v>110657116.37256008</c:v>
                      </c:pt>
                      <c:pt idx="228">
                        <c:v>110817152.95774141</c:v>
                      </c:pt>
                      <c:pt idx="229">
                        <c:v>110977708.07667801</c:v>
                      </c:pt>
                      <c:pt idx="230">
                        <c:v>111138783.40946853</c:v>
                      </c:pt>
                      <c:pt idx="231">
                        <c:v>111300380.64165539</c:v>
                      </c:pt>
                      <c:pt idx="232">
                        <c:v>111462501.46424216</c:v>
                      </c:pt>
                      <c:pt idx="233">
                        <c:v>111625147.57371162</c:v>
                      </c:pt>
                      <c:pt idx="234">
                        <c:v>111788320.67204319</c:v>
                      </c:pt>
                      <c:pt idx="235">
                        <c:v>111952022.46673089</c:v>
                      </c:pt>
                      <c:pt idx="236">
                        <c:v>112116254.67080121</c:v>
                      </c:pt>
                      <c:pt idx="237">
                        <c:v>112281019.00283098</c:v>
                      </c:pt>
                      <c:pt idx="238">
                        <c:v>112446317.18696541</c:v>
                      </c:pt>
                      <c:pt idx="239">
                        <c:v>112612150.95293605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323622208"/>
        <c:scaling>
          <c:orientation val="minMax"/>
        </c:scaling>
        <c:delete val="0"/>
        <c:axPos val="b"/>
        <c:numFmt formatCode="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19072"/>
        <c:crosses val="autoZero"/>
        <c:auto val="1"/>
        <c:lblOffset val="100"/>
        <c:baseTimeUnit val="months"/>
        <c:majorUnit val="12"/>
        <c:majorTimeUnit val="months"/>
        <c:minorUnit val="6"/>
        <c:minorTimeUnit val="months"/>
      </c:dateAx>
      <c:valAx>
        <c:axId val="32361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Total Fuel Expense (Fossil + Renewable)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'Fuel Cost Risk Sim'!$D$139</c:f>
              <c:strCache>
                <c:ptCount val="1"/>
                <c:pt idx="0">
                  <c:v>AB1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Sim'!$E$137:$MZ$137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Sim'!$E$139:$MZ$139</c:f>
              <c:numCache>
                <c:formatCode>"$"#,##0</c:formatCode>
                <c:ptCount val="360"/>
                <c:pt idx="0">
                  <c:v>111097171.54231954</c:v>
                </c:pt>
                <c:pt idx="1">
                  <c:v>111385519.12652764</c:v>
                </c:pt>
                <c:pt idx="2">
                  <c:v>111674800.95727333</c:v>
                </c:pt>
                <c:pt idx="3">
                  <c:v>111965020.06151655</c:v>
                </c:pt>
                <c:pt idx="4">
                  <c:v>112256179.4760246</c:v>
                </c:pt>
                <c:pt idx="5">
                  <c:v>112548282.24740398</c:v>
                </c:pt>
                <c:pt idx="6">
                  <c:v>112841331.43213207</c:v>
                </c:pt>
                <c:pt idx="7">
                  <c:v>113135330.09658939</c:v>
                </c:pt>
                <c:pt idx="8">
                  <c:v>113430281.31709144</c:v>
                </c:pt>
                <c:pt idx="9">
                  <c:v>113726188.179921</c:v>
                </c:pt>
                <c:pt idx="10">
                  <c:v>114023053.78136042</c:v>
                </c:pt>
                <c:pt idx="11">
                  <c:v>114320881.22772399</c:v>
                </c:pt>
                <c:pt idx="12">
                  <c:v>114619673.63539055</c:v>
                </c:pt>
                <c:pt idx="13">
                  <c:v>114919434.13083586</c:v>
                </c:pt>
                <c:pt idx="14">
                  <c:v>115220165.8506656</c:v>
                </c:pt>
                <c:pt idx="15">
                  <c:v>115521871.94164801</c:v>
                </c:pt>
                <c:pt idx="16">
                  <c:v>115824555.56074682</c:v>
                </c:pt>
                <c:pt idx="17">
                  <c:v>116128219.87515438</c:v>
                </c:pt>
                <c:pt idx="18">
                  <c:v>116432868.0623247</c:v>
                </c:pt>
                <c:pt idx="19">
                  <c:v>116738503.31000686</c:v>
                </c:pt>
                <c:pt idx="20">
                  <c:v>117045128.8162781</c:v>
                </c:pt>
                <c:pt idx="21">
                  <c:v>117352747.78957751</c:v>
                </c:pt>
                <c:pt idx="22">
                  <c:v>117661363.44873953</c:v>
                </c:pt>
                <c:pt idx="23">
                  <c:v>117970979.0230276</c:v>
                </c:pt>
                <c:pt idx="24">
                  <c:v>118281597.752168</c:v>
                </c:pt>
                <c:pt idx="25">
                  <c:v>118593222.88638371</c:v>
                </c:pt>
                <c:pt idx="26">
                  <c:v>118905857.68642849</c:v>
                </c:pt>
                <c:pt idx="27">
                  <c:v>119219505.42362085</c:v>
                </c:pt>
                <c:pt idx="28">
                  <c:v>119534169.37987846</c:v>
                </c:pt>
                <c:pt idx="29">
                  <c:v>119849852.84775236</c:v>
                </c:pt>
                <c:pt idx="30">
                  <c:v>120166559.13046151</c:v>
                </c:pt>
                <c:pt idx="31">
                  <c:v>120484291.54192722</c:v>
                </c:pt>
                <c:pt idx="32">
                  <c:v>120803053.40680799</c:v>
                </c:pt>
                <c:pt idx="33">
                  <c:v>121122848.06053418</c:v>
                </c:pt>
                <c:pt idx="34">
                  <c:v>121443678.84934297</c:v>
                </c:pt>
                <c:pt idx="35">
                  <c:v>121765549.13031331</c:v>
                </c:pt>
                <c:pt idx="36">
                  <c:v>122088462.27140114</c:v>
                </c:pt>
                <c:pt idx="37">
                  <c:v>122412421.65147454</c:v>
                </c:pt>
                <c:pt idx="38">
                  <c:v>122737430.66034919</c:v>
                </c:pt>
                <c:pt idx="39">
                  <c:v>123063492.69882366</c:v>
                </c:pt>
                <c:pt idx="40">
                  <c:v>123390611.17871526</c:v>
                </c:pt>
                <c:pt idx="41">
                  <c:v>123718789.52289549</c:v>
                </c:pt>
                <c:pt idx="42">
                  <c:v>124048031.16532597</c:v>
                </c:pt>
                <c:pt idx="43">
                  <c:v>124378339.55109441</c:v>
                </c:pt>
                <c:pt idx="44">
                  <c:v>124709718.13645053</c:v>
                </c:pt>
                <c:pt idx="45">
                  <c:v>125042170.38884237</c:v>
                </c:pt>
                <c:pt idx="46">
                  <c:v>125375699.7869525</c:v>
                </c:pt>
                <c:pt idx="47">
                  <c:v>125710309.82073438</c:v>
                </c:pt>
                <c:pt idx="48">
                  <c:v>126046003.99144897</c:v>
                </c:pt>
                <c:pt idx="49">
                  <c:v>126382785.81170133</c:v>
                </c:pt>
                <c:pt idx="50">
                  <c:v>126720658.80547726</c:v>
                </c:pt>
                <c:pt idx="51">
                  <c:v>127059626.50818044</c:v>
                </c:pt>
                <c:pt idx="52">
                  <c:v>127399692.46666911</c:v>
                </c:pt>
                <c:pt idx="53">
                  <c:v>127740860.23929349</c:v>
                </c:pt>
                <c:pt idx="54">
                  <c:v>128083133.39593267</c:v>
                </c:pt>
                <c:pt idx="55">
                  <c:v>128426515.51803234</c:v>
                </c:pt>
                <c:pt idx="56">
                  <c:v>128771010.19864199</c:v>
                </c:pt>
                <c:pt idx="57">
                  <c:v>129116621.04245251</c:v>
                </c:pt>
                <c:pt idx="58">
                  <c:v>129463351.66583419</c:v>
                </c:pt>
                <c:pt idx="59">
                  <c:v>129811205.6968742</c:v>
                </c:pt>
                <c:pt idx="60">
                  <c:v>123643037.53758751</c:v>
                </c:pt>
                <c:pt idx="61">
                  <c:v>123876736.15492694</c:v>
                </c:pt>
                <c:pt idx="62">
                  <c:v>124111191.95608215</c:v>
                </c:pt>
                <c:pt idx="63">
                  <c:v>124346407.39432968</c:v>
                </c:pt>
                <c:pt idx="64">
                  <c:v>124582384.93089466</c:v>
                </c:pt>
                <c:pt idx="65">
                  <c:v>124819127.0349766</c:v>
                </c:pt>
                <c:pt idx="66">
                  <c:v>125056636.18377522</c:v>
                </c:pt>
                <c:pt idx="67">
                  <c:v>125294914.86251639</c:v>
                </c:pt>
                <c:pt idx="68">
                  <c:v>125533965.56447807</c:v>
                </c:pt>
                <c:pt idx="69">
                  <c:v>125773790.7910165</c:v>
                </c:pt>
                <c:pt idx="70">
                  <c:v>126014393.05159228</c:v>
                </c:pt>
                <c:pt idx="71">
                  <c:v>126255774.86379664</c:v>
                </c:pt>
                <c:pt idx="72">
                  <c:v>126497938.75337788</c:v>
                </c:pt>
                <c:pt idx="73">
                  <c:v>126740887.25426768</c:v>
                </c:pt>
                <c:pt idx="74">
                  <c:v>126984622.90860769</c:v>
                </c:pt>
                <c:pt idx="75">
                  <c:v>127229148.26677606</c:v>
                </c:pt>
                <c:pt idx="76">
                  <c:v>127474465.88741419</c:v>
                </c:pt>
                <c:pt idx="77">
                  <c:v>127720578.3374535</c:v>
                </c:pt>
                <c:pt idx="78">
                  <c:v>127967488.19214225</c:v>
                </c:pt>
                <c:pt idx="79">
                  <c:v>128215198.03507251</c:v>
                </c:pt>
                <c:pt idx="80">
                  <c:v>128463710.45820719</c:v>
                </c:pt>
                <c:pt idx="81">
                  <c:v>128713028.06190719</c:v>
                </c:pt>
                <c:pt idx="82">
                  <c:v>128963153.45495853</c:v>
                </c:pt>
                <c:pt idx="83">
                  <c:v>129214089.25459975</c:v>
                </c:pt>
                <c:pt idx="84">
                  <c:v>129465838.08654922</c:v>
                </c:pt>
                <c:pt idx="85">
                  <c:v>129718402.58503266</c:v>
                </c:pt>
                <c:pt idx="86">
                  <c:v>129971785.39281064</c:v>
                </c:pt>
                <c:pt idx="87">
                  <c:v>130225989.16120633</c:v>
                </c:pt>
                <c:pt idx="88">
                  <c:v>130481016.55013318</c:v>
                </c:pt>
                <c:pt idx="89">
                  <c:v>130736870.22812274</c:v>
                </c:pt>
                <c:pt idx="90">
                  <c:v>130993552.87235263</c:v>
                </c:pt>
                <c:pt idx="91">
                  <c:v>131251067.1686745</c:v>
                </c:pt>
                <c:pt idx="92">
                  <c:v>131509415.81164218</c:v>
                </c:pt>
                <c:pt idx="93">
                  <c:v>131768601.50453988</c:v>
                </c:pt>
                <c:pt idx="94">
                  <c:v>132028626.9594104</c:v>
                </c:pt>
                <c:pt idx="95">
                  <c:v>132289494.89708361</c:v>
                </c:pt>
                <c:pt idx="96">
                  <c:v>132551208.04720487</c:v>
                </c:pt>
                <c:pt idx="97">
                  <c:v>132813769.14826357</c:v>
                </c:pt>
                <c:pt idx="98">
                  <c:v>133077180.94762181</c:v>
                </c:pt>
                <c:pt idx="99">
                  <c:v>133341446.20154317</c:v>
                </c:pt>
                <c:pt idx="100">
                  <c:v>133606567.6752215</c:v>
                </c:pt>
                <c:pt idx="101">
                  <c:v>133872548.14280991</c:v>
                </c:pt>
                <c:pt idx="102">
                  <c:v>134139390.38744976</c:v>
                </c:pt>
                <c:pt idx="103">
                  <c:v>134407097.20129976</c:v>
                </c:pt>
                <c:pt idx="104">
                  <c:v>134675671.38556528</c:v>
                </c:pt>
                <c:pt idx="105">
                  <c:v>134945115.75052753</c:v>
                </c:pt>
                <c:pt idx="106">
                  <c:v>135215433.11557311</c:v>
                </c:pt>
                <c:pt idx="107">
                  <c:v>135486626.30922332</c:v>
                </c:pt>
                <c:pt idx="108">
                  <c:v>135758698.16916403</c:v>
                </c:pt>
                <c:pt idx="109">
                  <c:v>136031651.54227507</c:v>
                </c:pt>
                <c:pt idx="110">
                  <c:v>136305489.28466028</c:v>
                </c:pt>
                <c:pt idx="111">
                  <c:v>136580214.26167721</c:v>
                </c:pt>
                <c:pt idx="112">
                  <c:v>136855829.34796715</c:v>
                </c:pt>
                <c:pt idx="113">
                  <c:v>137132337.42748529</c:v>
                </c:pt>
                <c:pt idx="114">
                  <c:v>137409741.39353085</c:v>
                </c:pt>
                <c:pt idx="115">
                  <c:v>137688044.14877731</c:v>
                </c:pt>
                <c:pt idx="116">
                  <c:v>137967248.60530275</c:v>
                </c:pt>
                <c:pt idx="117">
                  <c:v>138247357.68462056</c:v>
                </c:pt>
                <c:pt idx="118">
                  <c:v>138528374.31770962</c:v>
                </c:pt>
                <c:pt idx="119">
                  <c:v>138810301.44504538</c:v>
                </c:pt>
                <c:pt idx="120">
                  <c:v>139093142.01663032</c:v>
                </c:pt>
                <c:pt idx="121">
                  <c:v>139376898.99202496</c:v>
                </c:pt>
                <c:pt idx="122">
                  <c:v>139661575.34037882</c:v>
                </c:pt>
                <c:pt idx="123">
                  <c:v>139947174.04046142</c:v>
                </c:pt>
                <c:pt idx="124">
                  <c:v>140233698.0806936</c:v>
                </c:pt>
                <c:pt idx="125">
                  <c:v>140521150.45917851</c:v>
                </c:pt>
                <c:pt idx="126">
                  <c:v>140809534.18373331</c:v>
                </c:pt>
                <c:pt idx="127">
                  <c:v>141098852.27192047</c:v>
                </c:pt>
                <c:pt idx="128">
                  <c:v>141389107.75107932</c:v>
                </c:pt>
                <c:pt idx="129">
                  <c:v>141680303.6583578</c:v>
                </c:pt>
                <c:pt idx="130">
                  <c:v>141972443.04074419</c:v>
                </c:pt>
                <c:pt idx="131">
                  <c:v>142265528.95509905</c:v>
                </c:pt>
                <c:pt idx="132">
                  <c:v>142559564.46818715</c:v>
                </c:pt>
                <c:pt idx="133">
                  <c:v>142854552.65670955</c:v>
                </c:pt>
                <c:pt idx="134">
                  <c:v>143150496.60733595</c:v>
                </c:pt>
                <c:pt idx="135">
                  <c:v>143447399.41673669</c:v>
                </c:pt>
                <c:pt idx="136">
                  <c:v>143745264.19161546</c:v>
                </c:pt>
                <c:pt idx="137">
                  <c:v>144044094.04874164</c:v>
                </c:pt>
                <c:pt idx="138">
                  <c:v>144343892.11498284</c:v>
                </c:pt>
                <c:pt idx="139">
                  <c:v>144644661.52733794</c:v>
                </c:pt>
                <c:pt idx="140">
                  <c:v>144946405.43296948</c:v>
                </c:pt>
                <c:pt idx="141">
                  <c:v>145249126.98923695</c:v>
                </c:pt>
                <c:pt idx="142">
                  <c:v>145552829.36372969</c:v>
                </c:pt>
                <c:pt idx="143">
                  <c:v>145857515.7342999</c:v>
                </c:pt>
                <c:pt idx="144">
                  <c:v>146163189.28909618</c:v>
                </c:pt>
                <c:pt idx="145">
                  <c:v>146469853.22659665</c:v>
                </c:pt>
                <c:pt idx="146">
                  <c:v>146777510.75564253</c:v>
                </c:pt>
                <c:pt idx="147">
                  <c:v>147086165.09547168</c:v>
                </c:pt>
                <c:pt idx="148">
                  <c:v>147395819.47575229</c:v>
                </c:pt>
                <c:pt idx="149">
                  <c:v>147706477.13661671</c:v>
                </c:pt>
                <c:pt idx="150">
                  <c:v>148018141.32869524</c:v>
                </c:pt>
                <c:pt idx="151">
                  <c:v>148330815.31315041</c:v>
                </c:pt>
                <c:pt idx="152">
                  <c:v>148644502.36171067</c:v>
                </c:pt>
                <c:pt idx="153">
                  <c:v>148959205.75670505</c:v>
                </c:pt>
                <c:pt idx="154">
                  <c:v>149274928.79109731</c:v>
                </c:pt>
                <c:pt idx="155">
                  <c:v>149591674.76852036</c:v>
                </c:pt>
                <c:pt idx="156">
                  <c:v>149909447.00331092</c:v>
                </c:pt>
                <c:pt idx="157">
                  <c:v>150228248.82054412</c:v>
                </c:pt>
                <c:pt idx="158">
                  <c:v>150548083.55606845</c:v>
                </c:pt>
                <c:pt idx="159">
                  <c:v>150868954.55654043</c:v>
                </c:pt>
                <c:pt idx="160">
                  <c:v>151190865.17945981</c:v>
                </c:pt>
                <c:pt idx="161">
                  <c:v>151513818.79320467</c:v>
                </c:pt>
                <c:pt idx="162">
                  <c:v>151837818.77706656</c:v>
                </c:pt>
                <c:pt idx="163">
                  <c:v>152162868.52128601</c:v>
                </c:pt>
                <c:pt idx="164">
                  <c:v>152488971.42708787</c:v>
                </c:pt>
                <c:pt idx="165">
                  <c:v>152816130.90671703</c:v>
                </c:pt>
                <c:pt idx="166">
                  <c:v>153144350.38347402</c:v>
                </c:pt>
                <c:pt idx="167">
                  <c:v>153473633.29175085</c:v>
                </c:pt>
                <c:pt idx="168">
                  <c:v>153803983.07706705</c:v>
                </c:pt>
                <c:pt idx="169">
                  <c:v>154135403.19610551</c:v>
                </c:pt>
                <c:pt idx="170">
                  <c:v>154467897.11674887</c:v>
                </c:pt>
                <c:pt idx="171">
                  <c:v>154801468.31811574</c:v>
                </c:pt>
                <c:pt idx="172">
                  <c:v>155136120.29059696</c:v>
                </c:pt>
                <c:pt idx="173">
                  <c:v>155471856.53589231</c:v>
                </c:pt>
                <c:pt idx="174">
                  <c:v>155808680.56704709</c:v>
                </c:pt>
                <c:pt idx="175">
                  <c:v>156146595.90848887</c:v>
                </c:pt>
                <c:pt idx="176">
                  <c:v>156485606.09606439</c:v>
                </c:pt>
                <c:pt idx="177">
                  <c:v>156825714.67707643</c:v>
                </c:pt>
                <c:pt idx="178">
                  <c:v>157166925.21032119</c:v>
                </c:pt>
                <c:pt idx="179">
                  <c:v>157509241.26612526</c:v>
                </c:pt>
                <c:pt idx="180">
                  <c:v>157852666.42638314</c:v>
                </c:pt>
                <c:pt idx="181">
                  <c:v>158197204.28459463</c:v>
                </c:pt>
                <c:pt idx="182">
                  <c:v>158542858.44590256</c:v>
                </c:pt>
                <c:pt idx="183">
                  <c:v>158889632.52713034</c:v>
                </c:pt>
                <c:pt idx="184">
                  <c:v>159237530.15681994</c:v>
                </c:pt>
                <c:pt idx="185">
                  <c:v>159586554.97526979</c:v>
                </c:pt>
                <c:pt idx="186">
                  <c:v>159936710.63457292</c:v>
                </c:pt>
                <c:pt idx="187">
                  <c:v>160288000.79865515</c:v>
                </c:pt>
                <c:pt idx="188">
                  <c:v>160640429.14331329</c:v>
                </c:pt>
                <c:pt idx="189">
                  <c:v>160993999.35625398</c:v>
                </c:pt>
                <c:pt idx="190">
                  <c:v>161348715.13713181</c:v>
                </c:pt>
                <c:pt idx="191">
                  <c:v>161704580.19758835</c:v>
                </c:pt>
                <c:pt idx="192">
                  <c:v>162061598.26129091</c:v>
                </c:pt>
                <c:pt idx="193">
                  <c:v>162419773.06397149</c:v>
                </c:pt>
                <c:pt idx="194">
                  <c:v>162779108.3534658</c:v>
                </c:pt>
                <c:pt idx="195">
                  <c:v>163139607.88975263</c:v>
                </c:pt>
                <c:pt idx="196">
                  <c:v>163501275.44499299</c:v>
                </c:pt>
                <c:pt idx="197">
                  <c:v>163864114.80356982</c:v>
                </c:pt>
                <c:pt idx="198">
                  <c:v>164228129.76212743</c:v>
                </c:pt>
                <c:pt idx="199">
                  <c:v>164593324.12961119</c:v>
                </c:pt>
                <c:pt idx="200">
                  <c:v>164959701.72730756</c:v>
                </c:pt>
                <c:pt idx="201">
                  <c:v>165327266.38888386</c:v>
                </c:pt>
                <c:pt idx="202">
                  <c:v>165696021.96042863</c:v>
                </c:pt>
                <c:pt idx="203">
                  <c:v>166065972.30049166</c:v>
                </c:pt>
                <c:pt idx="204">
                  <c:v>166437121.28012443</c:v>
                </c:pt>
                <c:pt idx="205">
                  <c:v>166809472.78292072</c:v>
                </c:pt>
                <c:pt idx="206">
                  <c:v>167183030.70505702</c:v>
                </c:pt>
                <c:pt idx="207">
                  <c:v>167557798.95533359</c:v>
                </c:pt>
                <c:pt idx="208">
                  <c:v>167933781.4552151</c:v>
                </c:pt>
                <c:pt idx="209">
                  <c:v>168310982.13887179</c:v>
                </c:pt>
                <c:pt idx="210">
                  <c:v>168689404.95322067</c:v>
                </c:pt>
                <c:pt idx="211">
                  <c:v>169069053.85796672</c:v>
                </c:pt>
                <c:pt idx="212">
                  <c:v>169449932.82564437</c:v>
                </c:pt>
                <c:pt idx="213">
                  <c:v>169832045.84165907</c:v>
                </c:pt>
                <c:pt idx="214">
                  <c:v>170215396.904329</c:v>
                </c:pt>
                <c:pt idx="215">
                  <c:v>170599990.0249269</c:v>
                </c:pt>
                <c:pt idx="216">
                  <c:v>170985829.22772202</c:v>
                </c:pt>
                <c:pt idx="217">
                  <c:v>171372918.55002224</c:v>
                </c:pt>
                <c:pt idx="218">
                  <c:v>171761262.04221636</c:v>
                </c:pt>
                <c:pt idx="219">
                  <c:v>172150863.76781642</c:v>
                </c:pt>
                <c:pt idx="220">
                  <c:v>172541727.80350024</c:v>
                </c:pt>
                <c:pt idx="221">
                  <c:v>172933858.23915404</c:v>
                </c:pt>
                <c:pt idx="222">
                  <c:v>173327259.17791539</c:v>
                </c:pt>
                <c:pt idx="223">
                  <c:v>173721934.73621595</c:v>
                </c:pt>
                <c:pt idx="224">
                  <c:v>174117889.04382467</c:v>
                </c:pt>
                <c:pt idx="225">
                  <c:v>174515126.24389088</c:v>
                </c:pt>
                <c:pt idx="226">
                  <c:v>174913650.49298775</c:v>
                </c:pt>
                <c:pt idx="227">
                  <c:v>175313465.96115583</c:v>
                </c:pt>
                <c:pt idx="228">
                  <c:v>175714576.83194649</c:v>
                </c:pt>
                <c:pt idx="229">
                  <c:v>176116987.30246586</c:v>
                </c:pt>
                <c:pt idx="230">
                  <c:v>176520701.58341876</c:v>
                </c:pt>
                <c:pt idx="231">
                  <c:v>176925723.89915258</c:v>
                </c:pt>
                <c:pt idx="232">
                  <c:v>177332058.48770171</c:v>
                </c:pt>
                <c:pt idx="233">
                  <c:v>177739709.60083175</c:v>
                </c:pt>
                <c:pt idx="234">
                  <c:v>178148681.50408396</c:v>
                </c:pt>
                <c:pt idx="235">
                  <c:v>178558978.47681999</c:v>
                </c:pt>
                <c:pt idx="236">
                  <c:v>178970604.81226671</c:v>
                </c:pt>
                <c:pt idx="237">
                  <c:v>179383564.81756097</c:v>
                </c:pt>
                <c:pt idx="238">
                  <c:v>179797862.81379473</c:v>
                </c:pt>
                <c:pt idx="239">
                  <c:v>180213503.1360603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'Fuel Cost Risk Sim'!$D$141</c:f>
              <c:strCache>
                <c:ptCount val="1"/>
                <c:pt idx="0">
                  <c:v>AB2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Sim'!$E$137:$MZ$137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Sim'!$E$141:$MZ$141</c:f>
              <c:numCache>
                <c:formatCode>"$"#,##0</c:formatCode>
                <c:ptCount val="360"/>
                <c:pt idx="0">
                  <c:v>111097171.54231954</c:v>
                </c:pt>
                <c:pt idx="1">
                  <c:v>111385519.12652764</c:v>
                </c:pt>
                <c:pt idx="2">
                  <c:v>111674800.95727333</c:v>
                </c:pt>
                <c:pt idx="3">
                  <c:v>111965020.06151655</c:v>
                </c:pt>
                <c:pt idx="4">
                  <c:v>112256179.4760246</c:v>
                </c:pt>
                <c:pt idx="5">
                  <c:v>112548282.24740398</c:v>
                </c:pt>
                <c:pt idx="6">
                  <c:v>112841331.43213207</c:v>
                </c:pt>
                <c:pt idx="7">
                  <c:v>113135330.09658939</c:v>
                </c:pt>
                <c:pt idx="8">
                  <c:v>113430281.31709144</c:v>
                </c:pt>
                <c:pt idx="9">
                  <c:v>113726188.179921</c:v>
                </c:pt>
                <c:pt idx="10">
                  <c:v>114023053.78136042</c:v>
                </c:pt>
                <c:pt idx="11">
                  <c:v>114320881.22772399</c:v>
                </c:pt>
                <c:pt idx="12">
                  <c:v>114619673.63539055</c:v>
                </c:pt>
                <c:pt idx="13">
                  <c:v>114919434.13083586</c:v>
                </c:pt>
                <c:pt idx="14">
                  <c:v>115220165.8506656</c:v>
                </c:pt>
                <c:pt idx="15">
                  <c:v>115521871.94164801</c:v>
                </c:pt>
                <c:pt idx="16">
                  <c:v>115824555.56074682</c:v>
                </c:pt>
                <c:pt idx="17">
                  <c:v>116128219.87515438</c:v>
                </c:pt>
                <c:pt idx="18">
                  <c:v>116432868.0623247</c:v>
                </c:pt>
                <c:pt idx="19">
                  <c:v>116738503.31000686</c:v>
                </c:pt>
                <c:pt idx="20">
                  <c:v>117045128.8162781</c:v>
                </c:pt>
                <c:pt idx="21">
                  <c:v>117352747.78957751</c:v>
                </c:pt>
                <c:pt idx="22">
                  <c:v>117661363.44873953</c:v>
                </c:pt>
                <c:pt idx="23">
                  <c:v>117970979.0230276</c:v>
                </c:pt>
                <c:pt idx="24">
                  <c:v>118281597.752168</c:v>
                </c:pt>
                <c:pt idx="25">
                  <c:v>118593222.88638371</c:v>
                </c:pt>
                <c:pt idx="26">
                  <c:v>118905857.68642849</c:v>
                </c:pt>
                <c:pt idx="27">
                  <c:v>119219505.42362085</c:v>
                </c:pt>
                <c:pt idx="28">
                  <c:v>119534169.37987846</c:v>
                </c:pt>
                <c:pt idx="29">
                  <c:v>119849852.84775236</c:v>
                </c:pt>
                <c:pt idx="30">
                  <c:v>120166559.13046151</c:v>
                </c:pt>
                <c:pt idx="31">
                  <c:v>120484291.54192722</c:v>
                </c:pt>
                <c:pt idx="32">
                  <c:v>120803053.40680799</c:v>
                </c:pt>
                <c:pt idx="33">
                  <c:v>121122848.06053418</c:v>
                </c:pt>
                <c:pt idx="34">
                  <c:v>121443678.84934297</c:v>
                </c:pt>
                <c:pt idx="35">
                  <c:v>121765549.13031331</c:v>
                </c:pt>
                <c:pt idx="36">
                  <c:v>122088462.27140114</c:v>
                </c:pt>
                <c:pt idx="37">
                  <c:v>122412421.65147454</c:v>
                </c:pt>
                <c:pt idx="38">
                  <c:v>122737430.66034919</c:v>
                </c:pt>
                <c:pt idx="39">
                  <c:v>123063492.69882366</c:v>
                </c:pt>
                <c:pt idx="40">
                  <c:v>123390611.17871526</c:v>
                </c:pt>
                <c:pt idx="41">
                  <c:v>123718789.52289549</c:v>
                </c:pt>
                <c:pt idx="42">
                  <c:v>124048031.16532597</c:v>
                </c:pt>
                <c:pt idx="43">
                  <c:v>124378339.55109441</c:v>
                </c:pt>
                <c:pt idx="44">
                  <c:v>124709718.13645053</c:v>
                </c:pt>
                <c:pt idx="45">
                  <c:v>125042170.38884237</c:v>
                </c:pt>
                <c:pt idx="46">
                  <c:v>125375699.7869525</c:v>
                </c:pt>
                <c:pt idx="47">
                  <c:v>125710309.82073438</c:v>
                </c:pt>
                <c:pt idx="48">
                  <c:v>126046003.99144897</c:v>
                </c:pt>
                <c:pt idx="49">
                  <c:v>126382785.81170133</c:v>
                </c:pt>
                <c:pt idx="50">
                  <c:v>126720658.80547726</c:v>
                </c:pt>
                <c:pt idx="51">
                  <c:v>127059626.50818044</c:v>
                </c:pt>
                <c:pt idx="52">
                  <c:v>127399692.46666911</c:v>
                </c:pt>
                <c:pt idx="53">
                  <c:v>127740860.23929349</c:v>
                </c:pt>
                <c:pt idx="54">
                  <c:v>128083133.39593267</c:v>
                </c:pt>
                <c:pt idx="55">
                  <c:v>128426515.51803234</c:v>
                </c:pt>
                <c:pt idx="56">
                  <c:v>128771010.19864199</c:v>
                </c:pt>
                <c:pt idx="57">
                  <c:v>129116621.04245251</c:v>
                </c:pt>
                <c:pt idx="58">
                  <c:v>129463351.66583419</c:v>
                </c:pt>
                <c:pt idx="59">
                  <c:v>129811205.6968742</c:v>
                </c:pt>
                <c:pt idx="60">
                  <c:v>90041619.907131165</c:v>
                </c:pt>
                <c:pt idx="61">
                  <c:v>90134860.32326293</c:v>
                </c:pt>
                <c:pt idx="62">
                  <c:v>90228402.847209945</c:v>
                </c:pt>
                <c:pt idx="63">
                  <c:v>90322248.45783028</c:v>
                </c:pt>
                <c:pt idx="64">
                  <c:v>90416398.137153581</c:v>
                </c:pt>
                <c:pt idx="65">
                  <c:v>90510852.870391339</c:v>
                </c:pt>
                <c:pt idx="66">
                  <c:v>90605613.645947263</c:v>
                </c:pt>
                <c:pt idx="67">
                  <c:v>90700681.455427557</c:v>
                </c:pt>
                <c:pt idx="68">
                  <c:v>90796057.293651372</c:v>
                </c:pt>
                <c:pt idx="69">
                  <c:v>90891742.158661082</c:v>
                </c:pt>
                <c:pt idx="70">
                  <c:v>90987737.051732883</c:v>
                </c:pt>
                <c:pt idx="71">
                  <c:v>91084042.97738719</c:v>
                </c:pt>
                <c:pt idx="72">
                  <c:v>91180660.943399131</c:v>
                </c:pt>
                <c:pt idx="73">
                  <c:v>91277591.960809141</c:v>
                </c:pt>
                <c:pt idx="74">
                  <c:v>91374837.043933526</c:v>
                </c:pt>
                <c:pt idx="75">
                  <c:v>91472397.210375071</c:v>
                </c:pt>
                <c:pt idx="76">
                  <c:v>91570273.481033698</c:v>
                </c:pt>
                <c:pt idx="77">
                  <c:v>91668466.880117089</c:v>
                </c:pt>
                <c:pt idx="78">
                  <c:v>91766978.435151547</c:v>
                </c:pt>
                <c:pt idx="79">
                  <c:v>91865809.176992595</c:v>
                </c:pt>
                <c:pt idx="80">
                  <c:v>91964960.139835835</c:v>
                </c:pt>
                <c:pt idx="81">
                  <c:v>92064432.361227751</c:v>
                </c:pt>
                <c:pt idx="82">
                  <c:v>92164226.882076621</c:v>
                </c:pt>
                <c:pt idx="83">
                  <c:v>92264344.746663332</c:v>
                </c:pt>
                <c:pt idx="84">
                  <c:v>92364787.002652332</c:v>
                </c:pt>
                <c:pt idx="85">
                  <c:v>92465554.701102614</c:v>
                </c:pt>
                <c:pt idx="86">
                  <c:v>92566648.896478713</c:v>
                </c:pt>
                <c:pt idx="87">
                  <c:v>92668070.646661699</c:v>
                </c:pt>
                <c:pt idx="88">
                  <c:v>92769821.012960315</c:v>
                </c:pt>
                <c:pt idx="89">
                  <c:v>92871901.060122043</c:v>
                </c:pt>
                <c:pt idx="90">
                  <c:v>92974311.856344178</c:v>
                </c:pt>
                <c:pt idx="91">
                  <c:v>93077054.473285168</c:v>
                </c:pt>
                <c:pt idx="92">
                  <c:v>93180129.986075699</c:v>
                </c:pt>
                <c:pt idx="93">
                  <c:v>93283539.473329991</c:v>
                </c:pt>
                <c:pt idx="94">
                  <c:v>93387284.017157018</c:v>
                </c:pt>
                <c:pt idx="95">
                  <c:v>93491364.703171983</c:v>
                </c:pt>
                <c:pt idx="96">
                  <c:v>93595782.620507538</c:v>
                </c:pt>
                <c:pt idx="97">
                  <c:v>93700538.861825213</c:v>
                </c:pt>
                <c:pt idx="98">
                  <c:v>93805634.523326904</c:v>
                </c:pt>
                <c:pt idx="99">
                  <c:v>93911070.704766273</c:v>
                </c:pt>
                <c:pt idx="100">
                  <c:v>94016848.5094603</c:v>
                </c:pt>
                <c:pt idx="101">
                  <c:v>94122969.044300839</c:v>
                </c:pt>
                <c:pt idx="102">
                  <c:v>94229433.419766128</c:v>
                </c:pt>
                <c:pt idx="103">
                  <c:v>94336242.749932528</c:v>
                </c:pt>
                <c:pt idx="104">
                  <c:v>94443398.152486026</c:v>
                </c:pt>
                <c:pt idx="105">
                  <c:v>94550900.748734117</c:v>
                </c:pt>
                <c:pt idx="106">
                  <c:v>94658751.663617343</c:v>
                </c:pt>
                <c:pt idx="107">
                  <c:v>94766952.025721252</c:v>
                </c:pt>
                <c:pt idx="108">
                  <c:v>94875502.967288047</c:v>
                </c:pt>
                <c:pt idx="109">
                  <c:v>94984405.624228507</c:v>
                </c:pt>
                <c:pt idx="110">
                  <c:v>95093661.136133939</c:v>
                </c:pt>
                <c:pt idx="111">
                  <c:v>95203270.646287948</c:v>
                </c:pt>
                <c:pt idx="112">
                  <c:v>95313235.301678538</c:v>
                </c:pt>
                <c:pt idx="113">
                  <c:v>95423556.253010049</c:v>
                </c:pt>
                <c:pt idx="114">
                  <c:v>95534234.65471521</c:v>
                </c:pt>
                <c:pt idx="115">
                  <c:v>95645271.664967239</c:v>
                </c:pt>
                <c:pt idx="116">
                  <c:v>95756668.445691913</c:v>
                </c:pt>
                <c:pt idx="117">
                  <c:v>95868426.16257979</c:v>
                </c:pt>
                <c:pt idx="118">
                  <c:v>95980545.985098347</c:v>
                </c:pt>
                <c:pt idx="119">
                  <c:v>96093029.086504281</c:v>
                </c:pt>
                <c:pt idx="120">
                  <c:v>96205876.643855721</c:v>
                </c:pt>
                <c:pt idx="121">
                  <c:v>96319089.838024601</c:v>
                </c:pt>
                <c:pt idx="122">
                  <c:v>96432669.853708968</c:v>
                </c:pt>
                <c:pt idx="123">
                  <c:v>96546617.879445434</c:v>
                </c:pt>
                <c:pt idx="124">
                  <c:v>96660935.107621551</c:v>
                </c:pt>
                <c:pt idx="125">
                  <c:v>96775622.734488338</c:v>
                </c:pt>
                <c:pt idx="126">
                  <c:v>96890681.960172772</c:v>
                </c:pt>
                <c:pt idx="127">
                  <c:v>97006113.988690376</c:v>
                </c:pt>
                <c:pt idx="128">
                  <c:v>97121920.027957782</c:v>
                </c:pt>
                <c:pt idx="129">
                  <c:v>97238101.289805382</c:v>
                </c:pt>
                <c:pt idx="130">
                  <c:v>97354658.989990011</c:v>
                </c:pt>
                <c:pt idx="131">
                  <c:v>97471594.348207682</c:v>
                </c:pt>
                <c:pt idx="132">
                  <c:v>97588908.588106349</c:v>
                </c:pt>
                <c:pt idx="133">
                  <c:v>97706602.937298685</c:v>
                </c:pt>
                <c:pt idx="134">
                  <c:v>97824678.627374932</c:v>
                </c:pt>
                <c:pt idx="135">
                  <c:v>97943136.893915847</c:v>
                </c:pt>
                <c:pt idx="136">
                  <c:v>98061978.976505548</c:v>
                </c:pt>
                <c:pt idx="137">
                  <c:v>98181206.118744507</c:v>
                </c:pt>
                <c:pt idx="138">
                  <c:v>98300819.568262652</c:v>
                </c:pt>
                <c:pt idx="139">
                  <c:v>98420820.576732278</c:v>
                </c:pt>
                <c:pt idx="140">
                  <c:v>98541210.399881259</c:v>
                </c:pt>
                <c:pt idx="141">
                  <c:v>98661990.297506124</c:v>
                </c:pt>
                <c:pt idx="142">
                  <c:v>98783161.533485264</c:v>
                </c:pt>
                <c:pt idx="143">
                  <c:v>98904725.375792146</c:v>
                </c:pt>
                <c:pt idx="144">
                  <c:v>99026683.096508652</c:v>
                </c:pt>
                <c:pt idx="145">
                  <c:v>99149035.971838266</c:v>
                </c:pt>
                <c:pt idx="146">
                  <c:v>99271785.282119513</c:v>
                </c:pt>
                <c:pt idx="147">
                  <c:v>99394932.311839342</c:v>
                </c:pt>
                <c:pt idx="148">
                  <c:v>99518478.349646553</c:v>
                </c:pt>
                <c:pt idx="149">
                  <c:v>99642424.688365281</c:v>
                </c:pt>
                <c:pt idx="150">
                  <c:v>99766772.625008568</c:v>
                </c:pt>
                <c:pt idx="151">
                  <c:v>99891523.460791886</c:v>
                </c:pt>
                <c:pt idx="152">
                  <c:v>100016678.50114673</c:v>
                </c:pt>
                <c:pt idx="153">
                  <c:v>100142239.0557344</c:v>
                </c:pt>
                <c:pt idx="154">
                  <c:v>100268206.43845952</c:v>
                </c:pt>
                <c:pt idx="155">
                  <c:v>100394581.96748398</c:v>
                </c:pt>
                <c:pt idx="156">
                  <c:v>100521366.9652406</c:v>
                </c:pt>
                <c:pt idx="157">
                  <c:v>100648562.75844702</c:v>
                </c:pt>
                <c:pt idx="158">
                  <c:v>100776170.67811954</c:v>
                </c:pt>
                <c:pt idx="159">
                  <c:v>100904192.05958712</c:v>
                </c:pt>
                <c:pt idx="160">
                  <c:v>101032628.24250528</c:v>
                </c:pt>
                <c:pt idx="161">
                  <c:v>101161480.57087019</c:v>
                </c:pt>
                <c:pt idx="162">
                  <c:v>101290750.39303267</c:v>
                </c:pt>
                <c:pt idx="163">
                  <c:v>101420439.06171229</c:v>
                </c:pt>
                <c:pt idx="164">
                  <c:v>101550547.93401167</c:v>
                </c:pt>
                <c:pt idx="165">
                  <c:v>101681078.37143043</c:v>
                </c:pt>
                <c:pt idx="166">
                  <c:v>101812031.73987967</c:v>
                </c:pt>
                <c:pt idx="167">
                  <c:v>101943409.40969616</c:v>
                </c:pt>
                <c:pt idx="168">
                  <c:v>102075212.75565666</c:v>
                </c:pt>
                <c:pt idx="169">
                  <c:v>102207443.15699238</c:v>
                </c:pt>
                <c:pt idx="170">
                  <c:v>102340101.99740334</c:v>
                </c:pt>
                <c:pt idx="171">
                  <c:v>102473190.66507289</c:v>
                </c:pt>
                <c:pt idx="172">
                  <c:v>102606710.55268222</c:v>
                </c:pt>
                <c:pt idx="173">
                  <c:v>102740663.05742496</c:v>
                </c:pt>
                <c:pt idx="174">
                  <c:v>102875049.58102173</c:v>
                </c:pt>
                <c:pt idx="175">
                  <c:v>103009871.52973491</c:v>
                </c:pt>
                <c:pt idx="176">
                  <c:v>103145130.3143833</c:v>
                </c:pt>
                <c:pt idx="177">
                  <c:v>103280827.35035686</c:v>
                </c:pt>
                <c:pt idx="178">
                  <c:v>103416964.05763155</c:v>
                </c:pt>
                <c:pt idx="179">
                  <c:v>103553541.86078422</c:v>
                </c:pt>
                <c:pt idx="180">
                  <c:v>103690562.18900745</c:v>
                </c:pt>
                <c:pt idx="181">
                  <c:v>103828026.47612455</c:v>
                </c:pt>
                <c:pt idx="182">
                  <c:v>103965936.16060457</c:v>
                </c:pt>
                <c:pt idx="183">
                  <c:v>104104292.6855773</c:v>
                </c:pt>
                <c:pt idx="184">
                  <c:v>104243097.49884844</c:v>
                </c:pt>
                <c:pt idx="185">
                  <c:v>104382352.05291474</c:v>
                </c:pt>
                <c:pt idx="186">
                  <c:v>104522057.8049791</c:v>
                </c:pt>
                <c:pt idx="187">
                  <c:v>104662216.21696596</c:v>
                </c:pt>
                <c:pt idx="188">
                  <c:v>104802828.75553653</c:v>
                </c:pt>
                <c:pt idx="189">
                  <c:v>104943896.8921041</c:v>
                </c:pt>
                <c:pt idx="190">
                  <c:v>105085422.10284954</c:v>
                </c:pt>
                <c:pt idx="191">
                  <c:v>105227405.86873664</c:v>
                </c:pt>
                <c:pt idx="192">
                  <c:v>105369849.67552766</c:v>
                </c:pt>
                <c:pt idx="193">
                  <c:v>105512755.01379889</c:v>
                </c:pt>
                <c:pt idx="194">
                  <c:v>105656123.3789562</c:v>
                </c:pt>
                <c:pt idx="195">
                  <c:v>105799956.27125075</c:v>
                </c:pt>
                <c:pt idx="196">
                  <c:v>105944255.19579464</c:v>
                </c:pt>
                <c:pt idx="197">
                  <c:v>106089021.66257668</c:v>
                </c:pt>
                <c:pt idx="198">
                  <c:v>106234257.18647817</c:v>
                </c:pt>
                <c:pt idx="199">
                  <c:v>106379963.28728878</c:v>
                </c:pt>
                <c:pt idx="200">
                  <c:v>106526141.48972249</c:v>
                </c:pt>
                <c:pt idx="201">
                  <c:v>106672793.3234334</c:v>
                </c:pt>
                <c:pt idx="202">
                  <c:v>106819920.32303193</c:v>
                </c:pt>
                <c:pt idx="203">
                  <c:v>106967524.02810073</c:v>
                </c:pt>
                <c:pt idx="204">
                  <c:v>107115605.98321085</c:v>
                </c:pt>
                <c:pt idx="205">
                  <c:v>107264167.7379379</c:v>
                </c:pt>
                <c:pt idx="206">
                  <c:v>107413210.84687831</c:v>
                </c:pt>
                <c:pt idx="207">
                  <c:v>107562736.86966544</c:v>
                </c:pt>
                <c:pt idx="208">
                  <c:v>107712747.37098615</c:v>
                </c:pt>
                <c:pt idx="209">
                  <c:v>107863243.92059693</c:v>
                </c:pt>
                <c:pt idx="210">
                  <c:v>108014228.09334044</c:v>
                </c:pt>
                <c:pt idx="211">
                  <c:v>108165701.46916203</c:v>
                </c:pt>
                <c:pt idx="212">
                  <c:v>108317665.6331262</c:v>
                </c:pt>
                <c:pt idx="213">
                  <c:v>108470122.17543319</c:v>
                </c:pt>
                <c:pt idx="214">
                  <c:v>108623072.69143566</c:v>
                </c:pt>
                <c:pt idx="215">
                  <c:v>108776518.78165536</c:v>
                </c:pt>
                <c:pt idx="216">
                  <c:v>108930462.05179989</c:v>
                </c:pt>
                <c:pt idx="217">
                  <c:v>109084904.11277948</c:v>
                </c:pt>
                <c:pt idx="218">
                  <c:v>109239846.58072387</c:v>
                </c:pt>
                <c:pt idx="219">
                  <c:v>109395291.07699923</c:v>
                </c:pt>
                <c:pt idx="220">
                  <c:v>109551239.22822507</c:v>
                </c:pt>
                <c:pt idx="221">
                  <c:v>109707692.66629134</c:v>
                </c:pt>
                <c:pt idx="222">
                  <c:v>109864653.02837548</c:v>
                </c:pt>
                <c:pt idx="223">
                  <c:v>110022121.95695944</c:v>
                </c:pt>
                <c:pt idx="224">
                  <c:v>110180101.09984714</c:v>
                </c:pt>
                <c:pt idx="225">
                  <c:v>110338592.11018139</c:v>
                </c:pt>
                <c:pt idx="226">
                  <c:v>110497596.64646138</c:v>
                </c:pt>
                <c:pt idx="227">
                  <c:v>110657116.37256008</c:v>
                </c:pt>
                <c:pt idx="228">
                  <c:v>110817152.95774141</c:v>
                </c:pt>
                <c:pt idx="229">
                  <c:v>110977708.07667801</c:v>
                </c:pt>
                <c:pt idx="230">
                  <c:v>111138783.40946853</c:v>
                </c:pt>
                <c:pt idx="231">
                  <c:v>111300380.64165539</c:v>
                </c:pt>
                <c:pt idx="232">
                  <c:v>111462501.46424216</c:v>
                </c:pt>
                <c:pt idx="233">
                  <c:v>111625147.57371162</c:v>
                </c:pt>
                <c:pt idx="234">
                  <c:v>111788320.67204319</c:v>
                </c:pt>
                <c:pt idx="235">
                  <c:v>111952022.46673089</c:v>
                </c:pt>
                <c:pt idx="236">
                  <c:v>112116254.67080121</c:v>
                </c:pt>
                <c:pt idx="237">
                  <c:v>112281019.00283098</c:v>
                </c:pt>
                <c:pt idx="238">
                  <c:v>112446317.18696541</c:v>
                </c:pt>
                <c:pt idx="239">
                  <c:v>112612150.95293605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21032"/>
        <c:axId val="3236229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'Fuel Cost Risk Sim'!$D$138</c15:sqref>
                        </c15:formulaRef>
                      </c:ext>
                    </c:extLst>
                    <c:strCache>
                      <c:ptCount val="1"/>
                      <c:pt idx="0">
                        <c:v>AB1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'Fuel Cost Risk Sim'!$E$137:$MZ$137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'Fuel Cost Risk Sim'!$E$138:$MZ$138</c15:sqref>
                        </c15:formulaRef>
                      </c:ext>
                    </c:extLst>
                    <c:numCache>
                      <c:formatCode>"$"#,##0</c:formatCode>
                      <c:ptCount val="360"/>
                      <c:pt idx="0">
                        <c:v>88996133.220760718</c:v>
                      </c:pt>
                      <c:pt idx="1">
                        <c:v>89284480.804968819</c:v>
                      </c:pt>
                      <c:pt idx="2">
                        <c:v>89573762.635714501</c:v>
                      </c:pt>
                      <c:pt idx="3">
                        <c:v>89863981.73995772</c:v>
                      </c:pt>
                      <c:pt idx="4">
                        <c:v>90155141.15446578</c:v>
                      </c:pt>
                      <c:pt idx="5">
                        <c:v>90447243.925845146</c:v>
                      </c:pt>
                      <c:pt idx="6">
                        <c:v>90740293.110573247</c:v>
                      </c:pt>
                      <c:pt idx="7">
                        <c:v>91034291.775030568</c:v>
                      </c:pt>
                      <c:pt idx="8">
                        <c:v>91329242.995532602</c:v>
                      </c:pt>
                      <c:pt idx="9">
                        <c:v>91625149.858362168</c:v>
                      </c:pt>
                      <c:pt idx="10">
                        <c:v>91922015.459801584</c:v>
                      </c:pt>
                      <c:pt idx="11">
                        <c:v>92219842.906165168</c:v>
                      </c:pt>
                      <c:pt idx="12">
                        <c:v>92518635.313831717</c:v>
                      </c:pt>
                      <c:pt idx="13">
                        <c:v>92818395.809277043</c:v>
                      </c:pt>
                      <c:pt idx="14">
                        <c:v>93119127.529106781</c:v>
                      </c:pt>
                      <c:pt idx="15">
                        <c:v>93420833.620089188</c:v>
                      </c:pt>
                      <c:pt idx="16">
                        <c:v>93723517.239187986</c:v>
                      </c:pt>
                      <c:pt idx="17">
                        <c:v>94027181.553595543</c:v>
                      </c:pt>
                      <c:pt idx="18">
                        <c:v>94331829.740765885</c:v>
                      </c:pt>
                      <c:pt idx="19">
                        <c:v>94637464.988448039</c:v>
                      </c:pt>
                      <c:pt idx="20">
                        <c:v>94944090.494719267</c:v>
                      </c:pt>
                      <c:pt idx="21">
                        <c:v>95251709.468018681</c:v>
                      </c:pt>
                      <c:pt idx="22">
                        <c:v>95560325.127180696</c:v>
                      </c:pt>
                      <c:pt idx="23">
                        <c:v>95869940.701468766</c:v>
                      </c:pt>
                      <c:pt idx="24">
                        <c:v>96180559.430609167</c:v>
                      </c:pt>
                      <c:pt idx="25">
                        <c:v>96492184.564824894</c:v>
                      </c:pt>
                      <c:pt idx="26">
                        <c:v>96804819.364869669</c:v>
                      </c:pt>
                      <c:pt idx="27">
                        <c:v>97118467.102062032</c:v>
                      </c:pt>
                      <c:pt idx="28">
                        <c:v>97433131.058319643</c:v>
                      </c:pt>
                      <c:pt idx="29">
                        <c:v>97748814.526193544</c:v>
                      </c:pt>
                      <c:pt idx="30">
                        <c:v>98065520.808902681</c:v>
                      </c:pt>
                      <c:pt idx="31">
                        <c:v>98383253.2203684</c:v>
                      </c:pt>
                      <c:pt idx="32">
                        <c:v>98702015.085249171</c:v>
                      </c:pt>
                      <c:pt idx="33">
                        <c:v>99021809.738975361</c:v>
                      </c:pt>
                      <c:pt idx="34">
                        <c:v>99342640.527784154</c:v>
                      </c:pt>
                      <c:pt idx="35">
                        <c:v>99664510.808754489</c:v>
                      </c:pt>
                      <c:pt idx="36">
                        <c:v>99987423.949842319</c:v>
                      </c:pt>
                      <c:pt idx="37">
                        <c:v>100311383.32991572</c:v>
                      </c:pt>
                      <c:pt idx="38">
                        <c:v>100636392.33879036</c:v>
                      </c:pt>
                      <c:pt idx="39">
                        <c:v>100962454.37726484</c:v>
                      </c:pt>
                      <c:pt idx="40">
                        <c:v>101289572.85715644</c:v>
                      </c:pt>
                      <c:pt idx="41">
                        <c:v>101617751.20133665</c:v>
                      </c:pt>
                      <c:pt idx="42">
                        <c:v>101946992.84376715</c:v>
                      </c:pt>
                      <c:pt idx="43">
                        <c:v>102277301.22953558</c:v>
                      </c:pt>
                      <c:pt idx="44">
                        <c:v>102608679.8148917</c:v>
                      </c:pt>
                      <c:pt idx="45">
                        <c:v>102941132.06728354</c:v>
                      </c:pt>
                      <c:pt idx="46">
                        <c:v>103274661.46539366</c:v>
                      </c:pt>
                      <c:pt idx="47">
                        <c:v>103609271.49917555</c:v>
                      </c:pt>
                      <c:pt idx="48">
                        <c:v>103944965.66989015</c:v>
                      </c:pt>
                      <c:pt idx="49">
                        <c:v>104281747.49014249</c:v>
                      </c:pt>
                      <c:pt idx="50">
                        <c:v>104619620.48391844</c:v>
                      </c:pt>
                      <c:pt idx="51">
                        <c:v>104958588.18662162</c:v>
                      </c:pt>
                      <c:pt idx="52">
                        <c:v>105298654.14511029</c:v>
                      </c:pt>
                      <c:pt idx="53">
                        <c:v>105639821.91773465</c:v>
                      </c:pt>
                      <c:pt idx="54">
                        <c:v>105982095.07437386</c:v>
                      </c:pt>
                      <c:pt idx="55">
                        <c:v>106325477.19647352</c:v>
                      </c:pt>
                      <c:pt idx="56">
                        <c:v>106669971.87708315</c:v>
                      </c:pt>
                      <c:pt idx="57">
                        <c:v>107015582.7208937</c:v>
                      </c:pt>
                      <c:pt idx="58">
                        <c:v>107362313.34427537</c:v>
                      </c:pt>
                      <c:pt idx="59">
                        <c:v>107710167.37531537</c:v>
                      </c:pt>
                      <c:pt idx="60">
                        <c:v>72129174.722812787</c:v>
                      </c:pt>
                      <c:pt idx="61">
                        <c:v>72362873.340152219</c:v>
                      </c:pt>
                      <c:pt idx="62">
                        <c:v>72597329.141307428</c:v>
                      </c:pt>
                      <c:pt idx="63">
                        <c:v>72832544.57955496</c:v>
                      </c:pt>
                      <c:pt idx="64">
                        <c:v>73068522.116119936</c:v>
                      </c:pt>
                      <c:pt idx="65">
                        <c:v>73305264.22020188</c:v>
                      </c:pt>
                      <c:pt idx="66">
                        <c:v>73542773.369000494</c:v>
                      </c:pt>
                      <c:pt idx="67">
                        <c:v>73781052.047741666</c:v>
                      </c:pt>
                      <c:pt idx="68">
                        <c:v>74020102.749703348</c:v>
                      </c:pt>
                      <c:pt idx="69">
                        <c:v>74259927.976241782</c:v>
                      </c:pt>
                      <c:pt idx="70">
                        <c:v>74500530.236817554</c:v>
                      </c:pt>
                      <c:pt idx="71">
                        <c:v>74741912.049021915</c:v>
                      </c:pt>
                      <c:pt idx="72">
                        <c:v>74984075.938603163</c:v>
                      </c:pt>
                      <c:pt idx="73">
                        <c:v>75227024.439492956</c:v>
                      </c:pt>
                      <c:pt idx="74">
                        <c:v>75470760.09383297</c:v>
                      </c:pt>
                      <c:pt idx="75">
                        <c:v>75715285.452001333</c:v>
                      </c:pt>
                      <c:pt idx="76">
                        <c:v>75960603.072639465</c:v>
                      </c:pt>
                      <c:pt idx="77">
                        <c:v>76206715.522678778</c:v>
                      </c:pt>
                      <c:pt idx="78">
                        <c:v>76453625.377367526</c:v>
                      </c:pt>
                      <c:pt idx="79">
                        <c:v>76701335.220297784</c:v>
                      </c:pt>
                      <c:pt idx="80">
                        <c:v>76949847.643432468</c:v>
                      </c:pt>
                      <c:pt idx="81">
                        <c:v>77199165.247132465</c:v>
                      </c:pt>
                      <c:pt idx="82">
                        <c:v>77449290.640183806</c:v>
                      </c:pt>
                      <c:pt idx="83">
                        <c:v>77700226.439825028</c:v>
                      </c:pt>
                      <c:pt idx="84">
                        <c:v>77951975.271774501</c:v>
                      </c:pt>
                      <c:pt idx="85">
                        <c:v>78204539.770257935</c:v>
                      </c:pt>
                      <c:pt idx="86">
                        <c:v>78457922.578035921</c:v>
                      </c:pt>
                      <c:pt idx="87">
                        <c:v>78712126.346431613</c:v>
                      </c:pt>
                      <c:pt idx="88">
                        <c:v>78967153.735358462</c:v>
                      </c:pt>
                      <c:pt idx="89">
                        <c:v>79223007.413348019</c:v>
                      </c:pt>
                      <c:pt idx="90">
                        <c:v>79479690.057577908</c:v>
                      </c:pt>
                      <c:pt idx="91">
                        <c:v>79737204.353899777</c:v>
                      </c:pt>
                      <c:pt idx="92">
                        <c:v>79995552.996867463</c:v>
                      </c:pt>
                      <c:pt idx="93">
                        <c:v>80254738.689765155</c:v>
                      </c:pt>
                      <c:pt idx="94">
                        <c:v>80514764.144635677</c:v>
                      </c:pt>
                      <c:pt idx="95">
                        <c:v>80775632.082308888</c:v>
                      </c:pt>
                      <c:pt idx="96">
                        <c:v>81037345.232430145</c:v>
                      </c:pt>
                      <c:pt idx="97">
                        <c:v>81299906.333488852</c:v>
                      </c:pt>
                      <c:pt idx="98">
                        <c:v>81563318.132847086</c:v>
                      </c:pt>
                      <c:pt idx="99">
                        <c:v>81827583.386768445</c:v>
                      </c:pt>
                      <c:pt idx="100">
                        <c:v>82092704.860446781</c:v>
                      </c:pt>
                      <c:pt idx="101">
                        <c:v>82358685.328035191</c:v>
                      </c:pt>
                      <c:pt idx="102">
                        <c:v>82625527.572675034</c:v>
                      </c:pt>
                      <c:pt idx="103">
                        <c:v>82893234.386525035</c:v>
                      </c:pt>
                      <c:pt idx="104">
                        <c:v>83161808.570790544</c:v>
                      </c:pt>
                      <c:pt idx="105">
                        <c:v>83431252.935752809</c:v>
                      </c:pt>
                      <c:pt idx="106">
                        <c:v>83701570.300798371</c:v>
                      </c:pt>
                      <c:pt idx="107">
                        <c:v>83972763.494448602</c:v>
                      </c:pt>
                      <c:pt idx="108">
                        <c:v>84244835.35438931</c:v>
                      </c:pt>
                      <c:pt idx="109">
                        <c:v>84517788.727500364</c:v>
                      </c:pt>
                      <c:pt idx="110">
                        <c:v>84791626.469885558</c:v>
                      </c:pt>
                      <c:pt idx="111">
                        <c:v>85066351.446902469</c:v>
                      </c:pt>
                      <c:pt idx="112">
                        <c:v>85341966.533192411</c:v>
                      </c:pt>
                      <c:pt idx="113">
                        <c:v>85618474.612710565</c:v>
                      </c:pt>
                      <c:pt idx="114">
                        <c:v>85895878.578756124</c:v>
                      </c:pt>
                      <c:pt idx="115">
                        <c:v>86174181.334002569</c:v>
                      </c:pt>
                      <c:pt idx="116">
                        <c:v>86453385.790528044</c:v>
                      </c:pt>
                      <c:pt idx="117">
                        <c:v>86733494.869845822</c:v>
                      </c:pt>
                      <c:pt idx="118">
                        <c:v>87014511.502934903</c:v>
                      </c:pt>
                      <c:pt idx="119">
                        <c:v>87296438.63027066</c:v>
                      </c:pt>
                      <c:pt idx="120">
                        <c:v>87579279.2018556</c:v>
                      </c:pt>
                      <c:pt idx="121">
                        <c:v>87863036.177250251</c:v>
                      </c:pt>
                      <c:pt idx="122">
                        <c:v>88147712.525604114</c:v>
                      </c:pt>
                      <c:pt idx="123">
                        <c:v>88433311.225686714</c:v>
                      </c:pt>
                      <c:pt idx="124">
                        <c:v>88719835.265918866</c:v>
                      </c:pt>
                      <c:pt idx="125">
                        <c:v>89007287.644403785</c:v>
                      </c:pt>
                      <c:pt idx="126">
                        <c:v>89295671.368958592</c:v>
                      </c:pt>
                      <c:pt idx="127">
                        <c:v>89584989.457145751</c:v>
                      </c:pt>
                      <c:pt idx="128">
                        <c:v>89875244.936304599</c:v>
                      </c:pt>
                      <c:pt idx="129">
                        <c:v>90166440.843583077</c:v>
                      </c:pt>
                      <c:pt idx="130">
                        <c:v>90458580.225969464</c:v>
                      </c:pt>
                      <c:pt idx="131">
                        <c:v>90751666.140324309</c:v>
                      </c:pt>
                      <c:pt idx="132">
                        <c:v>91045701.653412417</c:v>
                      </c:pt>
                      <c:pt idx="133">
                        <c:v>91340689.841934845</c:v>
                      </c:pt>
                      <c:pt idx="134">
                        <c:v>91636633.792561233</c:v>
                      </c:pt>
                      <c:pt idx="135">
                        <c:v>91933536.60196197</c:v>
                      </c:pt>
                      <c:pt idx="136">
                        <c:v>92231401.37684074</c:v>
                      </c:pt>
                      <c:pt idx="137">
                        <c:v>92530231.233966902</c:v>
                      </c:pt>
                      <c:pt idx="138">
                        <c:v>92830029.300208136</c:v>
                      </c:pt>
                      <c:pt idx="139">
                        <c:v>93130798.712563217</c:v>
                      </c:pt>
                      <c:pt idx="140">
                        <c:v>93432542.618194759</c:v>
                      </c:pt>
                      <c:pt idx="141">
                        <c:v>93735264.174462244</c:v>
                      </c:pt>
                      <c:pt idx="142">
                        <c:v>94038966.548954964</c:v>
                      </c:pt>
                      <c:pt idx="143">
                        <c:v>94343652.919525191</c:v>
                      </c:pt>
                      <c:pt idx="144">
                        <c:v>94649326.474321455</c:v>
                      </c:pt>
                      <c:pt idx="145">
                        <c:v>94955990.411821932</c:v>
                      </c:pt>
                      <c:pt idx="146">
                        <c:v>95263647.940867797</c:v>
                      </c:pt>
                      <c:pt idx="147">
                        <c:v>95572302.280696943</c:v>
                      </c:pt>
                      <c:pt idx="148">
                        <c:v>95881956.660977557</c:v>
                      </c:pt>
                      <c:pt idx="149">
                        <c:v>96192614.32184197</c:v>
                      </c:pt>
                      <c:pt idx="150">
                        <c:v>96504278.513920531</c:v>
                      </c:pt>
                      <c:pt idx="151">
                        <c:v>96816952.498375669</c:v>
                      </c:pt>
                      <c:pt idx="152">
                        <c:v>97130639.546935946</c:v>
                      </c:pt>
                      <c:pt idx="153">
                        <c:v>97445342.941930339</c:v>
                      </c:pt>
                      <c:pt idx="154">
                        <c:v>97761065.976322591</c:v>
                      </c:pt>
                      <c:pt idx="155">
                        <c:v>98077811.953745633</c:v>
                      </c:pt>
                      <c:pt idx="156">
                        <c:v>98395584.188536182</c:v>
                      </c:pt>
                      <c:pt idx="157">
                        <c:v>98714386.005769402</c:v>
                      </c:pt>
                      <c:pt idx="158">
                        <c:v>99034220.741293728</c:v>
                      </c:pt>
                      <c:pt idx="159">
                        <c:v>99355091.741765708</c:v>
                      </c:pt>
                      <c:pt idx="160">
                        <c:v>99677002.364685103</c:v>
                      </c:pt>
                      <c:pt idx="161">
                        <c:v>99999955.978429943</c:v>
                      </c:pt>
                      <c:pt idx="162">
                        <c:v>100323955.96229184</c:v>
                      </c:pt>
                      <c:pt idx="163">
                        <c:v>100649005.70651127</c:v>
                      </c:pt>
                      <c:pt idx="164">
                        <c:v>100975108.61231315</c:v>
                      </c:pt>
                      <c:pt idx="165">
                        <c:v>101302268.09194231</c:v>
                      </c:pt>
                      <c:pt idx="166">
                        <c:v>101630487.5686993</c:v>
                      </c:pt>
                      <c:pt idx="167">
                        <c:v>101959770.47697614</c:v>
                      </c:pt>
                      <c:pt idx="168">
                        <c:v>102290120.26229233</c:v>
                      </c:pt>
                      <c:pt idx="169">
                        <c:v>102621540.38133079</c:v>
                      </c:pt>
                      <c:pt idx="170">
                        <c:v>102954034.30197416</c:v>
                      </c:pt>
                      <c:pt idx="171">
                        <c:v>103287605.50334102</c:v>
                      </c:pt>
                      <c:pt idx="172">
                        <c:v>103622257.47582223</c:v>
                      </c:pt>
                      <c:pt idx="173">
                        <c:v>103957993.72111759</c:v>
                      </c:pt>
                      <c:pt idx="174">
                        <c:v>104294817.75227237</c:v>
                      </c:pt>
                      <c:pt idx="175">
                        <c:v>104632733.09371415</c:v>
                      </c:pt>
                      <c:pt idx="176">
                        <c:v>104971743.28128965</c:v>
                      </c:pt>
                      <c:pt idx="177">
                        <c:v>105311851.86230171</c:v>
                      </c:pt>
                      <c:pt idx="178">
                        <c:v>105653062.39554647</c:v>
                      </c:pt>
                      <c:pt idx="179">
                        <c:v>105995378.45135054</c:v>
                      </c:pt>
                      <c:pt idx="180">
                        <c:v>106338803.6116084</c:v>
                      </c:pt>
                      <c:pt idx="181">
                        <c:v>106683341.4698199</c:v>
                      </c:pt>
                      <c:pt idx="182">
                        <c:v>107028995.63112783</c:v>
                      </c:pt>
                      <c:pt idx="183">
                        <c:v>107375769.71235561</c:v>
                      </c:pt>
                      <c:pt idx="184">
                        <c:v>107723667.34204523</c:v>
                      </c:pt>
                      <c:pt idx="185">
                        <c:v>108072692.16049509</c:v>
                      </c:pt>
                      <c:pt idx="186">
                        <c:v>108422847.81979822</c:v>
                      </c:pt>
                      <c:pt idx="187">
                        <c:v>108774137.98388042</c:v>
                      </c:pt>
                      <c:pt idx="188">
                        <c:v>109126566.32853858</c:v>
                      </c:pt>
                      <c:pt idx="189">
                        <c:v>109480136.54147924</c:v>
                      </c:pt>
                      <c:pt idx="190">
                        <c:v>109834852.32235707</c:v>
                      </c:pt>
                      <c:pt idx="191">
                        <c:v>110190717.38281363</c:v>
                      </c:pt>
                      <c:pt idx="192">
                        <c:v>110547735.44651619</c:v>
                      </c:pt>
                      <c:pt idx="193">
                        <c:v>110905910.24919677</c:v>
                      </c:pt>
                      <c:pt idx="194">
                        <c:v>111265245.53869109</c:v>
                      </c:pt>
                      <c:pt idx="195">
                        <c:v>111625745.07497789</c:v>
                      </c:pt>
                      <c:pt idx="196">
                        <c:v>111987412.63021827</c:v>
                      </c:pt>
                      <c:pt idx="197">
                        <c:v>112350251.9887951</c:v>
                      </c:pt>
                      <c:pt idx="198">
                        <c:v>112714266.94735271</c:v>
                      </c:pt>
                      <c:pt idx="199">
                        <c:v>113079461.31483646</c:v>
                      </c:pt>
                      <c:pt idx="200">
                        <c:v>113445838.91253282</c:v>
                      </c:pt>
                      <c:pt idx="201">
                        <c:v>113813403.57410914</c:v>
                      </c:pt>
                      <c:pt idx="202">
                        <c:v>114182159.1456539</c:v>
                      </c:pt>
                      <c:pt idx="203">
                        <c:v>114552109.48571694</c:v>
                      </c:pt>
                      <c:pt idx="204">
                        <c:v>114923258.46534972</c:v>
                      </c:pt>
                      <c:pt idx="205">
                        <c:v>115295609.96814598</c:v>
                      </c:pt>
                      <c:pt idx="206">
                        <c:v>115669167.8902823</c:v>
                      </c:pt>
                      <c:pt idx="207">
                        <c:v>116043936.14055885</c:v>
                      </c:pt>
                      <c:pt idx="208">
                        <c:v>116419918.64044036</c:v>
                      </c:pt>
                      <c:pt idx="209">
                        <c:v>116797119.32409708</c:v>
                      </c:pt>
                      <c:pt idx="210">
                        <c:v>117175542.13844596</c:v>
                      </c:pt>
                      <c:pt idx="211">
                        <c:v>117555191.043192</c:v>
                      </c:pt>
                      <c:pt idx="212">
                        <c:v>117936070.01086965</c:v>
                      </c:pt>
                      <c:pt idx="213">
                        <c:v>118318183.02688436</c:v>
                      </c:pt>
                      <c:pt idx="214">
                        <c:v>118701534.08955429</c:v>
                      </c:pt>
                      <c:pt idx="215">
                        <c:v>119086127.21015219</c:v>
                      </c:pt>
                      <c:pt idx="216">
                        <c:v>119471966.4129473</c:v>
                      </c:pt>
                      <c:pt idx="217">
                        <c:v>119859055.73524754</c:v>
                      </c:pt>
                      <c:pt idx="218">
                        <c:v>120247399.22744165</c:v>
                      </c:pt>
                      <c:pt idx="219">
                        <c:v>120637000.9530417</c:v>
                      </c:pt>
                      <c:pt idx="220">
                        <c:v>121027864.9887255</c:v>
                      </c:pt>
                      <c:pt idx="221">
                        <c:v>121419995.42437932</c:v>
                      </c:pt>
                      <c:pt idx="222">
                        <c:v>121813396.36314067</c:v>
                      </c:pt>
                      <c:pt idx="223">
                        <c:v>122208071.92144124</c:v>
                      </c:pt>
                      <c:pt idx="224">
                        <c:v>122604026.22904994</c:v>
                      </c:pt>
                      <c:pt idx="225">
                        <c:v>123001263.42911614</c:v>
                      </c:pt>
                      <c:pt idx="226">
                        <c:v>123399787.67821305</c:v>
                      </c:pt>
                      <c:pt idx="227">
                        <c:v>123799603.1463811</c:v>
                      </c:pt>
                      <c:pt idx="228">
                        <c:v>124200714.01717176</c:v>
                      </c:pt>
                      <c:pt idx="229">
                        <c:v>124603124.48769115</c:v>
                      </c:pt>
                      <c:pt idx="230">
                        <c:v>125006838.76864403</c:v>
                      </c:pt>
                      <c:pt idx="231">
                        <c:v>125411861.08437787</c:v>
                      </c:pt>
                      <c:pt idx="232">
                        <c:v>125818195.67292701</c:v>
                      </c:pt>
                      <c:pt idx="233">
                        <c:v>126225846.78605704</c:v>
                      </c:pt>
                      <c:pt idx="234">
                        <c:v>126634818.68930924</c:v>
                      </c:pt>
                      <c:pt idx="235">
                        <c:v>127045115.66204529</c:v>
                      </c:pt>
                      <c:pt idx="236">
                        <c:v>127456741.997492</c:v>
                      </c:pt>
                      <c:pt idx="237">
                        <c:v>127869702.00278625</c:v>
                      </c:pt>
                      <c:pt idx="238">
                        <c:v>128283999.99902</c:v>
                      </c:pt>
                      <c:pt idx="239">
                        <c:v>128699640.32128559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Sim'!$D$140</c15:sqref>
                        </c15:formulaRef>
                      </c:ext>
                    </c:extLst>
                    <c:strCache>
                      <c:ptCount val="1"/>
                      <c:pt idx="0">
                        <c:v>AB2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Sim'!$E$137:$MZ$137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Sim'!$E$140:$MZ$140</c15:sqref>
                        </c15:formulaRef>
                      </c:ext>
                    </c:extLst>
                    <c:numCache>
                      <c:formatCode>"$"#,##0</c:formatCode>
                      <c:ptCount val="360"/>
                      <c:pt idx="0">
                        <c:v>88996133.220760718</c:v>
                      </c:pt>
                      <c:pt idx="1">
                        <c:v>89284480.804968819</c:v>
                      </c:pt>
                      <c:pt idx="2">
                        <c:v>89573762.635714501</c:v>
                      </c:pt>
                      <c:pt idx="3">
                        <c:v>89863981.73995772</c:v>
                      </c:pt>
                      <c:pt idx="4">
                        <c:v>90155141.15446578</c:v>
                      </c:pt>
                      <c:pt idx="5">
                        <c:v>90447243.925845146</c:v>
                      </c:pt>
                      <c:pt idx="6">
                        <c:v>90740293.110573247</c:v>
                      </c:pt>
                      <c:pt idx="7">
                        <c:v>91034291.775030568</c:v>
                      </c:pt>
                      <c:pt idx="8">
                        <c:v>91329242.995532602</c:v>
                      </c:pt>
                      <c:pt idx="9">
                        <c:v>91625149.858362168</c:v>
                      </c:pt>
                      <c:pt idx="10">
                        <c:v>91922015.459801584</c:v>
                      </c:pt>
                      <c:pt idx="11">
                        <c:v>92219842.906165168</c:v>
                      </c:pt>
                      <c:pt idx="12">
                        <c:v>92518635.313831717</c:v>
                      </c:pt>
                      <c:pt idx="13">
                        <c:v>92818395.809277043</c:v>
                      </c:pt>
                      <c:pt idx="14">
                        <c:v>93119127.529106781</c:v>
                      </c:pt>
                      <c:pt idx="15">
                        <c:v>93420833.620089188</c:v>
                      </c:pt>
                      <c:pt idx="16">
                        <c:v>93723517.239187986</c:v>
                      </c:pt>
                      <c:pt idx="17">
                        <c:v>94027181.553595543</c:v>
                      </c:pt>
                      <c:pt idx="18">
                        <c:v>94331829.740765885</c:v>
                      </c:pt>
                      <c:pt idx="19">
                        <c:v>94637464.988448039</c:v>
                      </c:pt>
                      <c:pt idx="20">
                        <c:v>94944090.494719267</c:v>
                      </c:pt>
                      <c:pt idx="21">
                        <c:v>95251709.468018681</c:v>
                      </c:pt>
                      <c:pt idx="22">
                        <c:v>95560325.127180696</c:v>
                      </c:pt>
                      <c:pt idx="23">
                        <c:v>95869940.701468766</c:v>
                      </c:pt>
                      <c:pt idx="24">
                        <c:v>96180559.430609167</c:v>
                      </c:pt>
                      <c:pt idx="25">
                        <c:v>96492184.564824894</c:v>
                      </c:pt>
                      <c:pt idx="26">
                        <c:v>96804819.364869669</c:v>
                      </c:pt>
                      <c:pt idx="27">
                        <c:v>97118467.102062032</c:v>
                      </c:pt>
                      <c:pt idx="28">
                        <c:v>97433131.058319643</c:v>
                      </c:pt>
                      <c:pt idx="29">
                        <c:v>97748814.526193544</c:v>
                      </c:pt>
                      <c:pt idx="30">
                        <c:v>98065520.808902681</c:v>
                      </c:pt>
                      <c:pt idx="31">
                        <c:v>98383253.2203684</c:v>
                      </c:pt>
                      <c:pt idx="32">
                        <c:v>98702015.085249171</c:v>
                      </c:pt>
                      <c:pt idx="33">
                        <c:v>99021809.738975361</c:v>
                      </c:pt>
                      <c:pt idx="34">
                        <c:v>99342640.527784154</c:v>
                      </c:pt>
                      <c:pt idx="35">
                        <c:v>99664510.808754489</c:v>
                      </c:pt>
                      <c:pt idx="36">
                        <c:v>99987423.949842319</c:v>
                      </c:pt>
                      <c:pt idx="37">
                        <c:v>100311383.32991572</c:v>
                      </c:pt>
                      <c:pt idx="38">
                        <c:v>100636392.33879036</c:v>
                      </c:pt>
                      <c:pt idx="39">
                        <c:v>100962454.37726484</c:v>
                      </c:pt>
                      <c:pt idx="40">
                        <c:v>101289572.85715644</c:v>
                      </c:pt>
                      <c:pt idx="41">
                        <c:v>101617751.20133665</c:v>
                      </c:pt>
                      <c:pt idx="42">
                        <c:v>101946992.84376715</c:v>
                      </c:pt>
                      <c:pt idx="43">
                        <c:v>102277301.22953558</c:v>
                      </c:pt>
                      <c:pt idx="44">
                        <c:v>102608679.8148917</c:v>
                      </c:pt>
                      <c:pt idx="45">
                        <c:v>102941132.06728354</c:v>
                      </c:pt>
                      <c:pt idx="46">
                        <c:v>103274661.46539366</c:v>
                      </c:pt>
                      <c:pt idx="47">
                        <c:v>103609271.49917555</c:v>
                      </c:pt>
                      <c:pt idx="48">
                        <c:v>103944965.66989015</c:v>
                      </c:pt>
                      <c:pt idx="49">
                        <c:v>104281747.49014249</c:v>
                      </c:pt>
                      <c:pt idx="50">
                        <c:v>104619620.48391844</c:v>
                      </c:pt>
                      <c:pt idx="51">
                        <c:v>104958588.18662162</c:v>
                      </c:pt>
                      <c:pt idx="52">
                        <c:v>105298654.14511029</c:v>
                      </c:pt>
                      <c:pt idx="53">
                        <c:v>105639821.91773465</c:v>
                      </c:pt>
                      <c:pt idx="54">
                        <c:v>105982095.07437386</c:v>
                      </c:pt>
                      <c:pt idx="55">
                        <c:v>106325477.19647352</c:v>
                      </c:pt>
                      <c:pt idx="56">
                        <c:v>106669971.87708315</c:v>
                      </c:pt>
                      <c:pt idx="57">
                        <c:v>107015582.7208937</c:v>
                      </c:pt>
                      <c:pt idx="58">
                        <c:v>107362313.34427537</c:v>
                      </c:pt>
                      <c:pt idx="59">
                        <c:v>107710167.37531537</c:v>
                      </c:pt>
                      <c:pt idx="60">
                        <c:v>38527757.092356443</c:v>
                      </c:pt>
                      <c:pt idx="61">
                        <c:v>38620997.508488208</c:v>
                      </c:pt>
                      <c:pt idx="62">
                        <c:v>38714540.032435223</c:v>
                      </c:pt>
                      <c:pt idx="63">
                        <c:v>38808385.643055566</c:v>
                      </c:pt>
                      <c:pt idx="64">
                        <c:v>38902535.322378859</c:v>
                      </c:pt>
                      <c:pt idx="65">
                        <c:v>38996990.055616617</c:v>
                      </c:pt>
                      <c:pt idx="66">
                        <c:v>39091750.831172541</c:v>
                      </c:pt>
                      <c:pt idx="67">
                        <c:v>39186818.640652843</c:v>
                      </c:pt>
                      <c:pt idx="68">
                        <c:v>39282194.478876643</c:v>
                      </c:pt>
                      <c:pt idx="69">
                        <c:v>39377879.343886361</c:v>
                      </c:pt>
                      <c:pt idx="70">
                        <c:v>39473874.236958161</c:v>
                      </c:pt>
                      <c:pt idx="71">
                        <c:v>39570180.162612461</c:v>
                      </c:pt>
                      <c:pt idx="72">
                        <c:v>39666798.128624402</c:v>
                      </c:pt>
                      <c:pt idx="73">
                        <c:v>39763729.14603442</c:v>
                      </c:pt>
                      <c:pt idx="74">
                        <c:v>39860974.229158804</c:v>
                      </c:pt>
                      <c:pt idx="75">
                        <c:v>39958534.395600356</c:v>
                      </c:pt>
                      <c:pt idx="76">
                        <c:v>40056410.666258976</c:v>
                      </c:pt>
                      <c:pt idx="77">
                        <c:v>40154604.065342374</c:v>
                      </c:pt>
                      <c:pt idx="78">
                        <c:v>40253115.620376833</c:v>
                      </c:pt>
                      <c:pt idx="79">
                        <c:v>40351946.362217873</c:v>
                      </c:pt>
                      <c:pt idx="80">
                        <c:v>40451097.325061105</c:v>
                      </c:pt>
                      <c:pt idx="81">
                        <c:v>40550569.546453036</c:v>
                      </c:pt>
                      <c:pt idx="82">
                        <c:v>40650364.067301907</c:v>
                      </c:pt>
                      <c:pt idx="83">
                        <c:v>40750481.93188861</c:v>
                      </c:pt>
                      <c:pt idx="84">
                        <c:v>40850924.18787761</c:v>
                      </c:pt>
                      <c:pt idx="85">
                        <c:v>40951691.886327893</c:v>
                      </c:pt>
                      <c:pt idx="86">
                        <c:v>41052786.081703991</c:v>
                      </c:pt>
                      <c:pt idx="87">
                        <c:v>41154207.831886984</c:v>
                      </c:pt>
                      <c:pt idx="88">
                        <c:v>41255958.1981856</c:v>
                      </c:pt>
                      <c:pt idx="89">
                        <c:v>41358038.245347314</c:v>
                      </c:pt>
                      <c:pt idx="90">
                        <c:v>41460449.041569456</c:v>
                      </c:pt>
                      <c:pt idx="91">
                        <c:v>41563191.658510454</c:v>
                      </c:pt>
                      <c:pt idx="92">
                        <c:v>41666267.171300985</c:v>
                      </c:pt>
                      <c:pt idx="93">
                        <c:v>41769676.658555262</c:v>
                      </c:pt>
                      <c:pt idx="94">
                        <c:v>41873421.202382304</c:v>
                      </c:pt>
                      <c:pt idx="95">
                        <c:v>41977501.888397262</c:v>
                      </c:pt>
                      <c:pt idx="96">
                        <c:v>42081919.805732816</c:v>
                      </c:pt>
                      <c:pt idx="97">
                        <c:v>42186676.047050491</c:v>
                      </c:pt>
                      <c:pt idx="98">
                        <c:v>42291771.708552182</c:v>
                      </c:pt>
                      <c:pt idx="99">
                        <c:v>42397207.889991552</c:v>
                      </c:pt>
                      <c:pt idx="100">
                        <c:v>42502985.694685586</c:v>
                      </c:pt>
                      <c:pt idx="101">
                        <c:v>42609106.229526117</c:v>
                      </c:pt>
                      <c:pt idx="102">
                        <c:v>42715570.604991414</c:v>
                      </c:pt>
                      <c:pt idx="103">
                        <c:v>42822379.935157798</c:v>
                      </c:pt>
                      <c:pt idx="104">
                        <c:v>42929535.337711312</c:v>
                      </c:pt>
                      <c:pt idx="105">
                        <c:v>43037037.933959395</c:v>
                      </c:pt>
                      <c:pt idx="106">
                        <c:v>43144888.848842628</c:v>
                      </c:pt>
                      <c:pt idx="107">
                        <c:v>43253089.21094653</c:v>
                      </c:pt>
                      <c:pt idx="108">
                        <c:v>43361640.152513325</c:v>
                      </c:pt>
                      <c:pt idx="109">
                        <c:v>43470542.809453793</c:v>
                      </c:pt>
                      <c:pt idx="110">
                        <c:v>43579798.321359217</c:v>
                      </c:pt>
                      <c:pt idx="111">
                        <c:v>43689407.831513226</c:v>
                      </c:pt>
                      <c:pt idx="112">
                        <c:v>43799372.486903816</c:v>
                      </c:pt>
                      <c:pt idx="113">
                        <c:v>43909693.438235328</c:v>
                      </c:pt>
                      <c:pt idx="114">
                        <c:v>44020371.839940496</c:v>
                      </c:pt>
                      <c:pt idx="115">
                        <c:v>44131408.850192524</c:v>
                      </c:pt>
                      <c:pt idx="116">
                        <c:v>44242805.630917192</c:v>
                      </c:pt>
                      <c:pt idx="117">
                        <c:v>44354563.347805068</c:v>
                      </c:pt>
                      <c:pt idx="118">
                        <c:v>44466683.170323625</c:v>
                      </c:pt>
                      <c:pt idx="119">
                        <c:v>44579166.271729551</c:v>
                      </c:pt>
                      <c:pt idx="120">
                        <c:v>44692013.829080999</c:v>
                      </c:pt>
                      <c:pt idx="121">
                        <c:v>44805227.023249879</c:v>
                      </c:pt>
                      <c:pt idx="122">
                        <c:v>44918807.038934246</c:v>
                      </c:pt>
                      <c:pt idx="123">
                        <c:v>45032755.064670704</c:v>
                      </c:pt>
                      <c:pt idx="124">
                        <c:v>45147072.292846821</c:v>
                      </c:pt>
                      <c:pt idx="125">
                        <c:v>45261759.919713609</c:v>
                      </c:pt>
                      <c:pt idx="126">
                        <c:v>45376819.145398051</c:v>
                      </c:pt>
                      <c:pt idx="127">
                        <c:v>45492251.173915662</c:v>
                      </c:pt>
                      <c:pt idx="128">
                        <c:v>45608057.21318306</c:v>
                      </c:pt>
                      <c:pt idx="129">
                        <c:v>45724238.475030661</c:v>
                      </c:pt>
                      <c:pt idx="130">
                        <c:v>45840796.175215289</c:v>
                      </c:pt>
                      <c:pt idx="131">
                        <c:v>45957731.533432961</c:v>
                      </c:pt>
                      <c:pt idx="132">
                        <c:v>46075045.773331627</c:v>
                      </c:pt>
                      <c:pt idx="133">
                        <c:v>46192740.122523956</c:v>
                      </c:pt>
                      <c:pt idx="134">
                        <c:v>46310815.81260021</c:v>
                      </c:pt>
                      <c:pt idx="135">
                        <c:v>46429274.079141125</c:v>
                      </c:pt>
                      <c:pt idx="136">
                        <c:v>46548116.161730818</c:v>
                      </c:pt>
                      <c:pt idx="137">
                        <c:v>46667343.303969786</c:v>
                      </c:pt>
                      <c:pt idx="138">
                        <c:v>46786956.75348793</c:v>
                      </c:pt>
                      <c:pt idx="139">
                        <c:v>46906957.761957556</c:v>
                      </c:pt>
                      <c:pt idx="140">
                        <c:v>47027347.585106537</c:v>
                      </c:pt>
                      <c:pt idx="141">
                        <c:v>47148127.482731394</c:v>
                      </c:pt>
                      <c:pt idx="142">
                        <c:v>47269298.718710534</c:v>
                      </c:pt>
                      <c:pt idx="143">
                        <c:v>47390862.561017431</c:v>
                      </c:pt>
                      <c:pt idx="144">
                        <c:v>47512820.281733938</c:v>
                      </c:pt>
                      <c:pt idx="145">
                        <c:v>47635173.157063551</c:v>
                      </c:pt>
                      <c:pt idx="146">
                        <c:v>47757922.467344798</c:v>
                      </c:pt>
                      <c:pt idx="147">
                        <c:v>47881069.49706462</c:v>
                      </c:pt>
                      <c:pt idx="148">
                        <c:v>48004615.534871832</c:v>
                      </c:pt>
                      <c:pt idx="149">
                        <c:v>48128561.873590559</c:v>
                      </c:pt>
                      <c:pt idx="150">
                        <c:v>48252909.810233846</c:v>
                      </c:pt>
                      <c:pt idx="151">
                        <c:v>48377660.646017157</c:v>
                      </c:pt>
                      <c:pt idx="152">
                        <c:v>48502815.686372012</c:v>
                      </c:pt>
                      <c:pt idx="153">
                        <c:v>48628376.240959674</c:v>
                      </c:pt>
                      <c:pt idx="154">
                        <c:v>48754343.623684801</c:v>
                      </c:pt>
                      <c:pt idx="155">
                        <c:v>48880719.152709261</c:v>
                      </c:pt>
                      <c:pt idx="156">
                        <c:v>49007504.150465883</c:v>
                      </c:pt>
                      <c:pt idx="157">
                        <c:v>49134699.943672292</c:v>
                      </c:pt>
                      <c:pt idx="158">
                        <c:v>49262307.863344811</c:v>
                      </c:pt>
                      <c:pt idx="159">
                        <c:v>49390329.244812392</c:v>
                      </c:pt>
                      <c:pt idx="160">
                        <c:v>49518765.42773056</c:v>
                      </c:pt>
                      <c:pt idx="161">
                        <c:v>49647617.756095469</c:v>
                      </c:pt>
                      <c:pt idx="162">
                        <c:v>49776887.578257941</c:v>
                      </c:pt>
                      <c:pt idx="163">
                        <c:v>49906576.246937573</c:v>
                      </c:pt>
                      <c:pt idx="164">
                        <c:v>50036685.119236939</c:v>
                      </c:pt>
                      <c:pt idx="165">
                        <c:v>50167215.556655705</c:v>
                      </c:pt>
                      <c:pt idx="166">
                        <c:v>50298168.925104938</c:v>
                      </c:pt>
                      <c:pt idx="167">
                        <c:v>50429546.594921432</c:v>
                      </c:pt>
                      <c:pt idx="168">
                        <c:v>50561349.94088193</c:v>
                      </c:pt>
                      <c:pt idx="169">
                        <c:v>50693580.342217654</c:v>
                      </c:pt>
                      <c:pt idx="170">
                        <c:v>50826239.182628617</c:v>
                      </c:pt>
                      <c:pt idx="171">
                        <c:v>50959327.850298174</c:v>
                      </c:pt>
                      <c:pt idx="172">
                        <c:v>51092847.737907507</c:v>
                      </c:pt>
                      <c:pt idx="173">
                        <c:v>51226800.242650233</c:v>
                      </c:pt>
                      <c:pt idx="174">
                        <c:v>51361186.766247004</c:v>
                      </c:pt>
                      <c:pt idx="175">
                        <c:v>51496008.714960195</c:v>
                      </c:pt>
                      <c:pt idx="176">
                        <c:v>51631267.499608576</c:v>
                      </c:pt>
                      <c:pt idx="177">
                        <c:v>51766964.53558214</c:v>
                      </c:pt>
                      <c:pt idx="178">
                        <c:v>51903101.24285683</c:v>
                      </c:pt>
                      <c:pt idx="179">
                        <c:v>52039679.046009496</c:v>
                      </c:pt>
                      <c:pt idx="180">
                        <c:v>52176699.374232724</c:v>
                      </c:pt>
                      <c:pt idx="181">
                        <c:v>52314163.661349826</c:v>
                      </c:pt>
                      <c:pt idx="182">
                        <c:v>52452073.345829844</c:v>
                      </c:pt>
                      <c:pt idx="183">
                        <c:v>52590429.870802581</c:v>
                      </c:pt>
                      <c:pt idx="184">
                        <c:v>52729234.684073724</c:v>
                      </c:pt>
                      <c:pt idx="185">
                        <c:v>52868489.238140017</c:v>
                      </c:pt>
                      <c:pt idx="186">
                        <c:v>53008194.990204379</c:v>
                      </c:pt>
                      <c:pt idx="187">
                        <c:v>53148353.402191237</c:v>
                      </c:pt>
                      <c:pt idx="188">
                        <c:v>53288965.940761805</c:v>
                      </c:pt>
                      <c:pt idx="189">
                        <c:v>53430034.077329382</c:v>
                      </c:pt>
                      <c:pt idx="190">
                        <c:v>53571559.288074821</c:v>
                      </c:pt>
                      <c:pt idx="191">
                        <c:v>53713543.053961918</c:v>
                      </c:pt>
                      <c:pt idx="192">
                        <c:v>53855986.86075294</c:v>
                      </c:pt>
                      <c:pt idx="193">
                        <c:v>53998892.199024171</c:v>
                      </c:pt>
                      <c:pt idx="194">
                        <c:v>54142260.564181484</c:v>
                      </c:pt>
                      <c:pt idx="195">
                        <c:v>54286093.456476033</c:v>
                      </c:pt>
                      <c:pt idx="196">
                        <c:v>54430392.38101992</c:v>
                      </c:pt>
                      <c:pt idx="197">
                        <c:v>54575158.847801954</c:v>
                      </c:pt>
                      <c:pt idx="198">
                        <c:v>54720394.371703446</c:v>
                      </c:pt>
                      <c:pt idx="199">
                        <c:v>54866100.472514063</c:v>
                      </c:pt>
                      <c:pt idx="200">
                        <c:v>55012278.674947768</c:v>
                      </c:pt>
                      <c:pt idx="201">
                        <c:v>55158930.508658677</c:v>
                      </c:pt>
                      <c:pt idx="202">
                        <c:v>55306057.50825721</c:v>
                      </c:pt>
                      <c:pt idx="203">
                        <c:v>55453661.213326</c:v>
                      </c:pt>
                      <c:pt idx="204">
                        <c:v>55601743.168436125</c:v>
                      </c:pt>
                      <c:pt idx="205">
                        <c:v>55750304.923163183</c:v>
                      </c:pt>
                      <c:pt idx="206">
                        <c:v>55899348.032103583</c:v>
                      </c:pt>
                      <c:pt idx="207">
                        <c:v>56048874.054890722</c:v>
                      </c:pt>
                      <c:pt idx="208">
                        <c:v>56198884.556211427</c:v>
                      </c:pt>
                      <c:pt idx="209">
                        <c:v>56349381.105822198</c:v>
                      </c:pt>
                      <c:pt idx="210">
                        <c:v>56500365.27856572</c:v>
                      </c:pt>
                      <c:pt idx="211">
                        <c:v>56651838.65438731</c:v>
                      </c:pt>
                      <c:pt idx="212">
                        <c:v>56803802.81835147</c:v>
                      </c:pt>
                      <c:pt idx="213">
                        <c:v>56956259.360658467</c:v>
                      </c:pt>
                      <c:pt idx="214">
                        <c:v>57109209.876660936</c:v>
                      </c:pt>
                      <c:pt idx="215">
                        <c:v>57262655.966880634</c:v>
                      </c:pt>
                      <c:pt idx="216">
                        <c:v>57416599.237025164</c:v>
                      </c:pt>
                      <c:pt idx="217">
                        <c:v>57571041.298004761</c:v>
                      </c:pt>
                      <c:pt idx="218">
                        <c:v>57725983.765949145</c:v>
                      </c:pt>
                      <c:pt idx="219">
                        <c:v>57881428.26222451</c:v>
                      </c:pt>
                      <c:pt idx="220">
                        <c:v>58037376.413450345</c:v>
                      </c:pt>
                      <c:pt idx="221">
                        <c:v>58193829.851516619</c:v>
                      </c:pt>
                      <c:pt idx="222">
                        <c:v>58350790.213600747</c:v>
                      </c:pt>
                      <c:pt idx="223">
                        <c:v>58508259.142184719</c:v>
                      </c:pt>
                      <c:pt idx="224">
                        <c:v>58666238.285072416</c:v>
                      </c:pt>
                      <c:pt idx="225">
                        <c:v>58824729.295406662</c:v>
                      </c:pt>
                      <c:pt idx="226">
                        <c:v>58983733.831686661</c:v>
                      </c:pt>
                      <c:pt idx="227">
                        <c:v>59143253.557785355</c:v>
                      </c:pt>
                      <c:pt idx="228">
                        <c:v>59303290.142966688</c:v>
                      </c:pt>
                      <c:pt idx="229">
                        <c:v>59463845.261903293</c:v>
                      </c:pt>
                      <c:pt idx="230">
                        <c:v>59624920.594693817</c:v>
                      </c:pt>
                      <c:pt idx="231">
                        <c:v>59786517.826880656</c:v>
                      </c:pt>
                      <c:pt idx="232">
                        <c:v>59948638.649467446</c:v>
                      </c:pt>
                      <c:pt idx="233">
                        <c:v>60111284.758936897</c:v>
                      </c:pt>
                      <c:pt idx="234">
                        <c:v>60274457.857268468</c:v>
                      </c:pt>
                      <c:pt idx="235">
                        <c:v>60438159.651956163</c:v>
                      </c:pt>
                      <c:pt idx="236">
                        <c:v>60602391.856026486</c:v>
                      </c:pt>
                      <c:pt idx="237">
                        <c:v>60767156.18805626</c:v>
                      </c:pt>
                      <c:pt idx="238">
                        <c:v>60932454.372190684</c:v>
                      </c:pt>
                      <c:pt idx="239">
                        <c:v>61098288.138161339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323621032"/>
        <c:scaling>
          <c:orientation val="minMax"/>
        </c:scaling>
        <c:delete val="0"/>
        <c:axPos val="b"/>
        <c:numFmt formatCode="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22992"/>
        <c:crosses val="autoZero"/>
        <c:auto val="1"/>
        <c:lblOffset val="100"/>
        <c:baseTimeUnit val="months"/>
        <c:majorUnit val="12"/>
        <c:majorTimeUnit val="months"/>
        <c:minorUnit val="6"/>
        <c:minorTimeUnit val="months"/>
      </c:dateAx>
      <c:valAx>
        <c:axId val="3236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2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Oil/Diesel</a:t>
            </a:r>
            <a:r>
              <a:rPr lang="en-US" baseline="0"/>
              <a:t> Blend Price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'Fuel Cost Risk Sim'!$D$169</c:f>
              <c:strCache>
                <c:ptCount val="1"/>
                <c:pt idx="0">
                  <c:v>Oil/Diesel Blend forecast $/mmBTU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Sim'!$E$168:$GI$168</c:f>
              <c:numCache>
                <c:formatCode>m/d/yyyy</c:formatCode>
                <c:ptCount val="187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</c:numCache>
            </c:numRef>
          </c:cat>
          <c:val>
            <c:numRef>
              <c:f>'Fuel Cost Risk Sim'!$E$169:$GI$169</c:f>
              <c:numCache>
                <c:formatCode>_("$"* #,##0.00_);_("$"* \(#,##0.00\);_("$"* "-"??_);_(@_)</c:formatCode>
                <c:ptCount val="187"/>
                <c:pt idx="0">
                  <c:v>12.698282910874898</c:v>
                </c:pt>
                <c:pt idx="1">
                  <c:v>12.739425363568424</c:v>
                </c:pt>
                <c:pt idx="2">
                  <c:v>12.780701117860717</c:v>
                </c:pt>
                <c:pt idx="3">
                  <c:v>12.822110605649129</c:v>
                </c:pt>
                <c:pt idx="4">
                  <c:v>12.863654260230355</c:v>
                </c:pt>
                <c:pt idx="5">
                  <c:v>12.905332516304973</c:v>
                </c:pt>
                <c:pt idx="6">
                  <c:v>12.947145809981993</c:v>
                </c:pt>
                <c:pt idx="7">
                  <c:v>12.989094578783417</c:v>
                </c:pt>
                <c:pt idx="8">
                  <c:v>13.03117926164882</c:v>
                </c:pt>
                <c:pt idx="9">
                  <c:v>13.073400298939939</c:v>
                </c:pt>
                <c:pt idx="10">
                  <c:v>13.115758132445288</c:v>
                </c:pt>
                <c:pt idx="11">
                  <c:v>13.158253205384772</c:v>
                </c:pt>
                <c:pt idx="12">
                  <c:v>13.200885962414334</c:v>
                </c:pt>
                <c:pt idx="13">
                  <c:v>13.243656849630598</c:v>
                </c:pt>
                <c:pt idx="14">
                  <c:v>13.286566314575545</c:v>
                </c:pt>
                <c:pt idx="15">
                  <c:v>13.329614806241191</c:v>
                </c:pt>
                <c:pt idx="16">
                  <c:v>13.372802775074286</c:v>
                </c:pt>
                <c:pt idx="17">
                  <c:v>13.41613067298103</c:v>
                </c:pt>
                <c:pt idx="18">
                  <c:v>13.459598953331797</c:v>
                </c:pt>
                <c:pt idx="19">
                  <c:v>13.503208070965885</c:v>
                </c:pt>
                <c:pt idx="20">
                  <c:v>13.546958482196269</c:v>
                </c:pt>
                <c:pt idx="21">
                  <c:v>13.590850644814381</c:v>
                </c:pt>
                <c:pt idx="22">
                  <c:v>13.634885018094895</c:v>
                </c:pt>
                <c:pt idx="23">
                  <c:v>13.679062062800538</c:v>
                </c:pt>
                <c:pt idx="24">
                  <c:v>13.723382241186908</c:v>
                </c:pt>
                <c:pt idx="25">
                  <c:v>13.76784601700731</c:v>
                </c:pt>
                <c:pt idx="26">
                  <c:v>13.812453855517614</c:v>
                </c:pt>
                <c:pt idx="27">
                  <c:v>13.857206223481116</c:v>
                </c:pt>
                <c:pt idx="28">
                  <c:v>13.902103589173429</c:v>
                </c:pt>
                <c:pt idx="29">
                  <c:v>13.947146422387375</c:v>
                </c:pt>
                <c:pt idx="30">
                  <c:v>13.99233519443791</c:v>
                </c:pt>
                <c:pt idx="31">
                  <c:v>14.03767037816705</c:v>
                </c:pt>
                <c:pt idx="32">
                  <c:v>14.083152447948818</c:v>
                </c:pt>
                <c:pt idx="33">
                  <c:v>14.128781879694209</c:v>
                </c:pt>
                <c:pt idx="34">
                  <c:v>14.174559150856172</c:v>
                </c:pt>
                <c:pt idx="35">
                  <c:v>14.220484740434605</c:v>
                </c:pt>
                <c:pt idx="36">
                  <c:v>14.266559128981365</c:v>
                </c:pt>
                <c:pt idx="37">
                  <c:v>14.312782798605296</c:v>
                </c:pt>
                <c:pt idx="38">
                  <c:v>14.359156232977279</c:v>
                </c:pt>
                <c:pt idx="39">
                  <c:v>14.405679917335284</c:v>
                </c:pt>
                <c:pt idx="40">
                  <c:v>14.452354338489458</c:v>
                </c:pt>
                <c:pt idx="41">
                  <c:v>14.499179984827212</c:v>
                </c:pt>
                <c:pt idx="42">
                  <c:v>14.54615734631833</c:v>
                </c:pt>
                <c:pt idx="43">
                  <c:v>14.593286914520101</c:v>
                </c:pt>
                <c:pt idx="44">
                  <c:v>14.640569182582462</c:v>
                </c:pt>
                <c:pt idx="45">
                  <c:v>14.688004645253153</c:v>
                </c:pt>
                <c:pt idx="46">
                  <c:v>14.735593798882899</c:v>
                </c:pt>
                <c:pt idx="47">
                  <c:v>14.783337141430602</c:v>
                </c:pt>
                <c:pt idx="48">
                  <c:v>14.831235172468551</c:v>
                </c:pt>
                <c:pt idx="49">
                  <c:v>14.87928839318765</c:v>
                </c:pt>
                <c:pt idx="50">
                  <c:v>14.927497306402662</c:v>
                </c:pt>
                <c:pt idx="51">
                  <c:v>14.975862416557471</c:v>
                </c:pt>
                <c:pt idx="52">
                  <c:v>15.024384229730359</c:v>
                </c:pt>
                <c:pt idx="53">
                  <c:v>15.073063253639303</c:v>
                </c:pt>
                <c:pt idx="54">
                  <c:v>15.121899997647288</c:v>
                </c:pt>
                <c:pt idx="55">
                  <c:v>15.170894972767634</c:v>
                </c:pt>
                <c:pt idx="56">
                  <c:v>15.220048691669344</c:v>
                </c:pt>
                <c:pt idx="57">
                  <c:v>15.269361668682471</c:v>
                </c:pt>
                <c:pt idx="58">
                  <c:v>15.318834419803498</c:v>
                </c:pt>
                <c:pt idx="59">
                  <c:v>15.368467462700735</c:v>
                </c:pt>
                <c:pt idx="60">
                  <c:v>15.418261316719741</c:v>
                </c:pt>
                <c:pt idx="61">
                  <c:v>15.468216502888755</c:v>
                </c:pt>
                <c:pt idx="62">
                  <c:v>15.518333543924145</c:v>
                </c:pt>
                <c:pt idx="63">
                  <c:v>15.568612964235884</c:v>
                </c:pt>
                <c:pt idx="64">
                  <c:v>15.619055289933032</c:v>
                </c:pt>
                <c:pt idx="65">
                  <c:v>15.669661048829244</c:v>
                </c:pt>
                <c:pt idx="66">
                  <c:v>15.720430770448292</c:v>
                </c:pt>
                <c:pt idx="67">
                  <c:v>15.771364986029605</c:v>
                </c:pt>
                <c:pt idx="68">
                  <c:v>15.822464228533828</c:v>
                </c:pt>
                <c:pt idx="69">
                  <c:v>15.873729032648402</c:v>
                </c:pt>
                <c:pt idx="70">
                  <c:v>15.925159934793154</c:v>
                </c:pt>
                <c:pt idx="71">
                  <c:v>15.976757473125909</c:v>
                </c:pt>
                <c:pt idx="72">
                  <c:v>16.028522187548131</c:v>
                </c:pt>
                <c:pt idx="73">
                  <c:v>16.080454619710558</c:v>
                </c:pt>
                <c:pt idx="74">
                  <c:v>16.13255531301888</c:v>
                </c:pt>
                <c:pt idx="75">
                  <c:v>16.184824812639427</c:v>
                </c:pt>
                <c:pt idx="76">
                  <c:v>16.237263665504859</c:v>
                </c:pt>
                <c:pt idx="77">
                  <c:v>16.289872420319906</c:v>
                </c:pt>
                <c:pt idx="78">
                  <c:v>16.342651627567101</c:v>
                </c:pt>
                <c:pt idx="79">
                  <c:v>16.395601839512537</c:v>
                </c:pt>
                <c:pt idx="80">
                  <c:v>16.448723610211655</c:v>
                </c:pt>
                <c:pt idx="81">
                  <c:v>16.50201749551503</c:v>
                </c:pt>
                <c:pt idx="82">
                  <c:v>16.555484053074203</c:v>
                </c:pt>
                <c:pt idx="83">
                  <c:v>16.609123842347497</c:v>
                </c:pt>
                <c:pt idx="84">
                  <c:v>16.662937424605886</c:v>
                </c:pt>
                <c:pt idx="85">
                  <c:v>16.716925362938863</c:v>
                </c:pt>
                <c:pt idx="86">
                  <c:v>16.771088222260328</c:v>
                </c:pt>
                <c:pt idx="87">
                  <c:v>16.825426569314509</c:v>
                </c:pt>
                <c:pt idx="88">
                  <c:v>16.879940972681879</c:v>
                </c:pt>
                <c:pt idx="89">
                  <c:v>16.934632002785115</c:v>
                </c:pt>
                <c:pt idx="90">
                  <c:v>16.989500231895065</c:v>
                </c:pt>
                <c:pt idx="91">
                  <c:v>17.044546234136735</c:v>
                </c:pt>
                <c:pt idx="92">
                  <c:v>17.099770585495296</c:v>
                </c:pt>
                <c:pt idx="93">
                  <c:v>17.155173863822114</c:v>
                </c:pt>
                <c:pt idx="94">
                  <c:v>17.210756648840793</c:v>
                </c:pt>
                <c:pt idx="95">
                  <c:v>17.266519522153239</c:v>
                </c:pt>
                <c:pt idx="96">
                  <c:v>17.322463067245753</c:v>
                </c:pt>
                <c:pt idx="97">
                  <c:v>17.378587869495131</c:v>
                </c:pt>
                <c:pt idx="98">
                  <c:v>17.43489451617479</c:v>
                </c:pt>
                <c:pt idx="99">
                  <c:v>17.491383596460913</c:v>
                </c:pt>
                <c:pt idx="100">
                  <c:v>17.548055701438617</c:v>
                </c:pt>
                <c:pt idx="101">
                  <c:v>17.604911424108135</c:v>
                </c:pt>
                <c:pt idx="102">
                  <c:v>17.661951359391018</c:v>
                </c:pt>
                <c:pt idx="103">
                  <c:v>17.71917610413637</c:v>
                </c:pt>
                <c:pt idx="104">
                  <c:v>17.776586257127082</c:v>
                </c:pt>
                <c:pt idx="105">
                  <c:v>17.834182419086105</c:v>
                </c:pt>
                <c:pt idx="106">
                  <c:v>17.891965192682726</c:v>
                </c:pt>
                <c:pt idx="107">
                  <c:v>17.949935182538891</c:v>
                </c:pt>
                <c:pt idx="108">
                  <c:v>18.008092995235518</c:v>
                </c:pt>
                <c:pt idx="109">
                  <c:v>18.066439239318846</c:v>
                </c:pt>
                <c:pt idx="110">
                  <c:v>18.124974525306808</c:v>
                </c:pt>
                <c:pt idx="111">
                  <c:v>18.183699465695415</c:v>
                </c:pt>
                <c:pt idx="112">
                  <c:v>18.242614674965164</c:v>
                </c:pt>
                <c:pt idx="113">
                  <c:v>18.301720769587469</c:v>
                </c:pt>
                <c:pt idx="114">
                  <c:v>18.361018368031115</c:v>
                </c:pt>
                <c:pt idx="115">
                  <c:v>18.420508090768724</c:v>
                </c:pt>
                <c:pt idx="116">
                  <c:v>18.480190560283251</c:v>
                </c:pt>
                <c:pt idx="117">
                  <c:v>18.540066401074501</c:v>
                </c:pt>
                <c:pt idx="118">
                  <c:v>18.600136239665652</c:v>
                </c:pt>
                <c:pt idx="119">
                  <c:v>18.66040070460982</c:v>
                </c:pt>
                <c:pt idx="120">
                  <c:v>18.720860426496639</c:v>
                </c:pt>
                <c:pt idx="121">
                  <c:v>18.781516037958848</c:v>
                </c:pt>
                <c:pt idx="122">
                  <c:v>18.842368173678917</c:v>
                </c:pt>
                <c:pt idx="123">
                  <c:v>18.903417470395691</c:v>
                </c:pt>
                <c:pt idx="124">
                  <c:v>18.964664566911051</c:v>
                </c:pt>
                <c:pt idx="125">
                  <c:v>19.026110104096592</c:v>
                </c:pt>
                <c:pt idx="126">
                  <c:v>19.087754724900339</c:v>
                </c:pt>
                <c:pt idx="127">
                  <c:v>19.149599074353468</c:v>
                </c:pt>
                <c:pt idx="128">
                  <c:v>19.21164379957705</c:v>
                </c:pt>
                <c:pt idx="129">
                  <c:v>19.273889549788841</c:v>
                </c:pt>
                <c:pt idx="130">
                  <c:v>19.336336976310051</c:v>
                </c:pt>
                <c:pt idx="131">
                  <c:v>19.398986732572183</c:v>
                </c:pt>
                <c:pt idx="132">
                  <c:v>19.461839474123849</c:v>
                </c:pt>
                <c:pt idx="133">
                  <c:v>19.524895858637649</c:v>
                </c:pt>
                <c:pt idx="134">
                  <c:v>19.588156545917034</c:v>
                </c:pt>
                <c:pt idx="135">
                  <c:v>19.651622197903222</c:v>
                </c:pt>
                <c:pt idx="136">
                  <c:v>19.715293478682124</c:v>
                </c:pt>
                <c:pt idx="137">
                  <c:v>19.77917105449129</c:v>
                </c:pt>
                <c:pt idx="138">
                  <c:v>19.843255593726877</c:v>
                </c:pt>
                <c:pt idx="139">
                  <c:v>19.90754776695065</c:v>
                </c:pt>
                <c:pt idx="140">
                  <c:v>19.972048246896993</c:v>
                </c:pt>
                <c:pt idx="141">
                  <c:v>20.03675770847995</c:v>
                </c:pt>
                <c:pt idx="142">
                  <c:v>20.101676828800287</c:v>
                </c:pt>
                <c:pt idx="143">
                  <c:v>20.166806287152578</c:v>
                </c:pt>
                <c:pt idx="144">
                  <c:v>20.232146765032315</c:v>
                </c:pt>
                <c:pt idx="145">
                  <c:v>20.297698946143033</c:v>
                </c:pt>
                <c:pt idx="146">
                  <c:v>20.363463516403467</c:v>
                </c:pt>
                <c:pt idx="147">
                  <c:v>20.429441163954731</c:v>
                </c:pt>
                <c:pt idx="148">
                  <c:v>20.49563257916752</c:v>
                </c:pt>
                <c:pt idx="149">
                  <c:v>20.562038454649322</c:v>
                </c:pt>
                <c:pt idx="150">
                  <c:v>20.628659485251685</c:v>
                </c:pt>
                <c:pt idx="151">
                  <c:v>20.695496368077471</c:v>
                </c:pt>
                <c:pt idx="152">
                  <c:v>20.762549802488156</c:v>
                </c:pt>
                <c:pt idx="153">
                  <c:v>20.829820490111146</c:v>
                </c:pt>
                <c:pt idx="154">
                  <c:v>20.897309134847127</c:v>
                </c:pt>
                <c:pt idx="155">
                  <c:v>20.96501644287742</c:v>
                </c:pt>
                <c:pt idx="156">
                  <c:v>21.032943122671377</c:v>
                </c:pt>
                <c:pt idx="157">
                  <c:v>21.101089884993787</c:v>
                </c:pt>
                <c:pt idx="158">
                  <c:v>21.169457442912321</c:v>
                </c:pt>
                <c:pt idx="159">
                  <c:v>21.238046511804992</c:v>
                </c:pt>
                <c:pt idx="160">
                  <c:v>21.306857809367635</c:v>
                </c:pt>
                <c:pt idx="161">
                  <c:v>21.375892055621421</c:v>
                </c:pt>
                <c:pt idx="162">
                  <c:v>21.44514997292039</c:v>
                </c:pt>
                <c:pt idx="163">
                  <c:v>21.514632285959014</c:v>
                </c:pt>
                <c:pt idx="164">
                  <c:v>21.584339721779774</c:v>
                </c:pt>
                <c:pt idx="165">
                  <c:v>21.654273009780766</c:v>
                </c:pt>
                <c:pt idx="166">
                  <c:v>21.724432881723342</c:v>
                </c:pt>
                <c:pt idx="167">
                  <c:v>21.794820071739757</c:v>
                </c:pt>
                <c:pt idx="168">
                  <c:v>21.865435316340861</c:v>
                </c:pt>
                <c:pt idx="169">
                  <c:v>21.936279354423796</c:v>
                </c:pt>
                <c:pt idx="170">
                  <c:v>22.007352927279729</c:v>
                </c:pt>
                <c:pt idx="171">
                  <c:v>22.078656778601619</c:v>
                </c:pt>
                <c:pt idx="172">
                  <c:v>22.150191654491987</c:v>
                </c:pt>
                <c:pt idx="173">
                  <c:v>22.221958303470725</c:v>
                </c:pt>
                <c:pt idx="174">
                  <c:v>22.29395747648293</c:v>
                </c:pt>
                <c:pt idx="175">
                  <c:v>22.36618992690677</c:v>
                </c:pt>
                <c:pt idx="176">
                  <c:v>22.43865641056135</c:v>
                </c:pt>
                <c:pt idx="177">
                  <c:v>22.511357685714636</c:v>
                </c:pt>
                <c:pt idx="178">
                  <c:v>22.584294513091379</c:v>
                </c:pt>
                <c:pt idx="179">
                  <c:v>22.657467655881081</c:v>
                </c:pt>
                <c:pt idx="180">
                  <c:v>22.730877879745982</c:v>
                </c:pt>
                <c:pt idx="181">
                  <c:v>22.804525952829064</c:v>
                </c:pt>
                <c:pt idx="182">
                  <c:v>22.878412645762094</c:v>
                </c:pt>
                <c:pt idx="183">
                  <c:v>22.952538731673684</c:v>
                </c:pt>
                <c:pt idx="184">
                  <c:v>23.026904986197394</c:v>
                </c:pt>
                <c:pt idx="185">
                  <c:v>23.101512187479827</c:v>
                </c:pt>
                <c:pt idx="186">
                  <c:v>23.176361116188787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15936"/>
        <c:axId val="32361672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'Fuel Cost Risk Sim'!$D$170</c15:sqref>
                        </c15:formulaRef>
                      </c:ext>
                    </c:extLst>
                    <c:strCache>
                      <c:ptCount val="1"/>
                      <c:pt idx="0">
                        <c:v>Natural Gas forecast $/mmBTU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'Fuel Cost Risk Sim'!$E$168:$GI$168</c15:sqref>
                        </c15:formulaRef>
                      </c:ext>
                    </c:extLst>
                    <c:numCache>
                      <c:formatCode>m/d/yyyy</c:formatCode>
                      <c:ptCount val="187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'Fuel Cost Risk Sim'!$E$170:$GI$170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87"/>
                      <c:pt idx="0">
                        <c:v>2.524</c:v>
                      </c:pt>
                      <c:pt idx="1">
                        <c:v>2.5321763998125792</c:v>
                      </c:pt>
                      <c:pt idx="2">
                        <c:v>2.5403792867542769</c:v>
                      </c:pt>
                      <c:pt idx="3">
                        <c:v>2.5486087466291178</c:v>
                      </c:pt>
                      <c:pt idx="4">
                        <c:v>2.5568648655190849</c:v>
                      </c:pt>
                      <c:pt idx="5">
                        <c:v>2.5651477297850205</c:v>
                      </c:pt>
                      <c:pt idx="6">
                        <c:v>2.5734574260675296</c:v>
                      </c:pt>
                      <c:pt idx="7">
                        <c:v>2.5817940412878859</c:v>
                      </c:pt>
                      <c:pt idx="8">
                        <c:v>2.5901576626489415</c:v>
                      </c:pt>
                      <c:pt idx="9">
                        <c:v>2.598548377636039</c:v>
                      </c:pt>
                      <c:pt idx="10">
                        <c:v>2.6069662740179256</c:v>
                      </c:pt>
                      <c:pt idx="11">
                        <c:v>2.6154114398476724</c:v>
                      </c:pt>
                      <c:pt idx="12">
                        <c:v>2.6238839634635949</c:v>
                      </c:pt>
                      <c:pt idx="13">
                        <c:v>2.6323839334901771</c:v>
                      </c:pt>
                      <c:pt idx="14">
                        <c:v>2.6409114388389989</c:v>
                      </c:pt>
                      <c:pt idx="15">
                        <c:v>2.6494665687096655</c:v>
                      </c:pt>
                      <c:pt idx="16">
                        <c:v>2.6580494125907403</c:v>
                      </c:pt>
                      <c:pt idx="17">
                        <c:v>2.6666600602606825</c:v>
                      </c:pt>
                      <c:pt idx="18">
                        <c:v>2.6752986017887839</c:v>
                      </c:pt>
                      <c:pt idx="19">
                        <c:v>2.6839651275361134</c:v>
                      </c:pt>
                      <c:pt idx="20">
                        <c:v>2.6926597281564604</c:v>
                      </c:pt>
                      <c:pt idx="21">
                        <c:v>2.7013824945972837</c:v>
                      </c:pt>
                      <c:pt idx="22">
                        <c:v>2.7101335181006636</c:v>
                      </c:pt>
                      <c:pt idx="23">
                        <c:v>2.7189128902042543</c:v>
                      </c:pt>
                      <c:pt idx="24">
                        <c:v>2.7277207027422437</c:v>
                      </c:pt>
                      <c:pt idx="25">
                        <c:v>2.7365570478463126</c:v>
                      </c:pt>
                      <c:pt idx="26">
                        <c:v>2.7454220179465993</c:v>
                      </c:pt>
                      <c:pt idx="27">
                        <c:v>2.7543157057726648</c:v>
                      </c:pt>
                      <c:pt idx="28">
                        <c:v>2.7632382043544652</c:v>
                      </c:pt>
                      <c:pt idx="29">
                        <c:v>2.7721896070233227</c:v>
                      </c:pt>
                      <c:pt idx="30">
                        <c:v>2.7811700074129027</c:v>
                      </c:pt>
                      <c:pt idx="31">
                        <c:v>2.7901794994601934</c:v>
                      </c:pt>
                      <c:pt idx="32">
                        <c:v>2.7992181774064884</c:v>
                      </c:pt>
                      <c:pt idx="33">
                        <c:v>2.8082861357983724</c:v>
                      </c:pt>
                      <c:pt idx="34">
                        <c:v>2.8173834694887097</c:v>
                      </c:pt>
                      <c:pt idx="35">
                        <c:v>2.8265102736376364</c:v>
                      </c:pt>
                      <c:pt idx="36">
                        <c:v>2.8356666437135574</c:v>
                      </c:pt>
                      <c:pt idx="37">
                        <c:v>2.8448526754941428</c:v>
                      </c:pt>
                      <c:pt idx="38">
                        <c:v>2.8540684650673307</c:v>
                      </c:pt>
                      <c:pt idx="39">
                        <c:v>2.8633141088323328</c:v>
                      </c:pt>
                      <c:pt idx="40">
                        <c:v>2.8725897035006422</c:v>
                      </c:pt>
                      <c:pt idx="41">
                        <c:v>2.8818953460970449</c:v>
                      </c:pt>
                      <c:pt idx="42">
                        <c:v>2.8912311339606349</c:v>
                      </c:pt>
                      <c:pt idx="43">
                        <c:v>2.9005971647458328</c:v>
                      </c:pt>
                      <c:pt idx="44">
                        <c:v>2.9099935364234066</c:v>
                      </c:pt>
                      <c:pt idx="45">
                        <c:v>2.9194203472814966</c:v>
                      </c:pt>
                      <c:pt idx="46">
                        <c:v>2.9288776959266443</c:v>
                      </c:pt>
                      <c:pt idx="47">
                        <c:v>2.9383656812848229</c:v>
                      </c:pt>
                      <c:pt idx="48">
                        <c:v>2.947884402602472</c:v>
                      </c:pt>
                      <c:pt idx="49">
                        <c:v>2.957433959447537</c:v>
                      </c:pt>
                      <c:pt idx="50">
                        <c:v>2.9670144517105093</c:v>
                      </c:pt>
                      <c:pt idx="51">
                        <c:v>2.9766259796054721</c:v>
                      </c:pt>
                      <c:pt idx="52">
                        <c:v>2.9862686436711479</c:v>
                      </c:pt>
                      <c:pt idx="53">
                        <c:v>2.9959425447719501</c:v>
                      </c:pt>
                      <c:pt idx="54">
                        <c:v>3.0056477840990388</c:v>
                      </c:pt>
                      <c:pt idx="55">
                        <c:v>3.0153844631713791</c:v>
                      </c:pt>
                      <c:pt idx="56">
                        <c:v>3.0251526838368026</c:v>
                      </c:pt>
                      <c:pt idx="57">
                        <c:v>3.0349525482730733</c:v>
                      </c:pt>
                      <c:pt idx="58">
                        <c:v>3.0447841589889557</c:v>
                      </c:pt>
                      <c:pt idx="59">
                        <c:v>3.0546476188252876</c:v>
                      </c:pt>
                      <c:pt idx="60">
                        <c:v>3.064543030956056</c:v>
                      </c:pt>
                      <c:pt idx="61">
                        <c:v>3.0744704988894753</c:v>
                      </c:pt>
                      <c:pt idx="62">
                        <c:v>3.0844301264690714</c:v>
                      </c:pt>
                      <c:pt idx="63">
                        <c:v>3.0944220178747672</c:v>
                      </c:pt>
                      <c:pt idx="64">
                        <c:v>3.1044462776239721</c:v>
                      </c:pt>
                      <c:pt idx="65">
                        <c:v>3.1145030105726756</c:v>
                      </c:pt>
                      <c:pt idx="66">
                        <c:v>3.1245923219165443</c:v>
                      </c:pt>
                      <c:pt idx="67">
                        <c:v>3.1347143171920218</c:v>
                      </c:pt>
                      <c:pt idx="68">
                        <c:v>3.1448691022774331</c:v>
                      </c:pt>
                      <c:pt idx="69">
                        <c:v>3.1550567833940923</c:v>
                      </c:pt>
                      <c:pt idx="70">
                        <c:v>3.1652774671074129</c:v>
                      </c:pt>
                      <c:pt idx="71">
                        <c:v>3.1755312603280226</c:v>
                      </c:pt>
                      <c:pt idx="72">
                        <c:v>3.1858182703128821</c:v>
                      </c:pt>
                      <c:pt idx="73">
                        <c:v>3.1961386046664075</c:v>
                      </c:pt>
                      <c:pt idx="74">
                        <c:v>3.2064923713415947</c:v>
                      </c:pt>
                      <c:pt idx="75">
                        <c:v>3.2168796786411487</c:v>
                      </c:pt>
                      <c:pt idx="76">
                        <c:v>3.2273006352186178</c:v>
                      </c:pt>
                      <c:pt idx="77">
                        <c:v>3.2377553500795284</c:v>
                      </c:pt>
                      <c:pt idx="78">
                        <c:v>3.2482439325825267</c:v>
                      </c:pt>
                      <c:pt idx="79">
                        <c:v>3.2587664924405217</c:v>
                      </c:pt>
                      <c:pt idx="80">
                        <c:v>3.2693231397218332</c:v>
                      </c:pt>
                      <c:pt idx="81">
                        <c:v>3.2799139848513432</c:v>
                      </c:pt>
                      <c:pt idx="82">
                        <c:v>3.29053913861165</c:v>
                      </c:pt>
                      <c:pt idx="83">
                        <c:v>3.3011987121442292</c:v>
                      </c:pt>
                      <c:pt idx="84">
                        <c:v>3.3118928169505932</c:v>
                      </c:pt>
                      <c:pt idx="85">
                        <c:v>3.3226215648934607</c:v>
                      </c:pt>
                      <c:pt idx="86">
                        <c:v>3.3333850681979245</c:v>
                      </c:pt>
                      <c:pt idx="87">
                        <c:v>3.3441834394526269</c:v>
                      </c:pt>
                      <c:pt idx="88">
                        <c:v>3.3550167916109355</c:v>
                      </c:pt>
                      <c:pt idx="89">
                        <c:v>3.3658852379921274</c:v>
                      </c:pt>
                      <c:pt idx="90">
                        <c:v>3.3767888922825722</c:v>
                      </c:pt>
                      <c:pt idx="91">
                        <c:v>3.3877278685369223</c:v>
                      </c:pt>
                      <c:pt idx="92">
                        <c:v>3.3987022811793053</c:v>
                      </c:pt>
                      <c:pt idx="93">
                        <c:v>3.4097122450045223</c:v>
                      </c:pt>
                      <c:pt idx="94">
                        <c:v>3.4207578751792469</c:v>
                      </c:pt>
                      <c:pt idx="95">
                        <c:v>3.4318392872432306</c:v>
                      </c:pt>
                      <c:pt idx="96">
                        <c:v>3.4429565971105118</c:v>
                      </c:pt>
                      <c:pt idx="97">
                        <c:v>3.4541099210706281</c:v>
                      </c:pt>
                      <c:pt idx="98">
                        <c:v>3.465299375789832</c:v>
                      </c:pt>
                      <c:pt idx="99">
                        <c:v>3.4765250783123118</c:v>
                      </c:pt>
                      <c:pt idx="100">
                        <c:v>3.4877871460614167</c:v>
                      </c:pt>
                      <c:pt idx="101">
                        <c:v>3.4990856968408832</c:v>
                      </c:pt>
                      <c:pt idx="102">
                        <c:v>3.5104208488360689</c:v>
                      </c:pt>
                      <c:pt idx="103">
                        <c:v>3.5217927206151884</c:v>
                      </c:pt>
                      <c:pt idx="104">
                        <c:v>3.5332014311305535</c:v>
                      </c:pt>
                      <c:pt idx="105">
                        <c:v>3.5446470997198172</c:v>
                      </c:pt>
                      <c:pt idx="106">
                        <c:v>3.5561298461072219</c:v>
                      </c:pt>
                      <c:pt idx="107">
                        <c:v>3.5676497904048521</c:v>
                      </c:pt>
                      <c:pt idx="108">
                        <c:v>3.5792070531138913</c:v>
                      </c:pt>
                      <c:pt idx="109">
                        <c:v>3.5908017551258813</c:v>
                      </c:pt>
                      <c:pt idx="110">
                        <c:v>3.6024340177239877</c:v>
                      </c:pt>
                      <c:pt idx="111">
                        <c:v>3.6141039625842684</c:v>
                      </c:pt>
                      <c:pt idx="112">
                        <c:v>3.6258117117769451</c:v>
                      </c:pt>
                      <c:pt idx="113">
                        <c:v>3.6375573877676826</c:v>
                      </c:pt>
                      <c:pt idx="114">
                        <c:v>3.6493411134188674</c:v>
                      </c:pt>
                      <c:pt idx="115">
                        <c:v>3.6611630119908942</c:v>
                      </c:pt>
                      <c:pt idx="116">
                        <c:v>3.6730232071434554</c:v>
                      </c:pt>
                      <c:pt idx="117">
                        <c:v>3.6849218229368339</c:v>
                      </c:pt>
                      <c:pt idx="118">
                        <c:v>3.6968589838332009</c:v>
                      </c:pt>
                      <c:pt idx="119">
                        <c:v>3.708834814697918</c:v>
                      </c:pt>
                      <c:pt idx="120">
                        <c:v>3.7208494408008432</c:v>
                      </c:pt>
                      <c:pt idx="121">
                        <c:v>3.7329029878176421</c:v>
                      </c:pt>
                      <c:pt idx="122">
                        <c:v>3.7449955818311005</c:v>
                      </c:pt>
                      <c:pt idx="123">
                        <c:v>3.7571273493324453</c:v>
                      </c:pt>
                      <c:pt idx="124">
                        <c:v>3.7692984172226667</c:v>
                      </c:pt>
                      <c:pt idx="125">
                        <c:v>3.7815089128138455</c:v>
                      </c:pt>
                      <c:pt idx="126">
                        <c:v>3.7937589638304852</c:v>
                      </c:pt>
                      <c:pt idx="127">
                        <c:v>3.8060486984108475</c:v>
                      </c:pt>
                      <c:pt idx="128">
                        <c:v>3.8183782451082937</c:v>
                      </c:pt>
                      <c:pt idx="129">
                        <c:v>3.8307477328926285</c:v>
                      </c:pt>
                      <c:pt idx="130">
                        <c:v>3.8431572911514484</c:v>
                      </c:pt>
                      <c:pt idx="131">
                        <c:v>3.8556070496914976</c:v>
                      </c:pt>
                      <c:pt idx="132">
                        <c:v>3.8680971387400227</c:v>
                      </c:pt>
                      <c:pt idx="133">
                        <c:v>3.8806276889461371</c:v>
                      </c:pt>
                      <c:pt idx="134">
                        <c:v>3.8931988313821866</c:v>
                      </c:pt>
                      <c:pt idx="135">
                        <c:v>3.9058106975451214</c:v>
                      </c:pt>
                      <c:pt idx="136">
                        <c:v>3.9184634193578702</c:v>
                      </c:pt>
                      <c:pt idx="137">
                        <c:v>3.9311571291707215</c:v>
                      </c:pt>
                      <c:pt idx="138">
                        <c:v>3.9438919597627069</c:v>
                      </c:pt>
                      <c:pt idx="139">
                        <c:v>3.9566680443429911</c:v>
                      </c:pt>
                      <c:pt idx="140">
                        <c:v>3.9694855165522642</c:v>
                      </c:pt>
                      <c:pt idx="141">
                        <c:v>3.9823445104641402</c:v>
                      </c:pt>
                      <c:pt idx="142">
                        <c:v>3.9952451605865593</c:v>
                      </c:pt>
                      <c:pt idx="143">
                        <c:v>4.0081876018631952</c:v>
                      </c:pt>
                      <c:pt idx="144">
                        <c:v>4.0211719696748665</c:v>
                      </c:pt>
                      <c:pt idx="145">
                        <c:v>4.0341983998409514</c:v>
                      </c:pt>
                      <c:pt idx="146">
                        <c:v>4.0472670286208121</c:v>
                      </c:pt>
                      <c:pt idx="147">
                        <c:v>4.0603779927152157</c:v>
                      </c:pt>
                      <c:pt idx="148">
                        <c:v>4.0735314292677662</c:v>
                      </c:pt>
                      <c:pt idx="149">
                        <c:v>4.0867274758663408</c:v>
                      </c:pt>
                      <c:pt idx="150">
                        <c:v>4.0999662705445248</c:v>
                      </c:pt>
                      <c:pt idx="151">
                        <c:v>4.1132479517830598</c:v>
                      </c:pt>
                      <c:pt idx="152">
                        <c:v>4.1265726585112894</c:v>
                      </c:pt>
                      <c:pt idx="153">
                        <c:v>4.1399405301086141</c:v>
                      </c:pt>
                      <c:pt idx="154">
                        <c:v>4.1533517064059478</c:v>
                      </c:pt>
                      <c:pt idx="155">
                        <c:v>4.1668063276871816</c:v>
                      </c:pt>
                      <c:pt idx="156">
                        <c:v>4.1803045346906504</c:v>
                      </c:pt>
                      <c:pt idx="157">
                        <c:v>4.1938464686106069</c:v>
                      </c:pt>
                      <c:pt idx="158">
                        <c:v>4.2074322710986953</c:v>
                      </c:pt>
                      <c:pt idx="159">
                        <c:v>4.2210620842654354</c:v>
                      </c:pt>
                      <c:pt idx="160">
                        <c:v>4.2347360506817084</c:v>
                      </c:pt>
                      <c:pt idx="161">
                        <c:v>4.2484543133802495</c:v>
                      </c:pt>
                      <c:pt idx="162">
                        <c:v>4.2622170158571411</c:v>
                      </c:pt>
                      <c:pt idx="163">
                        <c:v>4.2760243020733162</c:v>
                      </c:pt>
                      <c:pt idx="164">
                        <c:v>4.2898763164560645</c:v>
                      </c:pt>
                      <c:pt idx="165">
                        <c:v>4.3037732039005414</c:v>
                      </c:pt>
                      <c:pt idx="166">
                        <c:v>4.3177151097712851</c:v>
                      </c:pt>
                      <c:pt idx="167">
                        <c:v>4.3317021799037354</c:v>
                      </c:pt>
                      <c:pt idx="168">
                        <c:v>4.345734560605762</c:v>
                      </c:pt>
                      <c:pt idx="169">
                        <c:v>4.3598123986591917</c:v>
                      </c:pt>
                      <c:pt idx="170">
                        <c:v>4.3739358413213463</c:v>
                      </c:pt>
                      <c:pt idx="171">
                        <c:v>4.3881050363265812</c:v>
                      </c:pt>
                      <c:pt idx="172">
                        <c:v>4.4023201318878327</c:v>
                      </c:pt>
                      <c:pt idx="173">
                        <c:v>4.4165812766981665</c:v>
                      </c:pt>
                      <c:pt idx="174">
                        <c:v>4.4308886199323334</c:v>
                      </c:pt>
                      <c:pt idx="175">
                        <c:v>4.4452423112483297</c:v>
                      </c:pt>
                      <c:pt idx="176">
                        <c:v>4.4596425007889637</c:v>
                      </c:pt>
                      <c:pt idx="177">
                        <c:v>4.4740893391834256</c:v>
                      </c:pt>
                      <c:pt idx="178">
                        <c:v>4.4885829775488624</c:v>
                      </c:pt>
                      <c:pt idx="179">
                        <c:v>4.5031235674919596</c:v>
                      </c:pt>
                      <c:pt idx="180">
                        <c:v>4.5177112611105263</c:v>
                      </c:pt>
                      <c:pt idx="181">
                        <c:v>4.5323462109950876</c:v>
                      </c:pt>
                      <c:pt idx="182">
                        <c:v>4.547028570230478</c:v>
                      </c:pt>
                      <c:pt idx="183">
                        <c:v>4.5617584923974457</c:v>
                      </c:pt>
                      <c:pt idx="184">
                        <c:v>4.5765361315742563</c:v>
                      </c:pt>
                      <c:pt idx="185">
                        <c:v>4.5913616423383079</c:v>
                      </c:pt>
                      <c:pt idx="186">
                        <c:v>4.6062351797677445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323615936"/>
        <c:scaling>
          <c:orientation val="minMax"/>
        </c:scaling>
        <c:delete val="0"/>
        <c:axPos val="b"/>
        <c:numFmt formatCode="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16720"/>
        <c:crosses val="autoZero"/>
        <c:auto val="1"/>
        <c:lblOffset val="100"/>
        <c:baseTimeUnit val="months"/>
        <c:majorUnit val="12"/>
        <c:majorTimeUnit val="months"/>
        <c:minorUnit val="6"/>
        <c:minorTimeUnit val="months"/>
      </c:dateAx>
      <c:valAx>
        <c:axId val="3236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1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Natural Gas Price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'Fuel Cost Risk Sim'!$D$170</c:f>
              <c:strCache>
                <c:ptCount val="1"/>
                <c:pt idx="0">
                  <c:v>Natural Gas forecast $/mmBTU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Sim'!$E$168:$GI$168</c:f>
              <c:numCache>
                <c:formatCode>m/d/yyyy</c:formatCode>
                <c:ptCount val="187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</c:numCache>
            </c:numRef>
          </c:cat>
          <c:val>
            <c:numRef>
              <c:f>'Fuel Cost Risk Sim'!$E$170:$GI$170</c:f>
              <c:numCache>
                <c:formatCode>_("$"* #,##0.00_);_("$"* \(#,##0.00\);_("$"* "-"??_);_(@_)</c:formatCode>
                <c:ptCount val="187"/>
                <c:pt idx="0">
                  <c:v>2.524</c:v>
                </c:pt>
                <c:pt idx="1">
                  <c:v>2.5321763998125792</c:v>
                </c:pt>
                <c:pt idx="2">
                  <c:v>2.5403792867542769</c:v>
                </c:pt>
                <c:pt idx="3">
                  <c:v>2.5486087466291178</c:v>
                </c:pt>
                <c:pt idx="4">
                  <c:v>2.5568648655190849</c:v>
                </c:pt>
                <c:pt idx="5">
                  <c:v>2.5651477297850205</c:v>
                </c:pt>
                <c:pt idx="6">
                  <c:v>2.5734574260675296</c:v>
                </c:pt>
                <c:pt idx="7">
                  <c:v>2.5817940412878859</c:v>
                </c:pt>
                <c:pt idx="8">
                  <c:v>2.5901576626489415</c:v>
                </c:pt>
                <c:pt idx="9">
                  <c:v>2.598548377636039</c:v>
                </c:pt>
                <c:pt idx="10">
                  <c:v>2.6069662740179256</c:v>
                </c:pt>
                <c:pt idx="11">
                  <c:v>2.6154114398476724</c:v>
                </c:pt>
                <c:pt idx="12">
                  <c:v>2.6238839634635949</c:v>
                </c:pt>
                <c:pt idx="13">
                  <c:v>2.6323839334901771</c:v>
                </c:pt>
                <c:pt idx="14">
                  <c:v>2.6409114388389989</c:v>
                </c:pt>
                <c:pt idx="15">
                  <c:v>2.6494665687096655</c:v>
                </c:pt>
                <c:pt idx="16">
                  <c:v>2.6580494125907403</c:v>
                </c:pt>
                <c:pt idx="17">
                  <c:v>2.6666600602606825</c:v>
                </c:pt>
                <c:pt idx="18">
                  <c:v>2.6752986017887839</c:v>
                </c:pt>
                <c:pt idx="19">
                  <c:v>2.6839651275361134</c:v>
                </c:pt>
                <c:pt idx="20">
                  <c:v>2.6926597281564604</c:v>
                </c:pt>
                <c:pt idx="21">
                  <c:v>2.7013824945972837</c:v>
                </c:pt>
                <c:pt idx="22">
                  <c:v>2.7101335181006636</c:v>
                </c:pt>
                <c:pt idx="23">
                  <c:v>2.7189128902042543</c:v>
                </c:pt>
                <c:pt idx="24">
                  <c:v>2.7277207027422437</c:v>
                </c:pt>
                <c:pt idx="25">
                  <c:v>2.7365570478463126</c:v>
                </c:pt>
                <c:pt idx="26">
                  <c:v>2.7454220179465993</c:v>
                </c:pt>
                <c:pt idx="27">
                  <c:v>2.7543157057726648</c:v>
                </c:pt>
                <c:pt idx="28">
                  <c:v>2.7632382043544652</c:v>
                </c:pt>
                <c:pt idx="29">
                  <c:v>2.7721896070233227</c:v>
                </c:pt>
                <c:pt idx="30">
                  <c:v>2.7811700074129027</c:v>
                </c:pt>
                <c:pt idx="31">
                  <c:v>2.7901794994601934</c:v>
                </c:pt>
                <c:pt idx="32">
                  <c:v>2.7992181774064884</c:v>
                </c:pt>
                <c:pt idx="33">
                  <c:v>2.8082861357983724</c:v>
                </c:pt>
                <c:pt idx="34">
                  <c:v>2.8173834694887097</c:v>
                </c:pt>
                <c:pt idx="35">
                  <c:v>2.8265102736376364</c:v>
                </c:pt>
                <c:pt idx="36">
                  <c:v>2.8356666437135574</c:v>
                </c:pt>
                <c:pt idx="37">
                  <c:v>2.8448526754941428</c:v>
                </c:pt>
                <c:pt idx="38">
                  <c:v>2.8540684650673307</c:v>
                </c:pt>
                <c:pt idx="39">
                  <c:v>2.8633141088323328</c:v>
                </c:pt>
                <c:pt idx="40">
                  <c:v>2.8725897035006422</c:v>
                </c:pt>
                <c:pt idx="41">
                  <c:v>2.8818953460970449</c:v>
                </c:pt>
                <c:pt idx="42">
                  <c:v>2.8912311339606349</c:v>
                </c:pt>
                <c:pt idx="43">
                  <c:v>2.9005971647458328</c:v>
                </c:pt>
                <c:pt idx="44">
                  <c:v>2.9099935364234066</c:v>
                </c:pt>
                <c:pt idx="45">
                  <c:v>2.9194203472814966</c:v>
                </c:pt>
                <c:pt idx="46">
                  <c:v>2.9288776959266443</c:v>
                </c:pt>
                <c:pt idx="47">
                  <c:v>2.9383656812848229</c:v>
                </c:pt>
                <c:pt idx="48">
                  <c:v>2.947884402602472</c:v>
                </c:pt>
                <c:pt idx="49">
                  <c:v>2.957433959447537</c:v>
                </c:pt>
                <c:pt idx="50">
                  <c:v>2.9670144517105093</c:v>
                </c:pt>
                <c:pt idx="51">
                  <c:v>2.9766259796054721</c:v>
                </c:pt>
                <c:pt idx="52">
                  <c:v>2.9862686436711479</c:v>
                </c:pt>
                <c:pt idx="53">
                  <c:v>2.9959425447719501</c:v>
                </c:pt>
                <c:pt idx="54">
                  <c:v>3.0056477840990388</c:v>
                </c:pt>
                <c:pt idx="55">
                  <c:v>3.0153844631713791</c:v>
                </c:pt>
                <c:pt idx="56">
                  <c:v>3.0251526838368026</c:v>
                </c:pt>
                <c:pt idx="57">
                  <c:v>3.0349525482730733</c:v>
                </c:pt>
                <c:pt idx="58">
                  <c:v>3.0447841589889557</c:v>
                </c:pt>
                <c:pt idx="59">
                  <c:v>3.0546476188252876</c:v>
                </c:pt>
                <c:pt idx="60">
                  <c:v>3.064543030956056</c:v>
                </c:pt>
                <c:pt idx="61">
                  <c:v>3.0744704988894753</c:v>
                </c:pt>
                <c:pt idx="62">
                  <c:v>3.0844301264690714</c:v>
                </c:pt>
                <c:pt idx="63">
                  <c:v>3.0944220178747672</c:v>
                </c:pt>
                <c:pt idx="64">
                  <c:v>3.1044462776239721</c:v>
                </c:pt>
                <c:pt idx="65">
                  <c:v>3.1145030105726756</c:v>
                </c:pt>
                <c:pt idx="66">
                  <c:v>3.1245923219165443</c:v>
                </c:pt>
                <c:pt idx="67">
                  <c:v>3.1347143171920218</c:v>
                </c:pt>
                <c:pt idx="68">
                  <c:v>3.1448691022774331</c:v>
                </c:pt>
                <c:pt idx="69">
                  <c:v>3.1550567833940923</c:v>
                </c:pt>
                <c:pt idx="70">
                  <c:v>3.1652774671074129</c:v>
                </c:pt>
                <c:pt idx="71">
                  <c:v>3.1755312603280226</c:v>
                </c:pt>
                <c:pt idx="72">
                  <c:v>3.1858182703128821</c:v>
                </c:pt>
                <c:pt idx="73">
                  <c:v>3.1961386046664075</c:v>
                </c:pt>
                <c:pt idx="74">
                  <c:v>3.2064923713415947</c:v>
                </c:pt>
                <c:pt idx="75">
                  <c:v>3.2168796786411487</c:v>
                </c:pt>
                <c:pt idx="76">
                  <c:v>3.2273006352186178</c:v>
                </c:pt>
                <c:pt idx="77">
                  <c:v>3.2377553500795284</c:v>
                </c:pt>
                <c:pt idx="78">
                  <c:v>3.2482439325825267</c:v>
                </c:pt>
                <c:pt idx="79">
                  <c:v>3.2587664924405217</c:v>
                </c:pt>
                <c:pt idx="80">
                  <c:v>3.2693231397218332</c:v>
                </c:pt>
                <c:pt idx="81">
                  <c:v>3.2799139848513432</c:v>
                </c:pt>
                <c:pt idx="82">
                  <c:v>3.29053913861165</c:v>
                </c:pt>
                <c:pt idx="83">
                  <c:v>3.3011987121442292</c:v>
                </c:pt>
                <c:pt idx="84">
                  <c:v>3.3118928169505932</c:v>
                </c:pt>
                <c:pt idx="85">
                  <c:v>3.3226215648934607</c:v>
                </c:pt>
                <c:pt idx="86">
                  <c:v>3.3333850681979245</c:v>
                </c:pt>
                <c:pt idx="87">
                  <c:v>3.3441834394526269</c:v>
                </c:pt>
                <c:pt idx="88">
                  <c:v>3.3550167916109355</c:v>
                </c:pt>
                <c:pt idx="89">
                  <c:v>3.3658852379921274</c:v>
                </c:pt>
                <c:pt idx="90">
                  <c:v>3.3767888922825722</c:v>
                </c:pt>
                <c:pt idx="91">
                  <c:v>3.3877278685369223</c:v>
                </c:pt>
                <c:pt idx="92">
                  <c:v>3.3987022811793053</c:v>
                </c:pt>
                <c:pt idx="93">
                  <c:v>3.4097122450045223</c:v>
                </c:pt>
                <c:pt idx="94">
                  <c:v>3.4207578751792469</c:v>
                </c:pt>
                <c:pt idx="95">
                  <c:v>3.4318392872432306</c:v>
                </c:pt>
                <c:pt idx="96">
                  <c:v>3.4429565971105118</c:v>
                </c:pt>
                <c:pt idx="97">
                  <c:v>3.4541099210706281</c:v>
                </c:pt>
                <c:pt idx="98">
                  <c:v>3.465299375789832</c:v>
                </c:pt>
                <c:pt idx="99">
                  <c:v>3.4765250783123118</c:v>
                </c:pt>
                <c:pt idx="100">
                  <c:v>3.4877871460614167</c:v>
                </c:pt>
                <c:pt idx="101">
                  <c:v>3.4990856968408832</c:v>
                </c:pt>
                <c:pt idx="102">
                  <c:v>3.5104208488360689</c:v>
                </c:pt>
                <c:pt idx="103">
                  <c:v>3.5217927206151884</c:v>
                </c:pt>
                <c:pt idx="104">
                  <c:v>3.5332014311305535</c:v>
                </c:pt>
                <c:pt idx="105">
                  <c:v>3.5446470997198172</c:v>
                </c:pt>
                <c:pt idx="106">
                  <c:v>3.5561298461072219</c:v>
                </c:pt>
                <c:pt idx="107">
                  <c:v>3.5676497904048521</c:v>
                </c:pt>
                <c:pt idx="108">
                  <c:v>3.5792070531138913</c:v>
                </c:pt>
                <c:pt idx="109">
                  <c:v>3.5908017551258813</c:v>
                </c:pt>
                <c:pt idx="110">
                  <c:v>3.6024340177239877</c:v>
                </c:pt>
                <c:pt idx="111">
                  <c:v>3.6141039625842684</c:v>
                </c:pt>
                <c:pt idx="112">
                  <c:v>3.6258117117769451</c:v>
                </c:pt>
                <c:pt idx="113">
                  <c:v>3.6375573877676826</c:v>
                </c:pt>
                <c:pt idx="114">
                  <c:v>3.6493411134188674</c:v>
                </c:pt>
                <c:pt idx="115">
                  <c:v>3.6611630119908942</c:v>
                </c:pt>
                <c:pt idx="116">
                  <c:v>3.6730232071434554</c:v>
                </c:pt>
                <c:pt idx="117">
                  <c:v>3.6849218229368339</c:v>
                </c:pt>
                <c:pt idx="118">
                  <c:v>3.6968589838332009</c:v>
                </c:pt>
                <c:pt idx="119">
                  <c:v>3.708834814697918</c:v>
                </c:pt>
                <c:pt idx="120">
                  <c:v>3.7208494408008432</c:v>
                </c:pt>
                <c:pt idx="121">
                  <c:v>3.7329029878176421</c:v>
                </c:pt>
                <c:pt idx="122">
                  <c:v>3.7449955818311005</c:v>
                </c:pt>
                <c:pt idx="123">
                  <c:v>3.7571273493324453</c:v>
                </c:pt>
                <c:pt idx="124">
                  <c:v>3.7692984172226667</c:v>
                </c:pt>
                <c:pt idx="125">
                  <c:v>3.7815089128138455</c:v>
                </c:pt>
                <c:pt idx="126">
                  <c:v>3.7937589638304852</c:v>
                </c:pt>
                <c:pt idx="127">
                  <c:v>3.8060486984108475</c:v>
                </c:pt>
                <c:pt idx="128">
                  <c:v>3.8183782451082937</c:v>
                </c:pt>
                <c:pt idx="129">
                  <c:v>3.8307477328926285</c:v>
                </c:pt>
                <c:pt idx="130">
                  <c:v>3.8431572911514484</c:v>
                </c:pt>
                <c:pt idx="131">
                  <c:v>3.8556070496914976</c:v>
                </c:pt>
                <c:pt idx="132">
                  <c:v>3.8680971387400227</c:v>
                </c:pt>
                <c:pt idx="133">
                  <c:v>3.8806276889461371</c:v>
                </c:pt>
                <c:pt idx="134">
                  <c:v>3.8931988313821866</c:v>
                </c:pt>
                <c:pt idx="135">
                  <c:v>3.9058106975451214</c:v>
                </c:pt>
                <c:pt idx="136">
                  <c:v>3.9184634193578702</c:v>
                </c:pt>
                <c:pt idx="137">
                  <c:v>3.9311571291707215</c:v>
                </c:pt>
                <c:pt idx="138">
                  <c:v>3.9438919597627069</c:v>
                </c:pt>
                <c:pt idx="139">
                  <c:v>3.9566680443429911</c:v>
                </c:pt>
                <c:pt idx="140">
                  <c:v>3.9694855165522642</c:v>
                </c:pt>
                <c:pt idx="141">
                  <c:v>3.9823445104641402</c:v>
                </c:pt>
                <c:pt idx="142">
                  <c:v>3.9952451605865593</c:v>
                </c:pt>
                <c:pt idx="143">
                  <c:v>4.0081876018631952</c:v>
                </c:pt>
                <c:pt idx="144">
                  <c:v>4.0211719696748665</c:v>
                </c:pt>
                <c:pt idx="145">
                  <c:v>4.0341983998409514</c:v>
                </c:pt>
                <c:pt idx="146">
                  <c:v>4.0472670286208121</c:v>
                </c:pt>
                <c:pt idx="147">
                  <c:v>4.0603779927152157</c:v>
                </c:pt>
                <c:pt idx="148">
                  <c:v>4.0735314292677662</c:v>
                </c:pt>
                <c:pt idx="149">
                  <c:v>4.0867274758663408</c:v>
                </c:pt>
                <c:pt idx="150">
                  <c:v>4.0999662705445248</c:v>
                </c:pt>
                <c:pt idx="151">
                  <c:v>4.1132479517830598</c:v>
                </c:pt>
                <c:pt idx="152">
                  <c:v>4.1265726585112894</c:v>
                </c:pt>
                <c:pt idx="153">
                  <c:v>4.1399405301086141</c:v>
                </c:pt>
                <c:pt idx="154">
                  <c:v>4.1533517064059478</c:v>
                </c:pt>
                <c:pt idx="155">
                  <c:v>4.1668063276871816</c:v>
                </c:pt>
                <c:pt idx="156">
                  <c:v>4.1803045346906504</c:v>
                </c:pt>
                <c:pt idx="157">
                  <c:v>4.1938464686106069</c:v>
                </c:pt>
                <c:pt idx="158">
                  <c:v>4.2074322710986953</c:v>
                </c:pt>
                <c:pt idx="159">
                  <c:v>4.2210620842654354</c:v>
                </c:pt>
                <c:pt idx="160">
                  <c:v>4.2347360506817084</c:v>
                </c:pt>
                <c:pt idx="161">
                  <c:v>4.2484543133802495</c:v>
                </c:pt>
                <c:pt idx="162">
                  <c:v>4.2622170158571411</c:v>
                </c:pt>
                <c:pt idx="163">
                  <c:v>4.2760243020733162</c:v>
                </c:pt>
                <c:pt idx="164">
                  <c:v>4.2898763164560645</c:v>
                </c:pt>
                <c:pt idx="165">
                  <c:v>4.3037732039005414</c:v>
                </c:pt>
                <c:pt idx="166">
                  <c:v>4.3177151097712851</c:v>
                </c:pt>
                <c:pt idx="167">
                  <c:v>4.3317021799037354</c:v>
                </c:pt>
                <c:pt idx="168">
                  <c:v>4.345734560605762</c:v>
                </c:pt>
                <c:pt idx="169">
                  <c:v>4.3598123986591917</c:v>
                </c:pt>
                <c:pt idx="170">
                  <c:v>4.3739358413213463</c:v>
                </c:pt>
                <c:pt idx="171">
                  <c:v>4.3881050363265812</c:v>
                </c:pt>
                <c:pt idx="172">
                  <c:v>4.4023201318878327</c:v>
                </c:pt>
                <c:pt idx="173">
                  <c:v>4.4165812766981665</c:v>
                </c:pt>
                <c:pt idx="174">
                  <c:v>4.4308886199323334</c:v>
                </c:pt>
                <c:pt idx="175">
                  <c:v>4.4452423112483297</c:v>
                </c:pt>
                <c:pt idx="176">
                  <c:v>4.4596425007889637</c:v>
                </c:pt>
                <c:pt idx="177">
                  <c:v>4.4740893391834256</c:v>
                </c:pt>
                <c:pt idx="178">
                  <c:v>4.4885829775488624</c:v>
                </c:pt>
                <c:pt idx="179">
                  <c:v>4.5031235674919596</c:v>
                </c:pt>
                <c:pt idx="180">
                  <c:v>4.5177112611105263</c:v>
                </c:pt>
                <c:pt idx="181">
                  <c:v>4.5323462109950876</c:v>
                </c:pt>
                <c:pt idx="182">
                  <c:v>4.547028570230478</c:v>
                </c:pt>
                <c:pt idx="183">
                  <c:v>4.5617584923974457</c:v>
                </c:pt>
                <c:pt idx="184">
                  <c:v>4.5765361315742563</c:v>
                </c:pt>
                <c:pt idx="185">
                  <c:v>4.5913616423383079</c:v>
                </c:pt>
                <c:pt idx="186">
                  <c:v>4.6062351797677445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702440"/>
        <c:axId val="3227036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'Fuel Cost Risk Sim'!$D$169</c15:sqref>
                        </c15:formulaRef>
                      </c:ext>
                    </c:extLst>
                    <c:strCache>
                      <c:ptCount val="1"/>
                      <c:pt idx="0">
                        <c:v>Oil/Diesel Blend forecast $/mmBTU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'Fuel Cost Risk Sim'!$E$168:$GI$168</c15:sqref>
                        </c15:formulaRef>
                      </c:ext>
                    </c:extLst>
                    <c:numCache>
                      <c:formatCode>m/d/yyyy</c:formatCode>
                      <c:ptCount val="187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'Fuel Cost Risk Sim'!$E$169:$GI$169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87"/>
                      <c:pt idx="0">
                        <c:v>12.698282910874898</c:v>
                      </c:pt>
                      <c:pt idx="1">
                        <c:v>12.739425363568424</c:v>
                      </c:pt>
                      <c:pt idx="2">
                        <c:v>12.780701117860717</c:v>
                      </c:pt>
                      <c:pt idx="3">
                        <c:v>12.822110605649129</c:v>
                      </c:pt>
                      <c:pt idx="4">
                        <c:v>12.863654260230355</c:v>
                      </c:pt>
                      <c:pt idx="5">
                        <c:v>12.905332516304973</c:v>
                      </c:pt>
                      <c:pt idx="6">
                        <c:v>12.947145809981993</c:v>
                      </c:pt>
                      <c:pt idx="7">
                        <c:v>12.989094578783417</c:v>
                      </c:pt>
                      <c:pt idx="8">
                        <c:v>13.03117926164882</c:v>
                      </c:pt>
                      <c:pt idx="9">
                        <c:v>13.073400298939939</c:v>
                      </c:pt>
                      <c:pt idx="10">
                        <c:v>13.115758132445288</c:v>
                      </c:pt>
                      <c:pt idx="11">
                        <c:v>13.158253205384772</c:v>
                      </c:pt>
                      <c:pt idx="12">
                        <c:v>13.200885962414334</c:v>
                      </c:pt>
                      <c:pt idx="13">
                        <c:v>13.243656849630598</c:v>
                      </c:pt>
                      <c:pt idx="14">
                        <c:v>13.286566314575545</c:v>
                      </c:pt>
                      <c:pt idx="15">
                        <c:v>13.329614806241191</c:v>
                      </c:pt>
                      <c:pt idx="16">
                        <c:v>13.372802775074286</c:v>
                      </c:pt>
                      <c:pt idx="17">
                        <c:v>13.41613067298103</c:v>
                      </c:pt>
                      <c:pt idx="18">
                        <c:v>13.459598953331797</c:v>
                      </c:pt>
                      <c:pt idx="19">
                        <c:v>13.503208070965885</c:v>
                      </c:pt>
                      <c:pt idx="20">
                        <c:v>13.546958482196269</c:v>
                      </c:pt>
                      <c:pt idx="21">
                        <c:v>13.590850644814381</c:v>
                      </c:pt>
                      <c:pt idx="22">
                        <c:v>13.634885018094895</c:v>
                      </c:pt>
                      <c:pt idx="23">
                        <c:v>13.679062062800538</c:v>
                      </c:pt>
                      <c:pt idx="24">
                        <c:v>13.723382241186908</c:v>
                      </c:pt>
                      <c:pt idx="25">
                        <c:v>13.76784601700731</c:v>
                      </c:pt>
                      <c:pt idx="26">
                        <c:v>13.812453855517614</c:v>
                      </c:pt>
                      <c:pt idx="27">
                        <c:v>13.857206223481116</c:v>
                      </c:pt>
                      <c:pt idx="28">
                        <c:v>13.902103589173429</c:v>
                      </c:pt>
                      <c:pt idx="29">
                        <c:v>13.947146422387375</c:v>
                      </c:pt>
                      <c:pt idx="30">
                        <c:v>13.99233519443791</c:v>
                      </c:pt>
                      <c:pt idx="31">
                        <c:v>14.03767037816705</c:v>
                      </c:pt>
                      <c:pt idx="32">
                        <c:v>14.083152447948818</c:v>
                      </c:pt>
                      <c:pt idx="33">
                        <c:v>14.128781879694209</c:v>
                      </c:pt>
                      <c:pt idx="34">
                        <c:v>14.174559150856172</c:v>
                      </c:pt>
                      <c:pt idx="35">
                        <c:v>14.220484740434605</c:v>
                      </c:pt>
                      <c:pt idx="36">
                        <c:v>14.266559128981365</c:v>
                      </c:pt>
                      <c:pt idx="37">
                        <c:v>14.312782798605296</c:v>
                      </c:pt>
                      <c:pt idx="38">
                        <c:v>14.359156232977279</c:v>
                      </c:pt>
                      <c:pt idx="39">
                        <c:v>14.405679917335284</c:v>
                      </c:pt>
                      <c:pt idx="40">
                        <c:v>14.452354338489458</c:v>
                      </c:pt>
                      <c:pt idx="41">
                        <c:v>14.499179984827212</c:v>
                      </c:pt>
                      <c:pt idx="42">
                        <c:v>14.54615734631833</c:v>
                      </c:pt>
                      <c:pt idx="43">
                        <c:v>14.593286914520101</c:v>
                      </c:pt>
                      <c:pt idx="44">
                        <c:v>14.640569182582462</c:v>
                      </c:pt>
                      <c:pt idx="45">
                        <c:v>14.688004645253153</c:v>
                      </c:pt>
                      <c:pt idx="46">
                        <c:v>14.735593798882899</c:v>
                      </c:pt>
                      <c:pt idx="47">
                        <c:v>14.783337141430602</c:v>
                      </c:pt>
                      <c:pt idx="48">
                        <c:v>14.831235172468551</c:v>
                      </c:pt>
                      <c:pt idx="49">
                        <c:v>14.87928839318765</c:v>
                      </c:pt>
                      <c:pt idx="50">
                        <c:v>14.927497306402662</c:v>
                      </c:pt>
                      <c:pt idx="51">
                        <c:v>14.975862416557471</c:v>
                      </c:pt>
                      <c:pt idx="52">
                        <c:v>15.024384229730359</c:v>
                      </c:pt>
                      <c:pt idx="53">
                        <c:v>15.073063253639303</c:v>
                      </c:pt>
                      <c:pt idx="54">
                        <c:v>15.121899997647288</c:v>
                      </c:pt>
                      <c:pt idx="55">
                        <c:v>15.170894972767634</c:v>
                      </c:pt>
                      <c:pt idx="56">
                        <c:v>15.220048691669344</c:v>
                      </c:pt>
                      <c:pt idx="57">
                        <c:v>15.269361668682471</c:v>
                      </c:pt>
                      <c:pt idx="58">
                        <c:v>15.318834419803498</c:v>
                      </c:pt>
                      <c:pt idx="59">
                        <c:v>15.368467462700735</c:v>
                      </c:pt>
                      <c:pt idx="60">
                        <c:v>15.418261316719741</c:v>
                      </c:pt>
                      <c:pt idx="61">
                        <c:v>15.468216502888755</c:v>
                      </c:pt>
                      <c:pt idx="62">
                        <c:v>15.518333543924145</c:v>
                      </c:pt>
                      <c:pt idx="63">
                        <c:v>15.568612964235884</c:v>
                      </c:pt>
                      <c:pt idx="64">
                        <c:v>15.619055289933032</c:v>
                      </c:pt>
                      <c:pt idx="65">
                        <c:v>15.669661048829244</c:v>
                      </c:pt>
                      <c:pt idx="66">
                        <c:v>15.720430770448292</c:v>
                      </c:pt>
                      <c:pt idx="67">
                        <c:v>15.771364986029605</c:v>
                      </c:pt>
                      <c:pt idx="68">
                        <c:v>15.822464228533828</c:v>
                      </c:pt>
                      <c:pt idx="69">
                        <c:v>15.873729032648402</c:v>
                      </c:pt>
                      <c:pt idx="70">
                        <c:v>15.925159934793154</c:v>
                      </c:pt>
                      <c:pt idx="71">
                        <c:v>15.976757473125909</c:v>
                      </c:pt>
                      <c:pt idx="72">
                        <c:v>16.028522187548131</c:v>
                      </c:pt>
                      <c:pt idx="73">
                        <c:v>16.080454619710558</c:v>
                      </c:pt>
                      <c:pt idx="74">
                        <c:v>16.13255531301888</c:v>
                      </c:pt>
                      <c:pt idx="75">
                        <c:v>16.184824812639427</c:v>
                      </c:pt>
                      <c:pt idx="76">
                        <c:v>16.237263665504859</c:v>
                      </c:pt>
                      <c:pt idx="77">
                        <c:v>16.289872420319906</c:v>
                      </c:pt>
                      <c:pt idx="78">
                        <c:v>16.342651627567101</c:v>
                      </c:pt>
                      <c:pt idx="79">
                        <c:v>16.395601839512537</c:v>
                      </c:pt>
                      <c:pt idx="80">
                        <c:v>16.448723610211655</c:v>
                      </c:pt>
                      <c:pt idx="81">
                        <c:v>16.50201749551503</c:v>
                      </c:pt>
                      <c:pt idx="82">
                        <c:v>16.555484053074203</c:v>
                      </c:pt>
                      <c:pt idx="83">
                        <c:v>16.609123842347497</c:v>
                      </c:pt>
                      <c:pt idx="84">
                        <c:v>16.662937424605886</c:v>
                      </c:pt>
                      <c:pt idx="85">
                        <c:v>16.716925362938863</c:v>
                      </c:pt>
                      <c:pt idx="86">
                        <c:v>16.771088222260328</c:v>
                      </c:pt>
                      <c:pt idx="87">
                        <c:v>16.825426569314509</c:v>
                      </c:pt>
                      <c:pt idx="88">
                        <c:v>16.879940972681879</c:v>
                      </c:pt>
                      <c:pt idx="89">
                        <c:v>16.934632002785115</c:v>
                      </c:pt>
                      <c:pt idx="90">
                        <c:v>16.989500231895065</c:v>
                      </c:pt>
                      <c:pt idx="91">
                        <c:v>17.044546234136735</c:v>
                      </c:pt>
                      <c:pt idx="92">
                        <c:v>17.099770585495296</c:v>
                      </c:pt>
                      <c:pt idx="93">
                        <c:v>17.155173863822114</c:v>
                      </c:pt>
                      <c:pt idx="94">
                        <c:v>17.210756648840793</c:v>
                      </c:pt>
                      <c:pt idx="95">
                        <c:v>17.266519522153239</c:v>
                      </c:pt>
                      <c:pt idx="96">
                        <c:v>17.322463067245753</c:v>
                      </c:pt>
                      <c:pt idx="97">
                        <c:v>17.378587869495131</c:v>
                      </c:pt>
                      <c:pt idx="98">
                        <c:v>17.43489451617479</c:v>
                      </c:pt>
                      <c:pt idx="99">
                        <c:v>17.491383596460913</c:v>
                      </c:pt>
                      <c:pt idx="100">
                        <c:v>17.548055701438617</c:v>
                      </c:pt>
                      <c:pt idx="101">
                        <c:v>17.604911424108135</c:v>
                      </c:pt>
                      <c:pt idx="102">
                        <c:v>17.661951359391018</c:v>
                      </c:pt>
                      <c:pt idx="103">
                        <c:v>17.71917610413637</c:v>
                      </c:pt>
                      <c:pt idx="104">
                        <c:v>17.776586257127082</c:v>
                      </c:pt>
                      <c:pt idx="105">
                        <c:v>17.834182419086105</c:v>
                      </c:pt>
                      <c:pt idx="106">
                        <c:v>17.891965192682726</c:v>
                      </c:pt>
                      <c:pt idx="107">
                        <c:v>17.949935182538891</c:v>
                      </c:pt>
                      <c:pt idx="108">
                        <c:v>18.008092995235518</c:v>
                      </c:pt>
                      <c:pt idx="109">
                        <c:v>18.066439239318846</c:v>
                      </c:pt>
                      <c:pt idx="110">
                        <c:v>18.124974525306808</c:v>
                      </c:pt>
                      <c:pt idx="111">
                        <c:v>18.183699465695415</c:v>
                      </c:pt>
                      <c:pt idx="112">
                        <c:v>18.242614674965164</c:v>
                      </c:pt>
                      <c:pt idx="113">
                        <c:v>18.301720769587469</c:v>
                      </c:pt>
                      <c:pt idx="114">
                        <c:v>18.361018368031115</c:v>
                      </c:pt>
                      <c:pt idx="115">
                        <c:v>18.420508090768724</c:v>
                      </c:pt>
                      <c:pt idx="116">
                        <c:v>18.480190560283251</c:v>
                      </c:pt>
                      <c:pt idx="117">
                        <c:v>18.540066401074501</c:v>
                      </c:pt>
                      <c:pt idx="118">
                        <c:v>18.600136239665652</c:v>
                      </c:pt>
                      <c:pt idx="119">
                        <c:v>18.66040070460982</c:v>
                      </c:pt>
                      <c:pt idx="120">
                        <c:v>18.720860426496639</c:v>
                      </c:pt>
                      <c:pt idx="121">
                        <c:v>18.781516037958848</c:v>
                      </c:pt>
                      <c:pt idx="122">
                        <c:v>18.842368173678917</c:v>
                      </c:pt>
                      <c:pt idx="123">
                        <c:v>18.903417470395691</c:v>
                      </c:pt>
                      <c:pt idx="124">
                        <c:v>18.964664566911051</c:v>
                      </c:pt>
                      <c:pt idx="125">
                        <c:v>19.026110104096592</c:v>
                      </c:pt>
                      <c:pt idx="126">
                        <c:v>19.087754724900339</c:v>
                      </c:pt>
                      <c:pt idx="127">
                        <c:v>19.149599074353468</c:v>
                      </c:pt>
                      <c:pt idx="128">
                        <c:v>19.21164379957705</c:v>
                      </c:pt>
                      <c:pt idx="129">
                        <c:v>19.273889549788841</c:v>
                      </c:pt>
                      <c:pt idx="130">
                        <c:v>19.336336976310051</c:v>
                      </c:pt>
                      <c:pt idx="131">
                        <c:v>19.398986732572183</c:v>
                      </c:pt>
                      <c:pt idx="132">
                        <c:v>19.461839474123849</c:v>
                      </c:pt>
                      <c:pt idx="133">
                        <c:v>19.524895858637649</c:v>
                      </c:pt>
                      <c:pt idx="134">
                        <c:v>19.588156545917034</c:v>
                      </c:pt>
                      <c:pt idx="135">
                        <c:v>19.651622197903222</c:v>
                      </c:pt>
                      <c:pt idx="136">
                        <c:v>19.715293478682124</c:v>
                      </c:pt>
                      <c:pt idx="137">
                        <c:v>19.77917105449129</c:v>
                      </c:pt>
                      <c:pt idx="138">
                        <c:v>19.843255593726877</c:v>
                      </c:pt>
                      <c:pt idx="139">
                        <c:v>19.90754776695065</c:v>
                      </c:pt>
                      <c:pt idx="140">
                        <c:v>19.972048246896993</c:v>
                      </c:pt>
                      <c:pt idx="141">
                        <c:v>20.03675770847995</c:v>
                      </c:pt>
                      <c:pt idx="142">
                        <c:v>20.101676828800287</c:v>
                      </c:pt>
                      <c:pt idx="143">
                        <c:v>20.166806287152578</c:v>
                      </c:pt>
                      <c:pt idx="144">
                        <c:v>20.232146765032315</c:v>
                      </c:pt>
                      <c:pt idx="145">
                        <c:v>20.297698946143033</c:v>
                      </c:pt>
                      <c:pt idx="146">
                        <c:v>20.363463516403467</c:v>
                      </c:pt>
                      <c:pt idx="147">
                        <c:v>20.429441163954731</c:v>
                      </c:pt>
                      <c:pt idx="148">
                        <c:v>20.49563257916752</c:v>
                      </c:pt>
                      <c:pt idx="149">
                        <c:v>20.562038454649322</c:v>
                      </c:pt>
                      <c:pt idx="150">
                        <c:v>20.628659485251685</c:v>
                      </c:pt>
                      <c:pt idx="151">
                        <c:v>20.695496368077471</c:v>
                      </c:pt>
                      <c:pt idx="152">
                        <c:v>20.762549802488156</c:v>
                      </c:pt>
                      <c:pt idx="153">
                        <c:v>20.829820490111146</c:v>
                      </c:pt>
                      <c:pt idx="154">
                        <c:v>20.897309134847127</c:v>
                      </c:pt>
                      <c:pt idx="155">
                        <c:v>20.96501644287742</c:v>
                      </c:pt>
                      <c:pt idx="156">
                        <c:v>21.032943122671377</c:v>
                      </c:pt>
                      <c:pt idx="157">
                        <c:v>21.101089884993787</c:v>
                      </c:pt>
                      <c:pt idx="158">
                        <c:v>21.169457442912321</c:v>
                      </c:pt>
                      <c:pt idx="159">
                        <c:v>21.238046511804992</c:v>
                      </c:pt>
                      <c:pt idx="160">
                        <c:v>21.306857809367635</c:v>
                      </c:pt>
                      <c:pt idx="161">
                        <c:v>21.375892055621421</c:v>
                      </c:pt>
                      <c:pt idx="162">
                        <c:v>21.44514997292039</c:v>
                      </c:pt>
                      <c:pt idx="163">
                        <c:v>21.514632285959014</c:v>
                      </c:pt>
                      <c:pt idx="164">
                        <c:v>21.584339721779774</c:v>
                      </c:pt>
                      <c:pt idx="165">
                        <c:v>21.654273009780766</c:v>
                      </c:pt>
                      <c:pt idx="166">
                        <c:v>21.724432881723342</c:v>
                      </c:pt>
                      <c:pt idx="167">
                        <c:v>21.794820071739757</c:v>
                      </c:pt>
                      <c:pt idx="168">
                        <c:v>21.865435316340861</c:v>
                      </c:pt>
                      <c:pt idx="169">
                        <c:v>21.936279354423796</c:v>
                      </c:pt>
                      <c:pt idx="170">
                        <c:v>22.007352927279729</c:v>
                      </c:pt>
                      <c:pt idx="171">
                        <c:v>22.078656778601619</c:v>
                      </c:pt>
                      <c:pt idx="172">
                        <c:v>22.150191654491987</c:v>
                      </c:pt>
                      <c:pt idx="173">
                        <c:v>22.221958303470725</c:v>
                      </c:pt>
                      <c:pt idx="174">
                        <c:v>22.29395747648293</c:v>
                      </c:pt>
                      <c:pt idx="175">
                        <c:v>22.36618992690677</c:v>
                      </c:pt>
                      <c:pt idx="176">
                        <c:v>22.43865641056135</c:v>
                      </c:pt>
                      <c:pt idx="177">
                        <c:v>22.511357685714636</c:v>
                      </c:pt>
                      <c:pt idx="178">
                        <c:v>22.584294513091379</c:v>
                      </c:pt>
                      <c:pt idx="179">
                        <c:v>22.657467655881081</c:v>
                      </c:pt>
                      <c:pt idx="180">
                        <c:v>22.730877879745982</c:v>
                      </c:pt>
                      <c:pt idx="181">
                        <c:v>22.804525952829064</c:v>
                      </c:pt>
                      <c:pt idx="182">
                        <c:v>22.878412645762094</c:v>
                      </c:pt>
                      <c:pt idx="183">
                        <c:v>22.952538731673684</c:v>
                      </c:pt>
                      <c:pt idx="184">
                        <c:v>23.026904986197394</c:v>
                      </c:pt>
                      <c:pt idx="185">
                        <c:v>23.101512187479827</c:v>
                      </c:pt>
                      <c:pt idx="186">
                        <c:v>23.176361116188787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322702440"/>
        <c:scaling>
          <c:orientation val="minMax"/>
        </c:scaling>
        <c:delete val="0"/>
        <c:axPos val="b"/>
        <c:numFmt formatCode="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03616"/>
        <c:crosses val="autoZero"/>
        <c:auto val="1"/>
        <c:lblOffset val="100"/>
        <c:baseTimeUnit val="months"/>
        <c:majorUnit val="12"/>
        <c:majorTimeUnit val="months"/>
        <c:minorUnit val="6"/>
        <c:minorTimeUnit val="months"/>
      </c:dateAx>
      <c:valAx>
        <c:axId val="3227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0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 and Renewable Cost per KWh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'Fuel Cost Risk Sim'!$D$201</c:f>
              <c:strCache>
                <c:ptCount val="1"/>
                <c:pt idx="0">
                  <c:v>Oil/Diesel Blend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Sim'!$E$201:$MZ$201</c:f>
              <c:numCache>
                <c:formatCode>_("$"* #,##0.000_);_("$"* \(#,##0.000\);_("$"* "-"??_);_(@_)</c:formatCode>
                <c:ptCount val="360"/>
                <c:pt idx="0">
                  <c:v>0.13587162714636139</c:v>
                </c:pt>
                <c:pt idx="1">
                  <c:v>0.13631185139018212</c:v>
                </c:pt>
                <c:pt idx="2">
                  <c:v>0.13675350196110969</c:v>
                </c:pt>
                <c:pt idx="3">
                  <c:v>0.13719658348044569</c:v>
                </c:pt>
                <c:pt idx="4">
                  <c:v>0.13764110058446483</c:v>
                </c:pt>
                <c:pt idx="5">
                  <c:v>0.13808705792446327</c:v>
                </c:pt>
                <c:pt idx="6">
                  <c:v>0.13853446016680734</c:v>
                </c:pt>
                <c:pt idx="7">
                  <c:v>0.13898331199298258</c:v>
                </c:pt>
                <c:pt idx="8">
                  <c:v>0.13943361809964236</c:v>
                </c:pt>
                <c:pt idx="9">
                  <c:v>0.13988538319865737</c:v>
                </c:pt>
                <c:pt idx="10">
                  <c:v>0.14033861201716458</c:v>
                </c:pt>
                <c:pt idx="11">
                  <c:v>0.14079330929761705</c:v>
                </c:pt>
                <c:pt idx="12">
                  <c:v>0.14124947979783337</c:v>
                </c:pt>
                <c:pt idx="13">
                  <c:v>0.14170712829104742</c:v>
                </c:pt>
                <c:pt idx="14">
                  <c:v>0.14216625956595833</c:v>
                </c:pt>
                <c:pt idx="15">
                  <c:v>0.14262687842678076</c:v>
                </c:pt>
                <c:pt idx="16">
                  <c:v>0.14308898969329487</c:v>
                </c:pt>
                <c:pt idx="17">
                  <c:v>0.143552598200897</c:v>
                </c:pt>
                <c:pt idx="18">
                  <c:v>0.14401770880065021</c:v>
                </c:pt>
                <c:pt idx="19">
                  <c:v>0.14448432635933495</c:v>
                </c:pt>
                <c:pt idx="20">
                  <c:v>0.14495245575950005</c:v>
                </c:pt>
                <c:pt idx="21">
                  <c:v>0.14542210189951388</c:v>
                </c:pt>
                <c:pt idx="22">
                  <c:v>0.14589326969361538</c:v>
                </c:pt>
                <c:pt idx="23">
                  <c:v>0.14636596407196578</c:v>
                </c:pt>
                <c:pt idx="24">
                  <c:v>0.14684018998069995</c:v>
                </c:pt>
                <c:pt idx="25">
                  <c:v>0.14731595238197825</c:v>
                </c:pt>
                <c:pt idx="26">
                  <c:v>0.14779325625403852</c:v>
                </c:pt>
                <c:pt idx="27">
                  <c:v>0.14827210659124801</c:v>
                </c:pt>
                <c:pt idx="28">
                  <c:v>0.14875250840415571</c:v>
                </c:pt>
                <c:pt idx="29">
                  <c:v>0.14923446671954496</c:v>
                </c:pt>
                <c:pt idx="30">
                  <c:v>0.14971798658048571</c:v>
                </c:pt>
                <c:pt idx="31">
                  <c:v>0.15020307304638753</c:v>
                </c:pt>
                <c:pt idx="32">
                  <c:v>0.15068973119305243</c:v>
                </c:pt>
                <c:pt idx="33">
                  <c:v>0.1511779661127281</c:v>
                </c:pt>
                <c:pt idx="34">
                  <c:v>0.15166778291416114</c:v>
                </c:pt>
                <c:pt idx="35">
                  <c:v>0.15215918672265036</c:v>
                </c:pt>
                <c:pt idx="36">
                  <c:v>0.1526521826801007</c:v>
                </c:pt>
                <c:pt idx="37">
                  <c:v>0.15314677594507675</c:v>
                </c:pt>
                <c:pt idx="38">
                  <c:v>0.15364297169285696</c:v>
                </c:pt>
                <c:pt idx="39">
                  <c:v>0.15414077511548763</c:v>
                </c:pt>
                <c:pt idx="40">
                  <c:v>0.15464019142183724</c:v>
                </c:pt>
                <c:pt idx="41">
                  <c:v>0.15514122583765122</c:v>
                </c:pt>
                <c:pt idx="42">
                  <c:v>0.15564388360560621</c:v>
                </c:pt>
                <c:pt idx="43">
                  <c:v>0.15614816998536518</c:v>
                </c:pt>
                <c:pt idx="44">
                  <c:v>0.15665409025363242</c:v>
                </c:pt>
                <c:pt idx="45">
                  <c:v>0.15716164970420882</c:v>
                </c:pt>
                <c:pt idx="46">
                  <c:v>0.15767085364804712</c:v>
                </c:pt>
                <c:pt idx="47">
                  <c:v>0.15818170741330753</c:v>
                </c:pt>
                <c:pt idx="48">
                  <c:v>0.15869421634541359</c:v>
                </c:pt>
                <c:pt idx="49">
                  <c:v>0.15920838580710797</c:v>
                </c:pt>
                <c:pt idx="50">
                  <c:v>0.1597242211785086</c:v>
                </c:pt>
                <c:pt idx="51">
                  <c:v>0.16024172785716506</c:v>
                </c:pt>
                <c:pt idx="52">
                  <c:v>0.16076091125811492</c:v>
                </c:pt>
                <c:pt idx="53">
                  <c:v>0.16128177681394065</c:v>
                </c:pt>
                <c:pt idx="54">
                  <c:v>0.16180432997482611</c:v>
                </c:pt>
                <c:pt idx="55">
                  <c:v>0.16232857620861382</c:v>
                </c:pt>
                <c:pt idx="56">
                  <c:v>0.16285452100086212</c:v>
                </c:pt>
                <c:pt idx="57">
                  <c:v>0.16338216985490259</c:v>
                </c:pt>
                <c:pt idx="58">
                  <c:v>0.16391152829189756</c:v>
                </c:pt>
                <c:pt idx="59">
                  <c:v>0.16444260185089801</c:v>
                </c:pt>
                <c:pt idx="60">
                  <c:v>0.16497539608890135</c:v>
                </c:pt>
                <c:pt idx="61">
                  <c:v>0.16550991658090983</c:v>
                </c:pt>
                <c:pt idx="62">
                  <c:v>0.16604616891998847</c:v>
                </c:pt>
                <c:pt idx="63">
                  <c:v>0.16658415871732407</c:v>
                </c:pt>
                <c:pt idx="64">
                  <c:v>0.16712389160228358</c:v>
                </c:pt>
                <c:pt idx="65">
                  <c:v>0.16766537322247302</c:v>
                </c:pt>
                <c:pt idx="66">
                  <c:v>0.16820860924379685</c:v>
                </c:pt>
                <c:pt idx="67">
                  <c:v>0.16875360535051692</c:v>
                </c:pt>
                <c:pt idx="68">
                  <c:v>0.16930036724531211</c:v>
                </c:pt>
                <c:pt idx="69">
                  <c:v>0.16984890064933805</c:v>
                </c:pt>
                <c:pt idx="70">
                  <c:v>0.17039921130228688</c:v>
                </c:pt>
                <c:pt idx="71">
                  <c:v>0.17095130496244737</c:v>
                </c:pt>
                <c:pt idx="72">
                  <c:v>0.17150518740676515</c:v>
                </c:pt>
                <c:pt idx="73">
                  <c:v>0.17206086443090313</c:v>
                </c:pt>
                <c:pt idx="74">
                  <c:v>0.17261834184930216</c:v>
                </c:pt>
                <c:pt idx="75">
                  <c:v>0.17317762549524202</c:v>
                </c:pt>
                <c:pt idx="76">
                  <c:v>0.17373872122090217</c:v>
                </c:pt>
                <c:pt idx="77">
                  <c:v>0.17430163489742317</c:v>
                </c:pt>
                <c:pt idx="78">
                  <c:v>0.17486637241496819</c:v>
                </c:pt>
                <c:pt idx="79">
                  <c:v>0.17543293968278428</c:v>
                </c:pt>
                <c:pt idx="80">
                  <c:v>0.17600134262926487</c:v>
                </c:pt>
                <c:pt idx="81">
                  <c:v>0.17657158720201102</c:v>
                </c:pt>
                <c:pt idx="82">
                  <c:v>0.17714367936789416</c:v>
                </c:pt>
                <c:pt idx="83">
                  <c:v>0.17771762511311842</c:v>
                </c:pt>
                <c:pt idx="84">
                  <c:v>0.17829343044328319</c:v>
                </c:pt>
                <c:pt idx="85">
                  <c:v>0.17887110138344606</c:v>
                </c:pt>
                <c:pt idx="86">
                  <c:v>0.17945064397818578</c:v>
                </c:pt>
                <c:pt idx="87">
                  <c:v>0.18003206429166552</c:v>
                </c:pt>
                <c:pt idx="88">
                  <c:v>0.18061536840769635</c:v>
                </c:pt>
                <c:pt idx="89">
                  <c:v>0.18120056242980095</c:v>
                </c:pt>
                <c:pt idx="90">
                  <c:v>0.18178765248127743</c:v>
                </c:pt>
                <c:pt idx="91">
                  <c:v>0.1823766447052633</c:v>
                </c:pt>
                <c:pt idx="92">
                  <c:v>0.18296754526479991</c:v>
                </c:pt>
                <c:pt idx="93">
                  <c:v>0.18356036034289683</c:v>
                </c:pt>
                <c:pt idx="94">
                  <c:v>0.18415509614259667</c:v>
                </c:pt>
                <c:pt idx="95">
                  <c:v>0.18475175888703985</c:v>
                </c:pt>
                <c:pt idx="96">
                  <c:v>0.18535035481952974</c:v>
                </c:pt>
                <c:pt idx="97">
                  <c:v>0.18595089020359809</c:v>
                </c:pt>
                <c:pt idx="98">
                  <c:v>0.18655337132307043</c:v>
                </c:pt>
                <c:pt idx="99">
                  <c:v>0.18715780448213196</c:v>
                </c:pt>
                <c:pt idx="100">
                  <c:v>0.1877641960053934</c:v>
                </c:pt>
                <c:pt idx="101">
                  <c:v>0.18837255223795718</c:v>
                </c:pt>
                <c:pt idx="102">
                  <c:v>0.18898287954548409</c:v>
                </c:pt>
                <c:pt idx="103">
                  <c:v>0.18959518431425937</c:v>
                </c:pt>
                <c:pt idx="104">
                  <c:v>0.19020947295125995</c:v>
                </c:pt>
                <c:pt idx="105">
                  <c:v>0.19082575188422152</c:v>
                </c:pt>
                <c:pt idx="106">
                  <c:v>0.19144402756170537</c:v>
                </c:pt>
                <c:pt idx="107">
                  <c:v>0.19206430645316636</c:v>
                </c:pt>
                <c:pt idx="108">
                  <c:v>0.19268659504902028</c:v>
                </c:pt>
                <c:pt idx="109">
                  <c:v>0.19331089986071187</c:v>
                </c:pt>
                <c:pt idx="110">
                  <c:v>0.19393722742078312</c:v>
                </c:pt>
                <c:pt idx="111">
                  <c:v>0.19456558428294118</c:v>
                </c:pt>
                <c:pt idx="112">
                  <c:v>0.19519597702212749</c:v>
                </c:pt>
                <c:pt idx="113">
                  <c:v>0.19582841223458614</c:v>
                </c:pt>
                <c:pt idx="114">
                  <c:v>0.19646289653793314</c:v>
                </c:pt>
                <c:pt idx="115">
                  <c:v>0.19709943657122553</c:v>
                </c:pt>
                <c:pt idx="116">
                  <c:v>0.19773803899503101</c:v>
                </c:pt>
                <c:pt idx="117">
                  <c:v>0.19837871049149738</c:v>
                </c:pt>
                <c:pt idx="118">
                  <c:v>0.1990214577644227</c:v>
                </c:pt>
                <c:pt idx="119">
                  <c:v>0.1996662875393253</c:v>
                </c:pt>
                <c:pt idx="120">
                  <c:v>0.20031320656351428</c:v>
                </c:pt>
                <c:pt idx="121">
                  <c:v>0.2009622216061599</c:v>
                </c:pt>
                <c:pt idx="122">
                  <c:v>0.20161333945836465</c:v>
                </c:pt>
                <c:pt idx="123">
                  <c:v>0.20226656693323417</c:v>
                </c:pt>
                <c:pt idx="124">
                  <c:v>0.20292191086594852</c:v>
                </c:pt>
                <c:pt idx="125">
                  <c:v>0.20357937811383384</c:v>
                </c:pt>
                <c:pt idx="126">
                  <c:v>0.20423897555643392</c:v>
                </c:pt>
                <c:pt idx="127">
                  <c:v>0.20490071009558242</c:v>
                </c:pt>
                <c:pt idx="128">
                  <c:v>0.20556458865547478</c:v>
                </c:pt>
                <c:pt idx="129">
                  <c:v>0.20623061818274091</c:v>
                </c:pt>
                <c:pt idx="130">
                  <c:v>0.20689880564651789</c:v>
                </c:pt>
                <c:pt idx="131">
                  <c:v>0.20756915803852266</c:v>
                </c:pt>
                <c:pt idx="132">
                  <c:v>0.20824168237312551</c:v>
                </c:pt>
                <c:pt idx="133">
                  <c:v>0.20891638568742318</c:v>
                </c:pt>
                <c:pt idx="134">
                  <c:v>0.20959327504131262</c:v>
                </c:pt>
                <c:pt idx="135">
                  <c:v>0.21027235751756479</c:v>
                </c:pt>
                <c:pt idx="136">
                  <c:v>0.21095364022189902</c:v>
                </c:pt>
                <c:pt idx="137">
                  <c:v>0.21163713028305714</c:v>
                </c:pt>
                <c:pt idx="138">
                  <c:v>0.21232283485287792</c:v>
                </c:pt>
                <c:pt idx="139">
                  <c:v>0.21301076110637229</c:v>
                </c:pt>
                <c:pt idx="140">
                  <c:v>0.2137009162417981</c:v>
                </c:pt>
                <c:pt idx="141">
                  <c:v>0.21439330748073576</c:v>
                </c:pt>
                <c:pt idx="142">
                  <c:v>0.21508794206816337</c:v>
                </c:pt>
                <c:pt idx="143">
                  <c:v>0.2157848272725329</c:v>
                </c:pt>
                <c:pt idx="144">
                  <c:v>0.21648397038584608</c:v>
                </c:pt>
                <c:pt idx="145">
                  <c:v>0.21718537872373078</c:v>
                </c:pt>
                <c:pt idx="146">
                  <c:v>0.21788905962551741</c:v>
                </c:pt>
                <c:pt idx="147">
                  <c:v>0.21859502045431595</c:v>
                </c:pt>
                <c:pt idx="148">
                  <c:v>0.21930326859709276</c:v>
                </c:pt>
                <c:pt idx="149">
                  <c:v>0.22001381146474805</c:v>
                </c:pt>
                <c:pt idx="150">
                  <c:v>0.22072665649219336</c:v>
                </c:pt>
                <c:pt idx="151">
                  <c:v>0.22144181113842923</c:v>
                </c:pt>
                <c:pt idx="152">
                  <c:v>0.22215928288662357</c:v>
                </c:pt>
                <c:pt idx="153">
                  <c:v>0.22287907924418957</c:v>
                </c:pt>
                <c:pt idx="154">
                  <c:v>0.22360120774286454</c:v>
                </c:pt>
                <c:pt idx="155">
                  <c:v>0.22432567593878872</c:v>
                </c:pt>
                <c:pt idx="156">
                  <c:v>0.22505249141258399</c:v>
                </c:pt>
                <c:pt idx="157">
                  <c:v>0.22578166176943379</c:v>
                </c:pt>
                <c:pt idx="158">
                  <c:v>0.22651319463916211</c:v>
                </c:pt>
                <c:pt idx="159">
                  <c:v>0.22724709767631363</c:v>
                </c:pt>
                <c:pt idx="160">
                  <c:v>0.22798337856023393</c:v>
                </c:pt>
                <c:pt idx="161">
                  <c:v>0.22872204499514942</c:v>
                </c:pt>
                <c:pt idx="162">
                  <c:v>0.22946310471024842</c:v>
                </c:pt>
                <c:pt idx="163">
                  <c:v>0.2302065654597617</c:v>
                </c:pt>
                <c:pt idx="164">
                  <c:v>0.23095243502304386</c:v>
                </c:pt>
                <c:pt idx="165">
                  <c:v>0.23170072120465451</c:v>
                </c:pt>
                <c:pt idx="166">
                  <c:v>0.23245143183444006</c:v>
                </c:pt>
                <c:pt idx="167">
                  <c:v>0.23320457476761569</c:v>
                </c:pt>
                <c:pt idx="168">
                  <c:v>0.2339601578848475</c:v>
                </c:pt>
                <c:pt idx="169">
                  <c:v>0.23471818909233488</c:v>
                </c:pt>
                <c:pt idx="170">
                  <c:v>0.23547867632189337</c:v>
                </c:pt>
                <c:pt idx="171">
                  <c:v>0.23624162753103764</c:v>
                </c:pt>
                <c:pt idx="172">
                  <c:v>0.23700705070306458</c:v>
                </c:pt>
                <c:pt idx="173">
                  <c:v>0.23777495384713704</c:v>
                </c:pt>
                <c:pt idx="174">
                  <c:v>0.23854534499836766</c:v>
                </c:pt>
                <c:pt idx="175">
                  <c:v>0.23931823221790274</c:v>
                </c:pt>
                <c:pt idx="176">
                  <c:v>0.24009362359300679</c:v>
                </c:pt>
                <c:pt idx="177">
                  <c:v>0.24087152723714694</c:v>
                </c:pt>
                <c:pt idx="178">
                  <c:v>0.2416519512900781</c:v>
                </c:pt>
                <c:pt idx="179">
                  <c:v>0.24243490391792796</c:v>
                </c:pt>
                <c:pt idx="180">
                  <c:v>0.24322039331328235</c:v>
                </c:pt>
                <c:pt idx="181">
                  <c:v>0.24400842769527131</c:v>
                </c:pt>
                <c:pt idx="182">
                  <c:v>0.2447990153096547</c:v>
                </c:pt>
                <c:pt idx="183">
                  <c:v>0.24559216442890872</c:v>
                </c:pt>
                <c:pt idx="184">
                  <c:v>0.24638788335231246</c:v>
                </c:pt>
                <c:pt idx="185">
                  <c:v>0.24718618040603446</c:v>
                </c:pt>
                <c:pt idx="186">
                  <c:v>0.24798706394322037</c:v>
                </c:pt>
                <c:pt idx="187">
                  <c:v>0.2487905423440798</c:v>
                </c:pt>
                <c:pt idx="188">
                  <c:v>0.24959662401597429</c:v>
                </c:pt>
                <c:pt idx="189">
                  <c:v>0.25040531739350541</c:v>
                </c:pt>
                <c:pt idx="190">
                  <c:v>0.25121663093860264</c:v>
                </c:pt>
                <c:pt idx="191">
                  <c:v>0.25203057314061222</c:v>
                </c:pt>
                <c:pt idx="192">
                  <c:v>0.2528471525163859</c:v>
                </c:pt>
                <c:pt idx="193">
                  <c:v>0.25366637761036998</c:v>
                </c:pt>
                <c:pt idx="194">
                  <c:v>0.25448825699469479</c:v>
                </c:pt>
                <c:pt idx="195">
                  <c:v>0.25531279926926448</c:v>
                </c:pt>
                <c:pt idx="196">
                  <c:v>0.25614001306184681</c:v>
                </c:pt>
                <c:pt idx="197">
                  <c:v>0.25696990702816336</c:v>
                </c:pt>
                <c:pt idx="198">
                  <c:v>0.25780248985198057</c:v>
                </c:pt>
                <c:pt idx="199">
                  <c:v>0.25863777024520007</c:v>
                </c:pt>
                <c:pt idx="200">
                  <c:v>0.25947575694795016</c:v>
                </c:pt>
                <c:pt idx="201">
                  <c:v>0.26031645872867715</c:v>
                </c:pt>
                <c:pt idx="202">
                  <c:v>0.2611598843842371</c:v>
                </c:pt>
                <c:pt idx="203">
                  <c:v>0.26200604273998795</c:v>
                </c:pt>
                <c:pt idx="204">
                  <c:v>0.2628549426498818</c:v>
                </c:pt>
                <c:pt idx="205">
                  <c:v>0.26370659299655741</c:v>
                </c:pt>
                <c:pt idx="206">
                  <c:v>0.26456100269143351</c:v>
                </c:pt>
                <c:pt idx="207">
                  <c:v>0.26541818067480183</c:v>
                </c:pt>
                <c:pt idx="208">
                  <c:v>0.26627813591592048</c:v>
                </c:pt>
                <c:pt idx="209">
                  <c:v>0.26714087741310821</c:v>
                </c:pt>
                <c:pt idx="210">
                  <c:v>0.26800641419383803</c:v>
                </c:pt>
                <c:pt idx="211">
                  <c:v>0.26887475531483224</c:v>
                </c:pt>
                <c:pt idx="212">
                  <c:v>0.26974590986215691</c:v>
                </c:pt>
                <c:pt idx="213">
                  <c:v>0.27061988695131678</c:v>
                </c:pt>
                <c:pt idx="214">
                  <c:v>0.27149669572735113</c:v>
                </c:pt>
                <c:pt idx="215">
                  <c:v>0.27237634536492883</c:v>
                </c:pt>
                <c:pt idx="216">
                  <c:v>0.273258845068445</c:v>
                </c:pt>
                <c:pt idx="217">
                  <c:v>0.27414420407211693</c:v>
                </c:pt>
                <c:pt idx="218">
                  <c:v>0.27503243164008057</c:v>
                </c:pt>
                <c:pt idx="219">
                  <c:v>0.27592353706648798</c:v>
                </c:pt>
                <c:pt idx="220">
                  <c:v>0.27681752967560413</c:v>
                </c:pt>
                <c:pt idx="221">
                  <c:v>0.27771441882190467</c:v>
                </c:pt>
                <c:pt idx="222">
                  <c:v>0.27861421389017366</c:v>
                </c:pt>
                <c:pt idx="223">
                  <c:v>0.27951692429560204</c:v>
                </c:pt>
                <c:pt idx="224">
                  <c:v>0.28042255948388589</c:v>
                </c:pt>
                <c:pt idx="225">
                  <c:v>0.28133112893132534</c:v>
                </c:pt>
                <c:pt idx="226">
                  <c:v>0.28224264214492373</c:v>
                </c:pt>
                <c:pt idx="227">
                  <c:v>0.28315710866248717</c:v>
                </c:pt>
                <c:pt idx="228">
                  <c:v>0.2840745380527242</c:v>
                </c:pt>
                <c:pt idx="229">
                  <c:v>0.28499493991534608</c:v>
                </c:pt>
                <c:pt idx="230">
                  <c:v>0.28591832388116711</c:v>
                </c:pt>
                <c:pt idx="231">
                  <c:v>0.28684469961220543</c:v>
                </c:pt>
                <c:pt idx="232">
                  <c:v>0.28777407680178402</c:v>
                </c:pt>
                <c:pt idx="233">
                  <c:v>0.28870646517463255</c:v>
                </c:pt>
                <c:pt idx="234">
                  <c:v>0.28964187448698842</c:v>
                </c:pt>
                <c:pt idx="235">
                  <c:v>0.29058031452669952</c:v>
                </c:pt>
                <c:pt idx="236">
                  <c:v>0.29152179511332643</c:v>
                </c:pt>
                <c:pt idx="237">
                  <c:v>0.29246632609824486</c:v>
                </c:pt>
                <c:pt idx="238">
                  <c:v>0.2934139173647492</c:v>
                </c:pt>
                <c:pt idx="239">
                  <c:v>0.29436457882815559</c:v>
                </c:pt>
                <c:pt idx="240">
                  <c:v>0.29531832043590595</c:v>
                </c:pt>
                <c:pt idx="241">
                  <c:v>0.29627515216767181</c:v>
                </c:pt>
                <c:pt idx="242">
                  <c:v>0.29723508403545895</c:v>
                </c:pt>
                <c:pt idx="243">
                  <c:v>0.29819812608371193</c:v>
                </c:pt>
                <c:pt idx="244">
                  <c:v>0.29916428838941944</c:v>
                </c:pt>
                <c:pt idx="245">
                  <c:v>0.30013358106221949</c:v>
                </c:pt>
                <c:pt idx="246">
                  <c:v>0.30110601424450562</c:v>
                </c:pt>
                <c:pt idx="247">
                  <c:v>0.30208159811153229</c:v>
                </c:pt>
                <c:pt idx="248">
                  <c:v>0.30306034287152223</c:v>
                </c:pt>
                <c:pt idx="249">
                  <c:v>0.30404225876577251</c:v>
                </c:pt>
                <c:pt idx="250">
                  <c:v>0.30502735606876225</c:v>
                </c:pt>
                <c:pt idx="251">
                  <c:v>0.30601564508825979</c:v>
                </c:pt>
                <c:pt idx="252">
                  <c:v>0.30700713616543052</c:v>
                </c:pt>
                <c:pt idx="253">
                  <c:v>0.30800183967494543</c:v>
                </c:pt>
                <c:pt idx="254">
                  <c:v>0.30899976602508938</c:v>
                </c:pt>
                <c:pt idx="255">
                  <c:v>0.31000092565787013</c:v>
                </c:pt>
                <c:pt idx="256">
                  <c:v>0.31100532904912748</c:v>
                </c:pt>
                <c:pt idx="257">
                  <c:v>0.31201298670864297</c:v>
                </c:pt>
                <c:pt idx="258">
                  <c:v>0.31302390918024992</c:v>
                </c:pt>
                <c:pt idx="259">
                  <c:v>0.31403810704194357</c:v>
                </c:pt>
                <c:pt idx="260">
                  <c:v>0.315055590905992</c:v>
                </c:pt>
                <c:pt idx="261">
                  <c:v>0.31607637141904699</c:v>
                </c:pt>
                <c:pt idx="262">
                  <c:v>0.31710045926225544</c:v>
                </c:pt>
                <c:pt idx="263">
                  <c:v>0.31812786515137131</c:v>
                </c:pt>
                <c:pt idx="264">
                  <c:v>0.31915859983686756</c:v>
                </c:pt>
                <c:pt idx="265">
                  <c:v>0.32019267410404856</c:v>
                </c:pt>
                <c:pt idx="266">
                  <c:v>0.32123009877316328</c:v>
                </c:pt>
                <c:pt idx="267">
                  <c:v>0.32227088469951809</c:v>
                </c:pt>
                <c:pt idx="268">
                  <c:v>0.32331504277359091</c:v>
                </c:pt>
                <c:pt idx="269">
                  <c:v>0.32436258392114442</c:v>
                </c:pt>
                <c:pt idx="270">
                  <c:v>0.3254135191033411</c:v>
                </c:pt>
                <c:pt idx="271">
                  <c:v>0.32646785931685746</c:v>
                </c:pt>
                <c:pt idx="272">
                  <c:v>0.32752561559399929</c:v>
                </c:pt>
                <c:pt idx="273">
                  <c:v>0.32858679900281695</c:v>
                </c:pt>
                <c:pt idx="274">
                  <c:v>0.32965142064722153</c:v>
                </c:pt>
                <c:pt idx="275">
                  <c:v>0.33071949166710063</c:v>
                </c:pt>
                <c:pt idx="276">
                  <c:v>0.33179102323843523</c:v>
                </c:pt>
                <c:pt idx="277">
                  <c:v>0.33286602657341624</c:v>
                </c:pt>
                <c:pt idx="278">
                  <c:v>0.33394451292056249</c:v>
                </c:pt>
                <c:pt idx="279">
                  <c:v>0.3350264935648376</c:v>
                </c:pt>
                <c:pt idx="280">
                  <c:v>0.3361119798277688</c:v>
                </c:pt>
                <c:pt idx="281">
                  <c:v>0.33720098306756502</c:v>
                </c:pt>
                <c:pt idx="282">
                  <c:v>0.33829351467923563</c:v>
                </c:pt>
                <c:pt idx="283">
                  <c:v>0.33938958609471004</c:v>
                </c:pt>
                <c:pt idx="284">
                  <c:v>0.34048920878295691</c:v>
                </c:pt>
                <c:pt idx="285">
                  <c:v>0.34159239425010474</c:v>
                </c:pt>
                <c:pt idx="286">
                  <c:v>0.34269915403956153</c:v>
                </c:pt>
                <c:pt idx="287">
                  <c:v>0.3438094997321362</c:v>
                </c:pt>
                <c:pt idx="288">
                  <c:v>0.34492344294615918</c:v>
                </c:pt>
                <c:pt idx="289">
                  <c:v>0.34604099533760474</c:v>
                </c:pt>
                <c:pt idx="290">
                  <c:v>0.34716216860021221</c:v>
                </c:pt>
                <c:pt idx="291">
                  <c:v>0.34828697446560863</c:v>
                </c:pt>
                <c:pt idx="292">
                  <c:v>0.34941542470343173</c:v>
                </c:pt>
                <c:pt idx="293">
                  <c:v>0.35054753112145287</c:v>
                </c:pt>
                <c:pt idx="294">
                  <c:v>0.35168330556570038</c:v>
                </c:pt>
                <c:pt idx="295">
                  <c:v>0.35282275992058393</c:v>
                </c:pt>
                <c:pt idx="296">
                  <c:v>0.35396590610901857</c:v>
                </c:pt>
                <c:pt idx="297">
                  <c:v>0.35511275609254978</c:v>
                </c:pt>
                <c:pt idx="298">
                  <c:v>0.35626332187147824</c:v>
                </c:pt>
                <c:pt idx="299">
                  <c:v>0.35741761548498574</c:v>
                </c:pt>
                <c:pt idx="300">
                  <c:v>0.35857564901126121</c:v>
                </c:pt>
                <c:pt idx="301">
                  <c:v>0.35973743456762669</c:v>
                </c:pt>
                <c:pt idx="302">
                  <c:v>0.3609029843106642</c:v>
                </c:pt>
                <c:pt idx="303">
                  <c:v>0.36207231043634353</c:v>
                </c:pt>
                <c:pt idx="304">
                  <c:v>0.36324542518014918</c:v>
                </c:pt>
                <c:pt idx="305">
                  <c:v>0.36442234081720865</c:v>
                </c:pt>
                <c:pt idx="306">
                  <c:v>0.3656030696624209</c:v>
                </c:pt>
                <c:pt idx="307">
                  <c:v>0.36678762407058507</c:v>
                </c:pt>
                <c:pt idx="308">
                  <c:v>0.36797601643653022</c:v>
                </c:pt>
                <c:pt idx="309">
                  <c:v>0.36916825919524415</c:v>
                </c:pt>
                <c:pt idx="310">
                  <c:v>0.37036436482200441</c:v>
                </c:pt>
                <c:pt idx="311">
                  <c:v>0.37156434583250847</c:v>
                </c:pt>
                <c:pt idx="312">
                  <c:v>0.37276821478300426</c:v>
                </c:pt>
                <c:pt idx="313">
                  <c:v>0.37397598427042256</c:v>
                </c:pt>
                <c:pt idx="314">
                  <c:v>0.37518766693250771</c:v>
                </c:pt>
                <c:pt idx="315">
                  <c:v>0.37640327544795082</c:v>
                </c:pt>
                <c:pt idx="316">
                  <c:v>0.37762282253652152</c:v>
                </c:pt>
                <c:pt idx="317">
                  <c:v>0.3788463209592019</c:v>
                </c:pt>
                <c:pt idx="318">
                  <c:v>0.38007378351831939</c:v>
                </c:pt>
                <c:pt idx="319">
                  <c:v>0.381305223057681</c:v>
                </c:pt>
                <c:pt idx="320">
                  <c:v>0.38254065246270791</c:v>
                </c:pt>
                <c:pt idx="321">
                  <c:v>0.38378008466056973</c:v>
                </c:pt>
                <c:pt idx="322">
                  <c:v>0.38502353262032041</c:v>
                </c:pt>
                <c:pt idx="323">
                  <c:v>0.3862710093530336</c:v>
                </c:pt>
                <c:pt idx="324">
                  <c:v>0.38752252791193875</c:v>
                </c:pt>
                <c:pt idx="325">
                  <c:v>0.38877810139255775</c:v>
                </c:pt>
                <c:pt idx="326">
                  <c:v>0.39003774293284216</c:v>
                </c:pt>
                <c:pt idx="327">
                  <c:v>0.39130146571331048</c:v>
                </c:pt>
                <c:pt idx="328">
                  <c:v>0.39256928295718591</c:v>
                </c:pt>
                <c:pt idx="329">
                  <c:v>0.39384120793053529</c:v>
                </c:pt>
                <c:pt idx="330">
                  <c:v>0.39511725394240715</c:v>
                </c:pt>
                <c:pt idx="331">
                  <c:v>0.3963974343449716</c:v>
                </c:pt>
                <c:pt idx="332">
                  <c:v>0.39768176253365972</c:v>
                </c:pt>
                <c:pt idx="333">
                  <c:v>0.39897025194730373</c:v>
                </c:pt>
                <c:pt idx="334">
                  <c:v>0.40026291606827774</c:v>
                </c:pt>
                <c:pt idx="335">
                  <c:v>0.40155976842263891</c:v>
                </c:pt>
                <c:pt idx="336">
                  <c:v>0.40286082258026856</c:v>
                </c:pt>
                <c:pt idx="337">
                  <c:v>0.40416609215501464</c:v>
                </c:pt>
                <c:pt idx="338">
                  <c:v>0.40547559080483397</c:v>
                </c:pt>
                <c:pt idx="339">
                  <c:v>0.40678933223193514</c:v>
                </c:pt>
                <c:pt idx="340">
                  <c:v>0.40810733018292183</c:v>
                </c:pt>
                <c:pt idx="341">
                  <c:v>0.409429598448937</c:v>
                </c:pt>
                <c:pt idx="342">
                  <c:v>0.41075615086580658</c:v>
                </c:pt>
                <c:pt idx="343">
                  <c:v>0.41208700131418469</c:v>
                </c:pt>
                <c:pt idx="344">
                  <c:v>0.41342216371969909</c:v>
                </c:pt>
                <c:pt idx="345">
                  <c:v>0.41476165205309617</c:v>
                </c:pt>
                <c:pt idx="346">
                  <c:v>0.41610548033038774</c:v>
                </c:pt>
                <c:pt idx="347">
                  <c:v>0.41745366261299771</c:v>
                </c:pt>
                <c:pt idx="348">
                  <c:v>0.41880621300790855</c:v>
                </c:pt>
                <c:pt idx="349">
                  <c:v>0.42016314566780982</c:v>
                </c:pt>
                <c:pt idx="350">
                  <c:v>0.42152447479124561</c:v>
                </c:pt>
                <c:pt idx="351">
                  <c:v>0.42289021462276322</c:v>
                </c:pt>
                <c:pt idx="352">
                  <c:v>0.42426037945306261</c:v>
                </c:pt>
                <c:pt idx="353">
                  <c:v>0.4256349836191452</c:v>
                </c:pt>
                <c:pt idx="354">
                  <c:v>0.42701404150446476</c:v>
                </c:pt>
                <c:pt idx="355">
                  <c:v>0.4283975675390771</c:v>
                </c:pt>
                <c:pt idx="356">
                  <c:v>0.42978557619979157</c:v>
                </c:pt>
                <c:pt idx="357">
                  <c:v>0.43117808201032254</c:v>
                </c:pt>
                <c:pt idx="358">
                  <c:v>0.43257509954144108</c:v>
                </c:pt>
                <c:pt idx="359">
                  <c:v>0.43397664341112752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'Fuel Cost Risk Sim'!$D$202</c:f>
              <c:strCache>
                <c:ptCount val="1"/>
                <c:pt idx="0">
                  <c:v>Oil/Diesel Linked Gas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Sim'!$E$202:$MZ$202</c:f>
              <c:numCache>
                <c:formatCode>_("$"* #,##0.000_);_("$"* \(#,##0.000\);_("$"* "-"??_);_(@_)</c:formatCode>
                <c:ptCount val="360"/>
                <c:pt idx="0">
                  <c:v>0.10801478331970565</c:v>
                </c:pt>
                <c:pt idx="1">
                  <c:v>0.10825958091323214</c:v>
                </c:pt>
                <c:pt idx="2">
                  <c:v>0.10850517165127128</c:v>
                </c:pt>
                <c:pt idx="3">
                  <c:v>0.10875155810361234</c:v>
                </c:pt>
                <c:pt idx="4">
                  <c:v>0.10899874284837063</c:v>
                </c:pt>
                <c:pt idx="5">
                  <c:v>0.10924672847201461</c:v>
                </c:pt>
                <c:pt idx="6">
                  <c:v>0.10949551756939288</c:v>
                </c:pt>
                <c:pt idx="7">
                  <c:v>0.10974511274376134</c:v>
                </c:pt>
                <c:pt idx="8">
                  <c:v>0.10999551660681048</c:v>
                </c:pt>
                <c:pt idx="9">
                  <c:v>0.11024673177869265</c:v>
                </c:pt>
                <c:pt idx="10">
                  <c:v>0.11049876088804945</c:v>
                </c:pt>
                <c:pt idx="11">
                  <c:v>0.1107516065720394</c:v>
                </c:pt>
                <c:pt idx="12">
                  <c:v>0.1110052714763653</c:v>
                </c:pt>
                <c:pt idx="13">
                  <c:v>0.11125975825530209</c:v>
                </c:pt>
                <c:pt idx="14">
                  <c:v>0.11151506957172448</c:v>
                </c:pt>
                <c:pt idx="15">
                  <c:v>0.1117712080971351</c:v>
                </c:pt>
                <c:pt idx="16">
                  <c:v>0.11202817651169199</c:v>
                </c:pt>
                <c:pt idx="17">
                  <c:v>0.11228597750423712</c:v>
                </c:pt>
                <c:pt idx="18">
                  <c:v>0.11254461377232419</c:v>
                </c:pt>
                <c:pt idx="19">
                  <c:v>0.11280408802224702</c:v>
                </c:pt>
                <c:pt idx="20">
                  <c:v>0.11306440296906781</c:v>
                </c:pt>
                <c:pt idx="21">
                  <c:v>0.11332556133664555</c:v>
                </c:pt>
                <c:pt idx="22">
                  <c:v>0.11358756585766462</c:v>
                </c:pt>
                <c:pt idx="23">
                  <c:v>0.11385041927366321</c:v>
                </c:pt>
                <c:pt idx="24">
                  <c:v>0.11411412433506211</c:v>
                </c:pt>
                <c:pt idx="25">
                  <c:v>0.11437868380119351</c:v>
                </c:pt>
                <c:pt idx="26">
                  <c:v>0.11464410044032981</c:v>
                </c:pt>
                <c:pt idx="27">
                  <c:v>0.11491037702971268</c:v>
                </c:pt>
                <c:pt idx="28">
                  <c:v>0.11517751635558193</c:v>
                </c:pt>
                <c:pt idx="29">
                  <c:v>0.11544552121320492</c:v>
                </c:pt>
                <c:pt idx="30">
                  <c:v>0.1157143944069056</c:v>
                </c:pt>
                <c:pt idx="31">
                  <c:v>0.11598413875009399</c:v>
                </c:pt>
                <c:pt idx="32">
                  <c:v>0.11625475706529551</c:v>
                </c:pt>
                <c:pt idx="33">
                  <c:v>0.11652625218418057</c:v>
                </c:pt>
                <c:pt idx="34">
                  <c:v>0.11679862694759427</c:v>
                </c:pt>
                <c:pt idx="35">
                  <c:v>0.11707188420558594</c:v>
                </c:pt>
                <c:pt idx="36">
                  <c:v>0.11734602681743916</c:v>
                </c:pt>
                <c:pt idx="37">
                  <c:v>0.11762105765170154</c:v>
                </c:pt>
                <c:pt idx="38">
                  <c:v>0.11789697958621485</c:v>
                </c:pt>
                <c:pt idx="39">
                  <c:v>0.11817379550814498</c:v>
                </c:pt>
                <c:pt idx="40">
                  <c:v>0.11845150831401231</c:v>
                </c:pt>
                <c:pt idx="41">
                  <c:v>0.11873012090972195</c:v>
                </c:pt>
                <c:pt idx="42">
                  <c:v>0.1190096362105941</c:v>
                </c:pt>
                <c:pt idx="43">
                  <c:v>0.11929005714139465</c:v>
                </c:pt>
                <c:pt idx="44">
                  <c:v>0.11957138663636568</c:v>
                </c:pt>
                <c:pt idx="45">
                  <c:v>0.1198536276392563</c:v>
                </c:pt>
                <c:pt idx="46">
                  <c:v>0.1201367831033533</c:v>
                </c:pt>
                <c:pt idx="47">
                  <c:v>0.12042085599151213</c:v>
                </c:pt>
                <c:pt idx="48">
                  <c:v>0.12070584927618794</c:v>
                </c:pt>
                <c:pt idx="49">
                  <c:v>0.12099176593946658</c:v>
                </c:pt>
                <c:pt idx="50">
                  <c:v>0.12127860897309589</c:v>
                </c:pt>
                <c:pt idx="51">
                  <c:v>0.12156638137851702</c:v>
                </c:pt>
                <c:pt idx="52">
                  <c:v>0.12185508616689569</c:v>
                </c:pt>
                <c:pt idx="53">
                  <c:v>0.12214472635915392</c:v>
                </c:pt>
                <c:pt idx="54">
                  <c:v>0.12243530498600143</c:v>
                </c:pt>
                <c:pt idx="55">
                  <c:v>0.12272682508796749</c:v>
                </c:pt>
                <c:pt idx="56">
                  <c:v>0.12301928971543266</c:v>
                </c:pt>
                <c:pt idx="57">
                  <c:v>0.12331270192866077</c:v>
                </c:pt>
                <c:pt idx="58">
                  <c:v>0.12360706479783089</c:v>
                </c:pt>
                <c:pt idx="59">
                  <c:v>0.12390238140306944</c:v>
                </c:pt>
                <c:pt idx="60">
                  <c:v>0.12419865483448254</c:v>
                </c:pt>
                <c:pt idx="61">
                  <c:v>0.12449588819218817</c:v>
                </c:pt>
                <c:pt idx="62">
                  <c:v>0.12479408458634873</c:v>
                </c:pt>
                <c:pt idx="63">
                  <c:v>0.12509324713720357</c:v>
                </c:pt>
                <c:pt idx="64">
                  <c:v>0.12539337897510161</c:v>
                </c:pt>
                <c:pt idx="65">
                  <c:v>0.12569448324053406</c:v>
                </c:pt>
                <c:pt idx="66">
                  <c:v>0.1259965630841674</c:v>
                </c:pt>
                <c:pt idx="67">
                  <c:v>0.12629962166687622</c:v>
                </c:pt>
                <c:pt idx="68">
                  <c:v>0.12660366215977636</c:v>
                </c:pt>
                <c:pt idx="69">
                  <c:v>0.12690868774425806</c:v>
                </c:pt>
                <c:pt idx="70">
                  <c:v>0.12721470161201937</c:v>
                </c:pt>
                <c:pt idx="71">
                  <c:v>0.12752170696509924</c:v>
                </c:pt>
                <c:pt idx="72">
                  <c:v>0.12782970701591145</c:v>
                </c:pt>
                <c:pt idx="73">
                  <c:v>0.12813870498727789</c:v>
                </c:pt>
                <c:pt idx="74">
                  <c:v>0.12844870411246243</c:v>
                </c:pt>
                <c:pt idx="75">
                  <c:v>0.12875970763520467</c:v>
                </c:pt>
                <c:pt idx="76">
                  <c:v>0.12907171880975399</c:v>
                </c:pt>
                <c:pt idx="77">
                  <c:v>0.12938474090090354</c:v>
                </c:pt>
                <c:pt idx="78">
                  <c:v>0.12969877718402434</c:v>
                </c:pt>
                <c:pt idx="79">
                  <c:v>0.13001383094509966</c:v>
                </c:pt>
                <c:pt idx="80">
                  <c:v>0.13032990548075946</c:v>
                </c:pt>
                <c:pt idx="81">
                  <c:v>0.13064700409831453</c:v>
                </c:pt>
                <c:pt idx="82">
                  <c:v>0.13096513011579164</c:v>
                </c:pt>
                <c:pt idx="83">
                  <c:v>0.13128428686196772</c:v>
                </c:pt>
                <c:pt idx="84">
                  <c:v>0.13160447767640515</c:v>
                </c:pt>
                <c:pt idx="85">
                  <c:v>0.13192570590948635</c:v>
                </c:pt>
                <c:pt idx="86">
                  <c:v>0.13224797492244911</c:v>
                </c:pt>
                <c:pt idx="87">
                  <c:v>0.13257128808742147</c:v>
                </c:pt>
                <c:pt idx="88">
                  <c:v>0.1328956487874573</c:v>
                </c:pt>
                <c:pt idx="89">
                  <c:v>0.13322106041657156</c:v>
                </c:pt>
                <c:pt idx="90">
                  <c:v>0.13354752637977577</c:v>
                </c:pt>
                <c:pt idx="91">
                  <c:v>0.13387505009311368</c:v>
                </c:pt>
                <c:pt idx="92">
                  <c:v>0.13420363498369714</c:v>
                </c:pt>
                <c:pt idx="93">
                  <c:v>0.13453328448974172</c:v>
                </c:pt>
                <c:pt idx="94">
                  <c:v>0.13486400206060284</c:v>
                </c:pt>
                <c:pt idx="95">
                  <c:v>0.13519579115681188</c:v>
                </c:pt>
                <c:pt idx="96">
                  <c:v>0.13552865525011235</c:v>
                </c:pt>
                <c:pt idx="97">
                  <c:v>0.13586259782349613</c:v>
                </c:pt>
                <c:pt idx="98">
                  <c:v>0.13619762237124011</c:v>
                </c:pt>
                <c:pt idx="99">
                  <c:v>0.13653373239894254</c:v>
                </c:pt>
                <c:pt idx="100">
                  <c:v>0.13687093142355986</c:v>
                </c:pt>
                <c:pt idx="101">
                  <c:v>0.13720922297344348</c:v>
                </c:pt>
                <c:pt idx="102">
                  <c:v>0.13754861058837667</c:v>
                </c:pt>
                <c:pt idx="103">
                  <c:v>0.13788909781961151</c:v>
                </c:pt>
                <c:pt idx="104">
                  <c:v>0.13823068822990625</c:v>
                </c:pt>
                <c:pt idx="105">
                  <c:v>0.13857338539356243</c:v>
                </c:pt>
                <c:pt idx="106">
                  <c:v>0.13891719289646234</c:v>
                </c:pt>
                <c:pt idx="107">
                  <c:v>0.13926211433610652</c:v>
                </c:pt>
                <c:pt idx="108">
                  <c:v>0.13960815332165147</c:v>
                </c:pt>
                <c:pt idx="109">
                  <c:v>0.13995531347394727</c:v>
                </c:pt>
                <c:pt idx="110">
                  <c:v>0.14030359842557566</c:v>
                </c:pt>
                <c:pt idx="111">
                  <c:v>0.14065301182088788</c:v>
                </c:pt>
                <c:pt idx="112">
                  <c:v>0.14100355731604286</c:v>
                </c:pt>
                <c:pt idx="113">
                  <c:v>0.14135523857904556</c:v>
                </c:pt>
                <c:pt idx="114">
                  <c:v>0.14170805928978525</c:v>
                </c:pt>
                <c:pt idx="115">
                  <c:v>0.14206202314007402</c:v>
                </c:pt>
                <c:pt idx="116">
                  <c:v>0.14241713383368548</c:v>
                </c:pt>
                <c:pt idx="117">
                  <c:v>0.14277339508639342</c:v>
                </c:pt>
                <c:pt idx="118">
                  <c:v>0.14313081062601074</c:v>
                </c:pt>
                <c:pt idx="119">
                  <c:v>0.14348938419242857</c:v>
                </c:pt>
                <c:pt idx="120">
                  <c:v>0.14384911953765514</c:v>
                </c:pt>
                <c:pt idx="121">
                  <c:v>0.14421002042585529</c:v>
                </c:pt>
                <c:pt idx="122">
                  <c:v>0.14457209063338966</c:v>
                </c:pt>
                <c:pt idx="123">
                  <c:v>0.14493533394885449</c:v>
                </c:pt>
                <c:pt idx="124">
                  <c:v>0.14529975417312091</c:v>
                </c:pt>
                <c:pt idx="125">
                  <c:v>0.1456653551193749</c:v>
                </c:pt>
                <c:pt idx="126">
                  <c:v>0.14603214061315717</c:v>
                </c:pt>
                <c:pt idx="127">
                  <c:v>0.14640011449240328</c:v>
                </c:pt>
                <c:pt idx="128">
                  <c:v>0.14676928060748362</c:v>
                </c:pt>
                <c:pt idx="129">
                  <c:v>0.14713964282124375</c:v>
                </c:pt>
                <c:pt idx="130">
                  <c:v>0.14751120500904497</c:v>
                </c:pt>
                <c:pt idx="131">
                  <c:v>0.14788397105880466</c:v>
                </c:pt>
                <c:pt idx="132">
                  <c:v>0.14825794487103711</c:v>
                </c:pt>
                <c:pt idx="133">
                  <c:v>0.14863313035889419</c:v>
                </c:pt>
                <c:pt idx="134">
                  <c:v>0.14900953144820653</c:v>
                </c:pt>
                <c:pt idx="135">
                  <c:v>0.14938715207752434</c:v>
                </c:pt>
                <c:pt idx="136">
                  <c:v>0.14976599619815884</c:v>
                </c:pt>
                <c:pt idx="137">
                  <c:v>0.15014606777422337</c:v>
                </c:pt>
                <c:pt idx="138">
                  <c:v>0.15052737078267509</c:v>
                </c:pt>
                <c:pt idx="139">
                  <c:v>0.15090990921335656</c:v>
                </c:pt>
                <c:pt idx="140">
                  <c:v>0.15129368706903726</c:v>
                </c:pt>
                <c:pt idx="141">
                  <c:v>0.15167870836545588</c:v>
                </c:pt>
                <c:pt idx="142">
                  <c:v>0.15206497713136188</c:v>
                </c:pt>
                <c:pt idx="143">
                  <c:v>0.15245249740855799</c:v>
                </c:pt>
                <c:pt idx="144">
                  <c:v>0.15284127325194247</c:v>
                </c:pt>
                <c:pt idx="145">
                  <c:v>0.15323130872955121</c:v>
                </c:pt>
                <c:pt idx="146">
                  <c:v>0.1536226079226008</c:v>
                </c:pt>
                <c:pt idx="147">
                  <c:v>0.15401517492553085</c:v>
                </c:pt>
                <c:pt idx="148">
                  <c:v>0.15440901384604694</c:v>
                </c:pt>
                <c:pt idx="149">
                  <c:v>0.15480412880516364</c:v>
                </c:pt>
                <c:pt idx="150">
                  <c:v>0.1552005239372477</c:v>
                </c:pt>
                <c:pt idx="151">
                  <c:v>0.15559820339006114</c:v>
                </c:pt>
                <c:pt idx="152">
                  <c:v>0.15599717132480467</c:v>
                </c:pt>
                <c:pt idx="153">
                  <c:v>0.15639743191616151</c:v>
                </c:pt>
                <c:pt idx="154">
                  <c:v>0.15679898935234057</c:v>
                </c:pt>
                <c:pt idx="155">
                  <c:v>0.15720184783512081</c:v>
                </c:pt>
                <c:pt idx="156">
                  <c:v>0.15760601157989484</c:v>
                </c:pt>
                <c:pt idx="157">
                  <c:v>0.1580114848157132</c:v>
                </c:pt>
                <c:pt idx="158">
                  <c:v>0.15841827178532847</c:v>
                </c:pt>
                <c:pt idx="159">
                  <c:v>0.15882637674523981</c:v>
                </c:pt>
                <c:pt idx="160">
                  <c:v>0.15923580396573755</c:v>
                </c:pt>
                <c:pt idx="161">
                  <c:v>0.15964655773094755</c:v>
                </c:pt>
                <c:pt idx="162">
                  <c:v>0.16005864233887646</c:v>
                </c:pt>
                <c:pt idx="163">
                  <c:v>0.16047206210145626</c:v>
                </c:pt>
                <c:pt idx="164">
                  <c:v>0.16088682134458981</c:v>
                </c:pt>
                <c:pt idx="165">
                  <c:v>0.16130292440819571</c:v>
                </c:pt>
                <c:pt idx="166">
                  <c:v>0.16172037564625408</c:v>
                </c:pt>
                <c:pt idx="167">
                  <c:v>0.16213917942685174</c:v>
                </c:pt>
                <c:pt idx="168">
                  <c:v>0.16255934013222828</c:v>
                </c:pt>
                <c:pt idx="169">
                  <c:v>0.16298086215882174</c:v>
                </c:pt>
                <c:pt idx="170">
                  <c:v>0.16340374991731454</c:v>
                </c:pt>
                <c:pt idx="171">
                  <c:v>0.16382800783267981</c:v>
                </c:pt>
                <c:pt idx="172">
                  <c:v>0.16425364034422746</c:v>
                </c:pt>
                <c:pt idx="173">
                  <c:v>0.16468065190565095</c:v>
                </c:pt>
                <c:pt idx="174">
                  <c:v>0.16510904698507362</c:v>
                </c:pt>
                <c:pt idx="175">
                  <c:v>0.16553883006509545</c:v>
                </c:pt>
                <c:pt idx="176">
                  <c:v>0.1659700056428402</c:v>
                </c:pt>
                <c:pt idx="177">
                  <c:v>0.16640257823000226</c:v>
                </c:pt>
                <c:pt idx="178">
                  <c:v>0.16683655235289391</c:v>
                </c:pt>
                <c:pt idx="179">
                  <c:v>0.16727193255249267</c:v>
                </c:pt>
                <c:pt idx="180">
                  <c:v>0.16770872338448878</c:v>
                </c:pt>
                <c:pt idx="181">
                  <c:v>0.16814692941933312</c:v>
                </c:pt>
                <c:pt idx="182">
                  <c:v>0.16858655524228461</c:v>
                </c:pt>
                <c:pt idx="183">
                  <c:v>0.16902760545345857</c:v>
                </c:pt>
                <c:pt idx="184">
                  <c:v>0.16947008466787467</c:v>
                </c:pt>
                <c:pt idx="185">
                  <c:v>0.16991399751550518</c:v>
                </c:pt>
                <c:pt idx="186">
                  <c:v>0.17035934864132346</c:v>
                </c:pt>
                <c:pt idx="187">
                  <c:v>0.17080614270535277</c:v>
                </c:pt>
                <c:pt idx="188">
                  <c:v>0.17125438438271462</c:v>
                </c:pt>
                <c:pt idx="189">
                  <c:v>0.17170407836367824</c:v>
                </c:pt>
                <c:pt idx="190">
                  <c:v>0.17215522935370897</c:v>
                </c:pt>
                <c:pt idx="191">
                  <c:v>0.17260784207351804</c:v>
                </c:pt>
                <c:pt idx="192">
                  <c:v>0.17306192125911174</c:v>
                </c:pt>
                <c:pt idx="193">
                  <c:v>0.17351747166184128</c:v>
                </c:pt>
                <c:pt idx="194">
                  <c:v>0.17397449804845183</c:v>
                </c:pt>
                <c:pt idx="195">
                  <c:v>0.17443300520113308</c:v>
                </c:pt>
                <c:pt idx="196">
                  <c:v>0.17489299791756896</c:v>
                </c:pt>
                <c:pt idx="197">
                  <c:v>0.17535448101098799</c:v>
                </c:pt>
                <c:pt idx="198">
                  <c:v>0.17581745931021348</c:v>
                </c:pt>
                <c:pt idx="199">
                  <c:v>0.17628193765971401</c:v>
                </c:pt>
                <c:pt idx="200">
                  <c:v>0.17674792091965452</c:v>
                </c:pt>
                <c:pt idx="201">
                  <c:v>0.17721541396594664</c:v>
                </c:pt>
                <c:pt idx="202">
                  <c:v>0.17768442169030008</c:v>
                </c:pt>
                <c:pt idx="203">
                  <c:v>0.17815494900027368</c:v>
                </c:pt>
                <c:pt idx="204">
                  <c:v>0.17862700081932681</c:v>
                </c:pt>
                <c:pt idx="205">
                  <c:v>0.17910058208687069</c:v>
                </c:pt>
                <c:pt idx="206">
                  <c:v>0.1795756977583205</c:v>
                </c:pt>
                <c:pt idx="207">
                  <c:v>0.18005235280514681</c:v>
                </c:pt>
                <c:pt idx="208">
                  <c:v>0.18053055221492775</c:v>
                </c:pt>
                <c:pt idx="209">
                  <c:v>0.18101030099140125</c:v>
                </c:pt>
                <c:pt idx="210">
                  <c:v>0.18149160415451737</c:v>
                </c:pt>
                <c:pt idx="211">
                  <c:v>0.18197446674049084</c:v>
                </c:pt>
                <c:pt idx="212">
                  <c:v>0.18245889380185359</c:v>
                </c:pt>
                <c:pt idx="213">
                  <c:v>0.18294489040750794</c:v>
                </c:pt>
                <c:pt idx="214">
                  <c:v>0.18343246164277938</c:v>
                </c:pt>
                <c:pt idx="215">
                  <c:v>0.18392161260946976</c:v>
                </c:pt>
                <c:pt idx="216">
                  <c:v>0.18441234842591103</c:v>
                </c:pt>
                <c:pt idx="217">
                  <c:v>0.18490467422701828</c:v>
                </c:pt>
                <c:pt idx="218">
                  <c:v>0.18539859516434387</c:v>
                </c:pt>
                <c:pt idx="219">
                  <c:v>0.18589411640613118</c:v>
                </c:pt>
                <c:pt idx="220">
                  <c:v>0.18639124313736866</c:v>
                </c:pt>
                <c:pt idx="221">
                  <c:v>0.18688998055984418</c:v>
                </c:pt>
                <c:pt idx="222">
                  <c:v>0.18739033389219939</c:v>
                </c:pt>
                <c:pt idx="223">
                  <c:v>0.18789230836998427</c:v>
                </c:pt>
                <c:pt idx="224">
                  <c:v>0.18839590924571226</c:v>
                </c:pt>
                <c:pt idx="225">
                  <c:v>0.18890114178891459</c:v>
                </c:pt>
                <c:pt idx="226">
                  <c:v>0.18940801128619589</c:v>
                </c:pt>
                <c:pt idx="227">
                  <c:v>0.18991652304128959</c:v>
                </c:pt>
                <c:pt idx="228">
                  <c:v>0.19042668237511301</c:v>
                </c:pt>
                <c:pt idx="229">
                  <c:v>0.1909384946258233</c:v>
                </c:pt>
                <c:pt idx="230">
                  <c:v>0.19145196514887336</c:v>
                </c:pt>
                <c:pt idx="231">
                  <c:v>0.19196709931706751</c:v>
                </c:pt>
                <c:pt idx="232">
                  <c:v>0.19248390252061826</c:v>
                </c:pt>
                <c:pt idx="233">
                  <c:v>0.19300238016720223</c:v>
                </c:pt>
                <c:pt idx="234">
                  <c:v>0.19352253768201694</c:v>
                </c:pt>
                <c:pt idx="235">
                  <c:v>0.19404438050783762</c:v>
                </c:pt>
                <c:pt idx="236">
                  <c:v>0.19456791410507407</c:v>
                </c:pt>
                <c:pt idx="237">
                  <c:v>0.19509314395182775</c:v>
                </c:pt>
                <c:pt idx="238">
                  <c:v>0.19562007554394933</c:v>
                </c:pt>
                <c:pt idx="239">
                  <c:v>0.19614871439509585</c:v>
                </c:pt>
                <c:pt idx="240">
                  <c:v>0.19667906603678886</c:v>
                </c:pt>
                <c:pt idx="241">
                  <c:v>0.19721113601847173</c:v>
                </c:pt>
                <c:pt idx="242">
                  <c:v>0.19774492990756831</c:v>
                </c:pt>
                <c:pt idx="243">
                  <c:v>0.19828045328954075</c:v>
                </c:pt>
                <c:pt idx="244">
                  <c:v>0.19881771176794816</c:v>
                </c:pt>
                <c:pt idx="245">
                  <c:v>0.19935671096450525</c:v>
                </c:pt>
                <c:pt idx="246">
                  <c:v>0.19989745651914093</c:v>
                </c:pt>
                <c:pt idx="247">
                  <c:v>0.20043995409005766</c:v>
                </c:pt>
                <c:pt idx="248">
                  <c:v>0.20098420935379041</c:v>
                </c:pt>
                <c:pt idx="249">
                  <c:v>0.20153022800526604</c:v>
                </c:pt>
                <c:pt idx="250">
                  <c:v>0.20207801575786311</c:v>
                </c:pt>
                <c:pt idx="251">
                  <c:v>0.20262757834347156</c:v>
                </c:pt>
                <c:pt idx="252">
                  <c:v>0.20317892151255246</c:v>
                </c:pt>
                <c:pt idx="253">
                  <c:v>0.20373205103419861</c:v>
                </c:pt>
                <c:pt idx="254">
                  <c:v>0.20428697269619456</c:v>
                </c:pt>
                <c:pt idx="255">
                  <c:v>0.20484369230507732</c:v>
                </c:pt>
                <c:pt idx="256">
                  <c:v>0.2054022156861971</c:v>
                </c:pt>
                <c:pt idx="257">
                  <c:v>0.20596254868377811</c:v>
                </c:pt>
                <c:pt idx="258">
                  <c:v>0.2065246971609801</c:v>
                </c:pt>
                <c:pt idx="259">
                  <c:v>0.20708866699995926</c:v>
                </c:pt>
                <c:pt idx="260">
                  <c:v>0.20765446410193011</c:v>
                </c:pt>
                <c:pt idx="261">
                  <c:v>0.20822209438722711</c:v>
                </c:pt>
                <c:pt idx="262">
                  <c:v>0.20879156379536634</c:v>
                </c:pt>
                <c:pt idx="263">
                  <c:v>0.20936287828510836</c:v>
                </c:pt>
                <c:pt idx="264">
                  <c:v>0.2099360438345198</c:v>
                </c:pt>
                <c:pt idx="265">
                  <c:v>0.21051106644103634</c:v>
                </c:pt>
                <c:pt idx="266">
                  <c:v>0.21108795212152537</c:v>
                </c:pt>
                <c:pt idx="267">
                  <c:v>0.21166670691234885</c:v>
                </c:pt>
                <c:pt idx="268">
                  <c:v>0.21224733686942671</c:v>
                </c:pt>
                <c:pt idx="269">
                  <c:v>0.21282984806829996</c:v>
                </c:pt>
                <c:pt idx="270">
                  <c:v>0.21341424660419439</c:v>
                </c:pt>
                <c:pt idx="271">
                  <c:v>0.21400053859208423</c:v>
                </c:pt>
                <c:pt idx="272">
                  <c:v>0.21458873016675661</c:v>
                </c:pt>
                <c:pt idx="273">
                  <c:v>0.21517882748287487</c:v>
                </c:pt>
                <c:pt idx="274">
                  <c:v>0.21577083671504377</c:v>
                </c:pt>
                <c:pt idx="275">
                  <c:v>0.21636476405787375</c:v>
                </c:pt>
                <c:pt idx="276">
                  <c:v>0.21696061572604569</c:v>
                </c:pt>
                <c:pt idx="277">
                  <c:v>0.21755839795437631</c:v>
                </c:pt>
                <c:pt idx="278">
                  <c:v>0.21815811699788284</c:v>
                </c:pt>
                <c:pt idx="279">
                  <c:v>0.21875977913184896</c:v>
                </c:pt>
                <c:pt idx="280">
                  <c:v>0.21936339065189014</c:v>
                </c:pt>
                <c:pt idx="281">
                  <c:v>0.21996895787401977</c:v>
                </c:pt>
                <c:pt idx="282">
                  <c:v>0.22057648713471512</c:v>
                </c:pt>
                <c:pt idx="283">
                  <c:v>0.22118598479098361</c:v>
                </c:pt>
                <c:pt idx="284">
                  <c:v>0.22179745722042937</c:v>
                </c:pt>
                <c:pt idx="285">
                  <c:v>0.22241091082131992</c:v>
                </c:pt>
                <c:pt idx="286">
                  <c:v>0.22302635201265342</c:v>
                </c:pt>
                <c:pt idx="287">
                  <c:v>0.22364378723422523</c:v>
                </c:pt>
                <c:pt idx="288">
                  <c:v>0.22426322294669604</c:v>
                </c:pt>
                <c:pt idx="289">
                  <c:v>0.22488466563165871</c:v>
                </c:pt>
                <c:pt idx="290">
                  <c:v>0.22550812179170676</c:v>
                </c:pt>
                <c:pt idx="291">
                  <c:v>0.22613359795050203</c:v>
                </c:pt>
                <c:pt idx="292">
                  <c:v>0.22676110065284288</c:v>
                </c:pt>
                <c:pt idx="293">
                  <c:v>0.22739063646473312</c:v>
                </c:pt>
                <c:pt idx="294">
                  <c:v>0.22802221197345018</c:v>
                </c:pt>
                <c:pt idx="295">
                  <c:v>0.22865583378761445</c:v>
                </c:pt>
                <c:pt idx="296">
                  <c:v>0.22929150853725799</c:v>
                </c:pt>
                <c:pt idx="297">
                  <c:v>0.22992924287389443</c:v>
                </c:pt>
                <c:pt idx="298">
                  <c:v>0.23056904347058832</c:v>
                </c:pt>
                <c:pt idx="299">
                  <c:v>0.23121091702202479</c:v>
                </c:pt>
                <c:pt idx="300">
                  <c:v>0.23185487024457985</c:v>
                </c:pt>
                <c:pt idx="301">
                  <c:v>0.23250090987639049</c:v>
                </c:pt>
                <c:pt idx="302">
                  <c:v>0.23314904267742542</c:v>
                </c:pt>
                <c:pt idx="303">
                  <c:v>0.23379927542955553</c:v>
                </c:pt>
                <c:pt idx="304">
                  <c:v>0.23445161493662497</c:v>
                </c:pt>
                <c:pt idx="305">
                  <c:v>0.23510606802452255</c:v>
                </c:pt>
                <c:pt idx="306">
                  <c:v>0.2357626415412527</c:v>
                </c:pt>
                <c:pt idx="307">
                  <c:v>0.23642134235700762</c:v>
                </c:pt>
                <c:pt idx="308">
                  <c:v>0.23708217736423876</c:v>
                </c:pt>
                <c:pt idx="309">
                  <c:v>0.23774515347772923</c:v>
                </c:pt>
                <c:pt idx="310">
                  <c:v>0.23841027763466599</c:v>
                </c:pt>
                <c:pt idx="311">
                  <c:v>0.2390775567947126</c:v>
                </c:pt>
                <c:pt idx="312">
                  <c:v>0.23974699794008181</c:v>
                </c:pt>
                <c:pt idx="313">
                  <c:v>0.24041860807560878</c:v>
                </c:pt>
                <c:pt idx="314">
                  <c:v>0.24109239422882439</c:v>
                </c:pt>
                <c:pt idx="315">
                  <c:v>0.24176836345002872</c:v>
                </c:pt>
                <c:pt idx="316">
                  <c:v>0.24244652281236478</c:v>
                </c:pt>
                <c:pt idx="317">
                  <c:v>0.24312687941189265</c:v>
                </c:pt>
                <c:pt idx="318">
                  <c:v>0.24380944036766355</c:v>
                </c:pt>
                <c:pt idx="319">
                  <c:v>0.24449421282179457</c:v>
                </c:pt>
                <c:pt idx="320">
                  <c:v>0.24518120393954318</c:v>
                </c:pt>
                <c:pt idx="321">
                  <c:v>0.24587042090938221</c:v>
                </c:pt>
                <c:pt idx="322">
                  <c:v>0.24656187094307536</c:v>
                </c:pt>
                <c:pt idx="323">
                  <c:v>0.24725556127575227</c:v>
                </c:pt>
                <c:pt idx="324">
                  <c:v>0.24795149916598463</c:v>
                </c:pt>
                <c:pt idx="325">
                  <c:v>0.24864969189586156</c:v>
                </c:pt>
                <c:pt idx="326">
                  <c:v>0.24935014677106643</c:v>
                </c:pt>
                <c:pt idx="327">
                  <c:v>0.25005287112095304</c:v>
                </c:pt>
                <c:pt idx="328">
                  <c:v>0.25075787229862212</c:v>
                </c:pt>
                <c:pt idx="329">
                  <c:v>0.25146515768099859</c:v>
                </c:pt>
                <c:pt idx="330">
                  <c:v>0.25217473466890866</c:v>
                </c:pt>
                <c:pt idx="331">
                  <c:v>0.25288661068715712</c:v>
                </c:pt>
                <c:pt idx="332">
                  <c:v>0.25360079318460516</c:v>
                </c:pt>
                <c:pt idx="333">
                  <c:v>0.25431728963424832</c:v>
                </c:pt>
                <c:pt idx="334">
                  <c:v>0.25503610753329464</c:v>
                </c:pt>
                <c:pt idx="335">
                  <c:v>0.2557572544032431</c:v>
                </c:pt>
                <c:pt idx="336">
                  <c:v>0.25648073778996239</c:v>
                </c:pt>
                <c:pt idx="337">
                  <c:v>0.25720656526376984</c:v>
                </c:pt>
                <c:pt idx="338">
                  <c:v>0.25793474441951048</c:v>
                </c:pt>
                <c:pt idx="339">
                  <c:v>0.25866528287663682</c:v>
                </c:pt>
                <c:pt idx="340">
                  <c:v>0.25939818827928834</c:v>
                </c:pt>
                <c:pt idx="341">
                  <c:v>0.26013346829637152</c:v>
                </c:pt>
                <c:pt idx="342">
                  <c:v>0.26087113062164008</c:v>
                </c:pt>
                <c:pt idx="343">
                  <c:v>0.26161118297377561</c:v>
                </c:pt>
                <c:pt idx="344">
                  <c:v>0.2623536330964682</c:v>
                </c:pt>
                <c:pt idx="345">
                  <c:v>0.2630984887584974</c:v>
                </c:pt>
                <c:pt idx="346">
                  <c:v>0.2638457577538138</c:v>
                </c:pt>
                <c:pt idx="347">
                  <c:v>0.26459544790162021</c:v>
                </c:pt>
                <c:pt idx="348">
                  <c:v>0.26534756704645385</c:v>
                </c:pt>
                <c:pt idx="349">
                  <c:v>0.26610212305826808</c:v>
                </c:pt>
                <c:pt idx="350">
                  <c:v>0.26685912383251503</c:v>
                </c:pt>
                <c:pt idx="351">
                  <c:v>0.26761857729022814</c:v>
                </c:pt>
                <c:pt idx="352">
                  <c:v>0.26838049137810482</c:v>
                </c:pt>
                <c:pt idx="353">
                  <c:v>0.26914487406859006</c:v>
                </c:pt>
                <c:pt idx="354">
                  <c:v>0.26991173335995933</c:v>
                </c:pt>
                <c:pt idx="355">
                  <c:v>0.27068107727640267</c:v>
                </c:pt>
                <c:pt idx="356">
                  <c:v>0.27145291386810838</c:v>
                </c:pt>
                <c:pt idx="357">
                  <c:v>0.27222725121134761</c:v>
                </c:pt>
                <c:pt idx="358">
                  <c:v>0.27300409740855835</c:v>
                </c:pt>
                <c:pt idx="359">
                  <c:v>0.27378346058843067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'Fuel Cost Risk Sim'!$D$203</c:f>
              <c:strCache>
                <c:ptCount val="1"/>
                <c:pt idx="0">
                  <c:v>Henry Hub Linked Gas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Sim'!$E$203:$MZ$203</c:f>
              <c:numCache>
                <c:formatCode>_("$"* #,##0.000_);_("$"* \(#,##0.000\);_("$"* "-"??_);_(@_)</c:formatCode>
                <c:ptCount val="360"/>
                <c:pt idx="0">
                  <c:v>9.5661600000000013E-2</c:v>
                </c:pt>
                <c:pt idx="1">
                  <c:v>9.573028175842567E-2</c:v>
                </c:pt>
                <c:pt idx="2">
                  <c:v>9.5799186008735923E-2</c:v>
                </c:pt>
                <c:pt idx="3">
                  <c:v>9.5868313471684591E-2</c:v>
                </c:pt>
                <c:pt idx="4">
                  <c:v>9.5937664870360317E-2</c:v>
                </c:pt>
                <c:pt idx="5">
                  <c:v>9.6007240930194179E-2</c:v>
                </c:pt>
                <c:pt idx="6">
                  <c:v>9.6077042378967248E-2</c:v>
                </c:pt>
                <c:pt idx="7">
                  <c:v>9.614706994681825E-2</c:v>
                </c:pt>
                <c:pt idx="8">
                  <c:v>9.6217324366251106E-2</c:v>
                </c:pt>
                <c:pt idx="9">
                  <c:v>9.6287806372142737E-2</c:v>
                </c:pt>
                <c:pt idx="10">
                  <c:v>9.6358516701750579E-2</c:v>
                </c:pt>
                <c:pt idx="11">
                  <c:v>9.642945609472045E-2</c:v>
                </c:pt>
                <c:pt idx="12">
                  <c:v>9.6500625293094208E-2</c:v>
                </c:pt>
                <c:pt idx="13">
                  <c:v>9.6572025041317483E-2</c:v>
                </c:pt>
                <c:pt idx="14">
                  <c:v>9.6643656086247587E-2</c:v>
                </c:pt>
                <c:pt idx="15">
                  <c:v>9.6715519177161188E-2</c:v>
                </c:pt>
                <c:pt idx="16">
                  <c:v>9.6787615065762236E-2</c:v>
                </c:pt>
                <c:pt idx="17">
                  <c:v>9.6859944506189732E-2</c:v>
                </c:pt>
                <c:pt idx="18">
                  <c:v>9.6932508255025779E-2</c:v>
                </c:pt>
                <c:pt idx="19">
                  <c:v>9.7005307071303351E-2</c:v>
                </c:pt>
                <c:pt idx="20">
                  <c:v>9.7078341716514263E-2</c:v>
                </c:pt>
                <c:pt idx="21">
                  <c:v>9.7151612954617189E-2</c:v>
                </c:pt>
                <c:pt idx="22">
                  <c:v>9.7225121552045574E-2</c:v>
                </c:pt>
                <c:pt idx="23">
                  <c:v>9.7298868277715736E-2</c:v>
                </c:pt>
                <c:pt idx="24">
                  <c:v>9.7372853903034837E-2</c:v>
                </c:pt>
                <c:pt idx="25">
                  <c:v>9.7447079201909037E-2</c:v>
                </c:pt>
                <c:pt idx="26">
                  <c:v>9.7521544950751438E-2</c:v>
                </c:pt>
                <c:pt idx="27">
                  <c:v>9.7596251928490391E-2</c:v>
                </c:pt>
                <c:pt idx="28">
                  <c:v>9.7671200916577508E-2</c:v>
                </c:pt>
                <c:pt idx="29">
                  <c:v>9.7746392698995918E-2</c:v>
                </c:pt>
                <c:pt idx="30">
                  <c:v>9.7821828062268384E-2</c:v>
                </c:pt>
                <c:pt idx="31">
                  <c:v>9.7897507795465619E-2</c:v>
                </c:pt>
                <c:pt idx="32">
                  <c:v>9.797343269021451E-2</c:v>
                </c:pt>
                <c:pt idx="33">
                  <c:v>9.804960354070634E-2</c:v>
                </c:pt>
                <c:pt idx="34">
                  <c:v>9.8126021143705167E-2</c:v>
                </c:pt>
                <c:pt idx="35">
                  <c:v>9.8202686298556149E-2</c:v>
                </c:pt>
                <c:pt idx="36">
                  <c:v>9.827959980719389E-2</c:v>
                </c:pt>
                <c:pt idx="37">
                  <c:v>9.8356762474150802E-2</c:v>
                </c:pt>
                <c:pt idx="38">
                  <c:v>9.8434175106565575E-2</c:v>
                </c:pt>
                <c:pt idx="39">
                  <c:v>9.8511838514191596E-2</c:v>
                </c:pt>
                <c:pt idx="40">
                  <c:v>9.8589753509405395E-2</c:v>
                </c:pt>
                <c:pt idx="41">
                  <c:v>9.8667920907215184E-2</c:v>
                </c:pt>
                <c:pt idx="42">
                  <c:v>9.8746341525269343E-2</c:v>
                </c:pt>
                <c:pt idx="43">
                  <c:v>9.8825016183865008E-2</c:v>
                </c:pt>
                <c:pt idx="44">
                  <c:v>9.890394570595662E-2</c:v>
                </c:pt>
                <c:pt idx="45">
                  <c:v>9.8983130917164569E-2</c:v>
                </c:pt>
                <c:pt idx="46">
                  <c:v>9.9062572645783817E-2</c:v>
                </c:pt>
                <c:pt idx="47">
                  <c:v>9.914227172279251E-2</c:v>
                </c:pt>
                <c:pt idx="48">
                  <c:v>9.9222228981860755E-2</c:v>
                </c:pt>
                <c:pt idx="49">
                  <c:v>9.9302445259359315E-2</c:v>
                </c:pt>
                <c:pt idx="50">
                  <c:v>9.9382921394368287E-2</c:v>
                </c:pt>
                <c:pt idx="51">
                  <c:v>9.9463658228685969E-2</c:v>
                </c:pt>
                <c:pt idx="52">
                  <c:v>9.9544656606837645E-2</c:v>
                </c:pt>
                <c:pt idx="53">
                  <c:v>9.962591737608438E-2</c:v>
                </c:pt>
                <c:pt idx="54">
                  <c:v>9.9707441386431922E-2</c:v>
                </c:pt>
                <c:pt idx="55">
                  <c:v>9.9789229490639592E-2</c:v>
                </c:pt>
                <c:pt idx="56">
                  <c:v>9.987128254422914E-2</c:v>
                </c:pt>
                <c:pt idx="57">
                  <c:v>9.9953601405493822E-2</c:v>
                </c:pt>
                <c:pt idx="58">
                  <c:v>0.10003618693550724</c:v>
                </c:pt>
                <c:pt idx="59">
                  <c:v>0.1001190399981324</c:v>
                </c:pt>
                <c:pt idx="60">
                  <c:v>0.10020216146003089</c:v>
                </c:pt>
                <c:pt idx="61">
                  <c:v>0.1002855521906716</c:v>
                </c:pt>
                <c:pt idx="62">
                  <c:v>0.10036921306234019</c:v>
                </c:pt>
                <c:pt idx="63">
                  <c:v>0.10045314495014804</c:v>
                </c:pt>
                <c:pt idx="64">
                  <c:v>0.10053734873204136</c:v>
                </c:pt>
                <c:pt idx="65">
                  <c:v>0.10062182528881047</c:v>
                </c:pt>
                <c:pt idx="66">
                  <c:v>0.10070657550409898</c:v>
                </c:pt>
                <c:pt idx="67">
                  <c:v>0.10079160026441297</c:v>
                </c:pt>
                <c:pt idx="68">
                  <c:v>0.10087690045913045</c:v>
                </c:pt>
                <c:pt idx="69">
                  <c:v>0.10096247698051038</c:v>
                </c:pt>
                <c:pt idx="70">
                  <c:v>0.10104833072370227</c:v>
                </c:pt>
                <c:pt idx="71">
                  <c:v>0.10113446258675539</c:v>
                </c:pt>
                <c:pt idx="72">
                  <c:v>0.10122087347062822</c:v>
                </c:pt>
                <c:pt idx="73">
                  <c:v>0.10130756427919783</c:v>
                </c:pt>
                <c:pt idx="74">
                  <c:v>0.1013945359192694</c:v>
                </c:pt>
                <c:pt idx="75">
                  <c:v>0.10148178930058564</c:v>
                </c:pt>
                <c:pt idx="76">
                  <c:v>0.10156932533583639</c:v>
                </c:pt>
                <c:pt idx="77">
                  <c:v>0.10165714494066803</c:v>
                </c:pt>
                <c:pt idx="78">
                  <c:v>0.10174524903369322</c:v>
                </c:pt>
                <c:pt idx="79">
                  <c:v>0.10183363853650039</c:v>
                </c:pt>
                <c:pt idx="80">
                  <c:v>0.10192231437366339</c:v>
                </c:pt>
                <c:pt idx="81">
                  <c:v>0.10201127747275128</c:v>
                </c:pt>
                <c:pt idx="82">
                  <c:v>0.10210052876433785</c:v>
                </c:pt>
                <c:pt idx="83">
                  <c:v>0.10219006918201154</c:v>
                </c:pt>
                <c:pt idx="84">
                  <c:v>0.10227989966238499</c:v>
                </c:pt>
                <c:pt idx="85">
                  <c:v>0.10237002114510506</c:v>
                </c:pt>
                <c:pt idx="86">
                  <c:v>0.10246043457286257</c:v>
                </c:pt>
                <c:pt idx="87">
                  <c:v>0.10255114089140206</c:v>
                </c:pt>
                <c:pt idx="88">
                  <c:v>0.10264214104953186</c:v>
                </c:pt>
                <c:pt idx="89">
                  <c:v>0.10273343599913387</c:v>
                </c:pt>
                <c:pt idx="90">
                  <c:v>0.1028250266951736</c:v>
                </c:pt>
                <c:pt idx="91">
                  <c:v>0.10291691409571015</c:v>
                </c:pt>
                <c:pt idx="92">
                  <c:v>0.10300909916190618</c:v>
                </c:pt>
                <c:pt idx="93">
                  <c:v>0.103101582858038</c:v>
                </c:pt>
                <c:pt idx="94">
                  <c:v>0.10319436615150568</c:v>
                </c:pt>
                <c:pt idx="95">
                  <c:v>0.10328745001284315</c:v>
                </c:pt>
                <c:pt idx="96">
                  <c:v>0.1033808354157283</c:v>
                </c:pt>
                <c:pt idx="97">
                  <c:v>0.10347452333699327</c:v>
                </c:pt>
                <c:pt idx="98">
                  <c:v>0.10356851475663459</c:v>
                </c:pt>
                <c:pt idx="99">
                  <c:v>0.10366281065782341</c:v>
                </c:pt>
                <c:pt idx="100">
                  <c:v>0.10375741202691591</c:v>
                </c:pt>
                <c:pt idx="101">
                  <c:v>0.10385231985346342</c:v>
                </c:pt>
                <c:pt idx="102">
                  <c:v>0.10394753513022298</c:v>
                </c:pt>
                <c:pt idx="103">
                  <c:v>0.10404305885316757</c:v>
                </c:pt>
                <c:pt idx="104">
                  <c:v>0.10413889202149665</c:v>
                </c:pt>
                <c:pt idx="105">
                  <c:v>0.10423503563764647</c:v>
                </c:pt>
                <c:pt idx="106">
                  <c:v>0.10433149070730068</c:v>
                </c:pt>
                <c:pt idx="107">
                  <c:v>0.10442825823940076</c:v>
                </c:pt>
                <c:pt idx="108">
                  <c:v>0.10452533924615669</c:v>
                </c:pt>
                <c:pt idx="109">
                  <c:v>0.1046227347430574</c:v>
                </c:pt>
                <c:pt idx="110">
                  <c:v>0.10472044574888149</c:v>
                </c:pt>
                <c:pt idx="111">
                  <c:v>0.10481847328570787</c:v>
                </c:pt>
                <c:pt idx="112">
                  <c:v>0.10491681837892633</c:v>
                </c:pt>
                <c:pt idx="113">
                  <c:v>0.10501548205724853</c:v>
                </c:pt>
                <c:pt idx="114">
                  <c:v>0.10511446535271848</c:v>
                </c:pt>
                <c:pt idx="115">
                  <c:v>0.10521376930072351</c:v>
                </c:pt>
                <c:pt idx="116">
                  <c:v>0.10531339494000504</c:v>
                </c:pt>
                <c:pt idx="117">
                  <c:v>0.1054133433126694</c:v>
                </c:pt>
                <c:pt idx="118">
                  <c:v>0.10551361546419889</c:v>
                </c:pt>
                <c:pt idx="119">
                  <c:v>0.10561421244346252</c:v>
                </c:pt>
                <c:pt idx="120">
                  <c:v>0.1057151353027271</c:v>
                </c:pt>
                <c:pt idx="121">
                  <c:v>0.10581638509766821</c:v>
                </c:pt>
                <c:pt idx="122">
                  <c:v>0.10591796288738123</c:v>
                </c:pt>
                <c:pt idx="123">
                  <c:v>0.10601986973439255</c:v>
                </c:pt>
                <c:pt idx="124">
                  <c:v>0.1061221067046704</c:v>
                </c:pt>
                <c:pt idx="125">
                  <c:v>0.10622467486763629</c:v>
                </c:pt>
                <c:pt idx="126">
                  <c:v>0.10632757529617608</c:v>
                </c:pt>
                <c:pt idx="127">
                  <c:v>0.10643080906665112</c:v>
                </c:pt>
                <c:pt idx="128">
                  <c:v>0.10653437725890967</c:v>
                </c:pt>
                <c:pt idx="129">
                  <c:v>0.10663828095629808</c:v>
                </c:pt>
                <c:pt idx="130">
                  <c:v>0.10674252124567217</c:v>
                </c:pt>
                <c:pt idx="131">
                  <c:v>0.10684709921740859</c:v>
                </c:pt>
                <c:pt idx="132">
                  <c:v>0.10695201596541619</c:v>
                </c:pt>
                <c:pt idx="133">
                  <c:v>0.10705727258714756</c:v>
                </c:pt>
                <c:pt idx="134">
                  <c:v>0.10716287018361037</c:v>
                </c:pt>
                <c:pt idx="135">
                  <c:v>0.10726880985937902</c:v>
                </c:pt>
                <c:pt idx="136">
                  <c:v>0.10737509272260612</c:v>
                </c:pt>
                <c:pt idx="137">
                  <c:v>0.10748171988503406</c:v>
                </c:pt>
                <c:pt idx="138">
                  <c:v>0.10758869246200674</c:v>
                </c:pt>
                <c:pt idx="139">
                  <c:v>0.10769601157248113</c:v>
                </c:pt>
                <c:pt idx="140">
                  <c:v>0.10780367833903902</c:v>
                </c:pt>
                <c:pt idx="141">
                  <c:v>0.10791169388789877</c:v>
                </c:pt>
                <c:pt idx="142">
                  <c:v>0.1080200593489271</c:v>
                </c:pt>
                <c:pt idx="143">
                  <c:v>0.10812877585565084</c:v>
                </c:pt>
                <c:pt idx="144">
                  <c:v>0.10823784454526889</c:v>
                </c:pt>
                <c:pt idx="145">
                  <c:v>0.108347266558664</c:v>
                </c:pt>
                <c:pt idx="146">
                  <c:v>0.10845704304041483</c:v>
                </c:pt>
                <c:pt idx="147">
                  <c:v>0.10856717513880781</c:v>
                </c:pt>
                <c:pt idx="148">
                  <c:v>0.10867766400584924</c:v>
                </c:pt>
                <c:pt idx="149">
                  <c:v>0.10878851079727728</c:v>
                </c:pt>
                <c:pt idx="150">
                  <c:v>0.108899716672574</c:v>
                </c:pt>
                <c:pt idx="151">
                  <c:v>0.1090112827949777</c:v>
                </c:pt>
                <c:pt idx="152">
                  <c:v>0.10912321033149483</c:v>
                </c:pt>
                <c:pt idx="153">
                  <c:v>0.10923550045291236</c:v>
                </c:pt>
                <c:pt idx="154">
                  <c:v>0.10934815433380995</c:v>
                </c:pt>
                <c:pt idx="155">
                  <c:v>0.10946117315257232</c:v>
                </c:pt>
                <c:pt idx="156">
                  <c:v>0.10957455809140146</c:v>
                </c:pt>
                <c:pt idx="157">
                  <c:v>0.1096883103363291</c:v>
                </c:pt>
                <c:pt idx="158">
                  <c:v>0.10980243107722903</c:v>
                </c:pt>
                <c:pt idx="159">
                  <c:v>0.10991692150782967</c:v>
                </c:pt>
                <c:pt idx="160">
                  <c:v>0.11003178282572634</c:v>
                </c:pt>
                <c:pt idx="161">
                  <c:v>0.11014701623239409</c:v>
                </c:pt>
                <c:pt idx="162">
                  <c:v>0.11026262293319998</c:v>
                </c:pt>
                <c:pt idx="163">
                  <c:v>0.11037860413741586</c:v>
                </c:pt>
                <c:pt idx="164">
                  <c:v>0.11049496105823094</c:v>
                </c:pt>
                <c:pt idx="165">
                  <c:v>0.11061169491276454</c:v>
                </c:pt>
                <c:pt idx="166">
                  <c:v>0.1107288069220788</c:v>
                </c:pt>
                <c:pt idx="167">
                  <c:v>0.11084629831119137</c:v>
                </c:pt>
                <c:pt idx="168">
                  <c:v>0.11096417030908841</c:v>
                </c:pt>
                <c:pt idx="169">
                  <c:v>0.1110824241487372</c:v>
                </c:pt>
                <c:pt idx="170">
                  <c:v>0.1112010610670993</c:v>
                </c:pt>
                <c:pt idx="171">
                  <c:v>0.11132008230514329</c:v>
                </c:pt>
                <c:pt idx="172">
                  <c:v>0.11143948910785781</c:v>
                </c:pt>
                <c:pt idx="173">
                  <c:v>0.1115592827242646</c:v>
                </c:pt>
                <c:pt idx="174">
                  <c:v>0.11167946440743161</c:v>
                </c:pt>
                <c:pt idx="175">
                  <c:v>0.11180003541448598</c:v>
                </c:pt>
                <c:pt idx="176">
                  <c:v>0.1119209970066273</c:v>
                </c:pt>
                <c:pt idx="177">
                  <c:v>0.11204235044914078</c:v>
                </c:pt>
                <c:pt idx="178">
                  <c:v>0.11216409701141045</c:v>
                </c:pt>
                <c:pt idx="179">
                  <c:v>0.11228623796693246</c:v>
                </c:pt>
                <c:pt idx="180">
                  <c:v>0.11240877459332842</c:v>
                </c:pt>
                <c:pt idx="181">
                  <c:v>0.11253170817235875</c:v>
                </c:pt>
                <c:pt idx="182">
                  <c:v>0.11265503998993602</c:v>
                </c:pt>
                <c:pt idx="183">
                  <c:v>0.11277877133613855</c:v>
                </c:pt>
                <c:pt idx="184">
                  <c:v>0.11290290350522375</c:v>
                </c:pt>
                <c:pt idx="185">
                  <c:v>0.11302743779564178</c:v>
                </c:pt>
                <c:pt idx="186">
                  <c:v>0.11315237551004906</c:v>
                </c:pt>
                <c:pt idx="187">
                  <c:v>0.11327771795532188</c:v>
                </c:pt>
                <c:pt idx="188">
                  <c:v>0.11340346644257016</c:v>
                </c:pt>
                <c:pt idx="189">
                  <c:v>0.11352962228715108</c:v>
                </c:pt>
                <c:pt idx="190">
                  <c:v>0.11365618680868285</c:v>
                </c:pt>
                <c:pt idx="191">
                  <c:v>0.11378316133105859</c:v>
                </c:pt>
                <c:pt idx="192">
                  <c:v>0.11391054718246005</c:v>
                </c:pt>
                <c:pt idx="193">
                  <c:v>0.11403834569537162</c:v>
                </c:pt>
                <c:pt idx="194">
                  <c:v>0.1141665582065942</c:v>
                </c:pt>
                <c:pt idx="195">
                  <c:v>0.11429518605725926</c:v>
                </c:pt>
                <c:pt idx="196">
                  <c:v>0.11442423059284271</c:v>
                </c:pt>
                <c:pt idx="197">
                  <c:v>0.11455369316317916</c:v>
                </c:pt>
                <c:pt idx="198">
                  <c:v>0.11468357512247591</c:v>
                </c:pt>
                <c:pt idx="199">
                  <c:v>0.11481387782932724</c:v>
                </c:pt>
                <c:pt idx="200">
                  <c:v>0.1149446026467284</c:v>
                </c:pt>
                <c:pt idx="201">
                  <c:v>0.11507575094209015</c:v>
                </c:pt>
                <c:pt idx="202">
                  <c:v>0.11520732408725287</c:v>
                </c:pt>
                <c:pt idx="203">
                  <c:v>0.11533932345850093</c:v>
                </c:pt>
                <c:pt idx="204">
                  <c:v>0.11547175043657718</c:v>
                </c:pt>
                <c:pt idx="205">
                  <c:v>0.1156046064066973</c:v>
                </c:pt>
                <c:pt idx="206">
                  <c:v>0.11573789275856433</c:v>
                </c:pt>
                <c:pt idx="207">
                  <c:v>0.11587161088638318</c:v>
                </c:pt>
                <c:pt idx="208">
                  <c:v>0.11600576218887525</c:v>
                </c:pt>
                <c:pt idx="209">
                  <c:v>0.11614034806929309</c:v>
                </c:pt>
                <c:pt idx="210">
                  <c:v>0.11627536993543493</c:v>
                </c:pt>
                <c:pt idx="211">
                  <c:v>0.11641082919965959</c:v>
                </c:pt>
                <c:pt idx="212">
                  <c:v>0.11654672727890111</c:v>
                </c:pt>
                <c:pt idx="213">
                  <c:v>0.11668306559468371</c:v>
                </c:pt>
                <c:pt idx="214">
                  <c:v>0.11681984557313653</c:v>
                </c:pt>
                <c:pt idx="215">
                  <c:v>0.11695706864500859</c:v>
                </c:pt>
                <c:pt idx="216">
                  <c:v>0.11709473624568378</c:v>
                </c:pt>
                <c:pt idx="217">
                  <c:v>0.1172328498151959</c:v>
                </c:pt>
                <c:pt idx="218">
                  <c:v>0.11737141079824363</c:v>
                </c:pt>
                <c:pt idx="219">
                  <c:v>0.11751042064420569</c:v>
                </c:pt>
                <c:pt idx="220">
                  <c:v>0.11764988080715608</c:v>
                </c:pt>
                <c:pt idx="221">
                  <c:v>0.11778979274587913</c:v>
                </c:pt>
                <c:pt idx="222">
                  <c:v>0.11793015792388488</c:v>
                </c:pt>
                <c:pt idx="223">
                  <c:v>0.11807097780942435</c:v>
                </c:pt>
                <c:pt idx="224">
                  <c:v>0.11821225387550492</c:v>
                </c:pt>
                <c:pt idx="225">
                  <c:v>0.11835398759990573</c:v>
                </c:pt>
                <c:pt idx="226">
                  <c:v>0.11849618046519304</c:v>
                </c:pt>
                <c:pt idx="227">
                  <c:v>0.11863883395873596</c:v>
                </c:pt>
                <c:pt idx="228">
                  <c:v>0.11878194957272177</c:v>
                </c:pt>
                <c:pt idx="229">
                  <c:v>0.11892552880417168</c:v>
                </c:pt>
                <c:pt idx="230">
                  <c:v>0.11906957315495641</c:v>
                </c:pt>
                <c:pt idx="231">
                  <c:v>0.11921408413181198</c:v>
                </c:pt>
                <c:pt idx="232">
                  <c:v>0.11935906324635537</c:v>
                </c:pt>
                <c:pt idx="233">
                  <c:v>0.11950451201510041</c:v>
                </c:pt>
                <c:pt idx="234">
                  <c:v>0.11965043195947363</c:v>
                </c:pt>
                <c:pt idx="235">
                  <c:v>0.11979682460583013</c:v>
                </c:pt>
                <c:pt idx="236">
                  <c:v>0.11994369148546961</c:v>
                </c:pt>
                <c:pt idx="237">
                  <c:v>0.12009103413465234</c:v>
                </c:pt>
                <c:pt idx="238">
                  <c:v>0.12023885409461525</c:v>
                </c:pt>
                <c:pt idx="239">
                  <c:v>0.12038715291158802</c:v>
                </c:pt>
                <c:pt idx="240">
                  <c:v>0.12053593213680935</c:v>
                </c:pt>
                <c:pt idx="241">
                  <c:v>0.12068519332654304</c:v>
                </c:pt>
                <c:pt idx="242">
                  <c:v>0.12083493804209439</c:v>
                </c:pt>
                <c:pt idx="243">
                  <c:v>0.12098516784982646</c:v>
                </c:pt>
                <c:pt idx="244">
                  <c:v>0.12113588432117653</c:v>
                </c:pt>
                <c:pt idx="245">
                  <c:v>0.12128708903267242</c:v>
                </c:pt>
                <c:pt idx="246">
                  <c:v>0.12143878356594912</c:v>
                </c:pt>
                <c:pt idx="247">
                  <c:v>0.1215909695077652</c:v>
                </c:pt>
                <c:pt idx="248">
                  <c:v>0.12174364845001956</c:v>
                </c:pt>
                <c:pt idx="249">
                  <c:v>0.12189682198976788</c:v>
                </c:pt>
                <c:pt idx="250">
                  <c:v>0.12205049172923955</c:v>
                </c:pt>
                <c:pt idx="251">
                  <c:v>0.12220465927585429</c:v>
                </c:pt>
                <c:pt idx="252">
                  <c:v>0.12235932624223889</c:v>
                </c:pt>
                <c:pt idx="253">
                  <c:v>0.12251449424624432</c:v>
                </c:pt>
                <c:pt idx="254">
                  <c:v>0.12267016491096246</c:v>
                </c:pt>
                <c:pt idx="255">
                  <c:v>0.12282633986474313</c:v>
                </c:pt>
                <c:pt idx="256">
                  <c:v>0.12298302074121115</c:v>
                </c:pt>
                <c:pt idx="257">
                  <c:v>0.12314020917928334</c:v>
                </c:pt>
                <c:pt idx="258">
                  <c:v>0.1232979068231858</c:v>
                </c:pt>
                <c:pt idx="259">
                  <c:v>0.123456115322471</c:v>
                </c:pt>
                <c:pt idx="260">
                  <c:v>0.1236148363320351</c:v>
                </c:pt>
                <c:pt idx="261">
                  <c:v>0.12377407151213519</c:v>
                </c:pt>
                <c:pt idx="262">
                  <c:v>0.12393382252840672</c:v>
                </c:pt>
                <c:pt idx="263">
                  <c:v>0.12409409105188092</c:v>
                </c:pt>
                <c:pt idx="264">
                  <c:v>0.12425487875900219</c:v>
                </c:pt>
                <c:pt idx="265">
                  <c:v>0.12441618733164583</c:v>
                </c:pt>
                <c:pt idx="266">
                  <c:v>0.1245780184571354</c:v>
                </c:pt>
                <c:pt idx="267">
                  <c:v>0.12474037382826049</c:v>
                </c:pt>
                <c:pt idx="268">
                  <c:v>0.12490325514329449</c:v>
                </c:pt>
                <c:pt idx="269">
                  <c:v>0.12506666410601219</c:v>
                </c:pt>
                <c:pt idx="270">
                  <c:v>0.1252306024257078</c:v>
                </c:pt>
                <c:pt idx="271">
                  <c:v>0.1253950718172126</c:v>
                </c:pt>
                <c:pt idx="272">
                  <c:v>0.12556007400091307</c:v>
                </c:pt>
                <c:pt idx="273">
                  <c:v>0.12572561070276878</c:v>
                </c:pt>
                <c:pt idx="274">
                  <c:v>0.12589168365433054</c:v>
                </c:pt>
                <c:pt idx="275">
                  <c:v>0.12605829459275839</c:v>
                </c:pt>
                <c:pt idx="276">
                  <c:v>0.12622544526083984</c:v>
                </c:pt>
                <c:pt idx="277">
                  <c:v>0.12639313740700819</c:v>
                </c:pt>
                <c:pt idx="278">
                  <c:v>0.12656137278536053</c:v>
                </c:pt>
                <c:pt idx="279">
                  <c:v>0.12673015315567643</c:v>
                </c:pt>
                <c:pt idx="280">
                  <c:v>0.12689948028343617</c:v>
                </c:pt>
                <c:pt idx="281">
                  <c:v>0.1270693559398392</c:v>
                </c:pt>
                <c:pt idx="282">
                  <c:v>0.12723978190182272</c:v>
                </c:pt>
                <c:pt idx="283">
                  <c:v>0.12741075995208029</c:v>
                </c:pt>
                <c:pt idx="284">
                  <c:v>0.12758229187908032</c:v>
                </c:pt>
                <c:pt idx="285">
                  <c:v>0.12775437947708504</c:v>
                </c:pt>
                <c:pt idx="286">
                  <c:v>0.127927024546169</c:v>
                </c:pt>
                <c:pt idx="287">
                  <c:v>0.12810022889223815</c:v>
                </c:pt>
                <c:pt idx="288">
                  <c:v>0.12827399432704845</c:v>
                </c:pt>
                <c:pt idx="289">
                  <c:v>0.12844832266822509</c:v>
                </c:pt>
                <c:pt idx="290">
                  <c:v>0.12862321573928132</c:v>
                </c:pt>
                <c:pt idx="291">
                  <c:v>0.12879867536963763</c:v>
                </c:pt>
                <c:pt idx="292">
                  <c:v>0.12897470339464087</c:v>
                </c:pt>
                <c:pt idx="293">
                  <c:v>0.12915130165558331</c:v>
                </c:pt>
                <c:pt idx="294">
                  <c:v>0.12932847199972214</c:v>
                </c:pt>
                <c:pt idx="295">
                  <c:v>0.12950621628029862</c:v>
                </c:pt>
                <c:pt idx="296">
                  <c:v>0.12968453635655752</c:v>
                </c:pt>
                <c:pt idx="297">
                  <c:v>0.12986343409376652</c:v>
                </c:pt>
                <c:pt idx="298">
                  <c:v>0.13004291136323581</c:v>
                </c:pt>
                <c:pt idx="299">
                  <c:v>0.13022297004233763</c:v>
                </c:pt>
                <c:pt idx="300">
                  <c:v>0.13040361201452585</c:v>
                </c:pt>
                <c:pt idx="301">
                  <c:v>0.1305848391693557</c:v>
                </c:pt>
                <c:pt idx="302">
                  <c:v>0.13076665340250365</c:v>
                </c:pt>
                <c:pt idx="303">
                  <c:v>0.13094905661578701</c:v>
                </c:pt>
                <c:pt idx="304">
                  <c:v>0.13113205071718403</c:v>
                </c:pt>
                <c:pt idx="305">
                  <c:v>0.1313156376208538</c:v>
                </c:pt>
                <c:pt idx="306">
                  <c:v>0.13149981924715617</c:v>
                </c:pt>
                <c:pt idx="307">
                  <c:v>0.13168459752267203</c:v>
                </c:pt>
                <c:pt idx="308">
                  <c:v>0.13186997438022327</c:v>
                </c:pt>
                <c:pt idx="309">
                  <c:v>0.13205595175889309</c:v>
                </c:pt>
                <c:pt idx="310">
                  <c:v>0.13224253160404631</c:v>
                </c:pt>
                <c:pt idx="311">
                  <c:v>0.1324297158673497</c:v>
                </c:pt>
                <c:pt idx="312">
                  <c:v>0.13261750650679227</c:v>
                </c:pt>
                <c:pt idx="313">
                  <c:v>0.13280590548670601</c:v>
                </c:pt>
                <c:pt idx="314">
                  <c:v>0.13299491477778613</c:v>
                </c:pt>
                <c:pt idx="315">
                  <c:v>0.13318453635711197</c:v>
                </c:pt>
                <c:pt idx="316">
                  <c:v>0.13337477220816746</c:v>
                </c:pt>
                <c:pt idx="317">
                  <c:v>0.133565624320862</c:v>
                </c:pt>
                <c:pt idx="318">
                  <c:v>0.13375709469155123</c:v>
                </c:pt>
                <c:pt idx="319">
                  <c:v>0.13394918532305772</c:v>
                </c:pt>
                <c:pt idx="320">
                  <c:v>0.13414189822469241</c:v>
                </c:pt>
                <c:pt idx="321">
                  <c:v>0.13433523541227513</c:v>
                </c:pt>
                <c:pt idx="322">
                  <c:v>0.1345291989081559</c:v>
                </c:pt>
                <c:pt idx="323">
                  <c:v>0.13472379074123611</c:v>
                </c:pt>
                <c:pt idx="324">
                  <c:v>0.13491901294698966</c:v>
                </c:pt>
                <c:pt idx="325">
                  <c:v>0.13511486756748431</c:v>
                </c:pt>
                <c:pt idx="326">
                  <c:v>0.13531135665140301</c:v>
                </c:pt>
                <c:pt idx="327">
                  <c:v>0.13550848225406537</c:v>
                </c:pt>
                <c:pt idx="328">
                  <c:v>0.13570624643744902</c:v>
                </c:pt>
                <c:pt idx="329">
                  <c:v>0.13590465127021145</c:v>
                </c:pt>
                <c:pt idx="330">
                  <c:v>0.13610369882771134</c:v>
                </c:pt>
                <c:pt idx="331">
                  <c:v>0.13630339119203053</c:v>
                </c:pt>
                <c:pt idx="332">
                  <c:v>0.1365037304519956</c:v>
                </c:pt>
                <c:pt idx="333">
                  <c:v>0.13670471870319978</c:v>
                </c:pt>
                <c:pt idx="334">
                  <c:v>0.13690635804802503</c:v>
                </c:pt>
                <c:pt idx="335">
                  <c:v>0.13710865059566374</c:v>
                </c:pt>
                <c:pt idx="336">
                  <c:v>0.13731159846214108</c:v>
                </c:pt>
                <c:pt idx="337">
                  <c:v>0.13751520377033682</c:v>
                </c:pt>
                <c:pt idx="338">
                  <c:v>0.137719468650008</c:v>
                </c:pt>
                <c:pt idx="339">
                  <c:v>0.13792439523781061</c:v>
                </c:pt>
                <c:pt idx="340">
                  <c:v>0.13812998567732243</c:v>
                </c:pt>
                <c:pt idx="341">
                  <c:v>0.13833624211906531</c:v>
                </c:pt>
                <c:pt idx="342">
                  <c:v>0.13854316672052752</c:v>
                </c:pt>
                <c:pt idx="343">
                  <c:v>0.13875076164618647</c:v>
                </c:pt>
                <c:pt idx="344">
                  <c:v>0.13895902906753135</c:v>
                </c:pt>
                <c:pt idx="345">
                  <c:v>0.13916797116308577</c:v>
                </c:pt>
                <c:pt idx="346">
                  <c:v>0.13937759011843054</c:v>
                </c:pt>
                <c:pt idx="347">
                  <c:v>0.13958788812622669</c:v>
                </c:pt>
                <c:pt idx="348">
                  <c:v>0.13979886738623815</c:v>
                </c:pt>
                <c:pt idx="349">
                  <c:v>0.14001053010535502</c:v>
                </c:pt>
                <c:pt idx="350">
                  <c:v>0.14022287849761644</c:v>
                </c:pt>
                <c:pt idx="351">
                  <c:v>0.14043591478423398</c:v>
                </c:pt>
                <c:pt idx="352">
                  <c:v>0.14064964119361456</c:v>
                </c:pt>
                <c:pt idx="353">
                  <c:v>0.14086405996138401</c:v>
                </c:pt>
                <c:pt idx="354">
                  <c:v>0.14107917333041048</c:v>
                </c:pt>
                <c:pt idx="355">
                  <c:v>0.14129498355082765</c:v>
                </c:pt>
                <c:pt idx="356">
                  <c:v>0.14151149288005851</c:v>
                </c:pt>
                <c:pt idx="357">
                  <c:v>0.1417287035828389</c:v>
                </c:pt>
                <c:pt idx="358">
                  <c:v>0.14194661793124111</c:v>
                </c:pt>
                <c:pt idx="359">
                  <c:v>0.14216523820469779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'Fuel Cost Risk Sim'!$D$204</c:f>
              <c:strCache>
                <c:ptCount val="1"/>
                <c:pt idx="0">
                  <c:v>RE PPA Weighted Avg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Sim'!$E$204:$MZ$204</c:f>
              <c:numCache>
                <c:formatCode>_("$"* #,##0.000_);_("$"* \(#,##0.000\);_("$"* "-"??_);_(@_)</c:formatCode>
                <c:ptCount val="360"/>
                <c:pt idx="0">
                  <c:v>0.13041437928067065</c:v>
                </c:pt>
                <c:pt idx="1">
                  <c:v>0.13041437928067065</c:v>
                </c:pt>
                <c:pt idx="2">
                  <c:v>0.13041437928067065</c:v>
                </c:pt>
                <c:pt idx="3">
                  <c:v>0.13041437928067065</c:v>
                </c:pt>
                <c:pt idx="4">
                  <c:v>0.13041437928067065</c:v>
                </c:pt>
                <c:pt idx="5">
                  <c:v>0.13041437928067065</c:v>
                </c:pt>
                <c:pt idx="6">
                  <c:v>0.13041437928067065</c:v>
                </c:pt>
                <c:pt idx="7">
                  <c:v>0.13041437928067065</c:v>
                </c:pt>
                <c:pt idx="8">
                  <c:v>0.13041437928067065</c:v>
                </c:pt>
                <c:pt idx="9">
                  <c:v>0.13041437928067065</c:v>
                </c:pt>
                <c:pt idx="10">
                  <c:v>0.13041437928067065</c:v>
                </c:pt>
                <c:pt idx="11">
                  <c:v>0.13041437928067065</c:v>
                </c:pt>
                <c:pt idx="12">
                  <c:v>0.13041437928067065</c:v>
                </c:pt>
                <c:pt idx="13">
                  <c:v>0.13041437928067065</c:v>
                </c:pt>
                <c:pt idx="14">
                  <c:v>0.13041437928067065</c:v>
                </c:pt>
                <c:pt idx="15">
                  <c:v>0.13041437928067065</c:v>
                </c:pt>
                <c:pt idx="16">
                  <c:v>0.13041437928067065</c:v>
                </c:pt>
                <c:pt idx="17">
                  <c:v>0.13041437928067065</c:v>
                </c:pt>
                <c:pt idx="18">
                  <c:v>0.13041437928067065</c:v>
                </c:pt>
                <c:pt idx="19">
                  <c:v>0.13041437928067065</c:v>
                </c:pt>
                <c:pt idx="20">
                  <c:v>0.13041437928067065</c:v>
                </c:pt>
                <c:pt idx="21">
                  <c:v>0.13041437928067065</c:v>
                </c:pt>
                <c:pt idx="22">
                  <c:v>0.13041437928067065</c:v>
                </c:pt>
                <c:pt idx="23">
                  <c:v>0.13041437928067065</c:v>
                </c:pt>
                <c:pt idx="24">
                  <c:v>0.13041437928067065</c:v>
                </c:pt>
                <c:pt idx="25">
                  <c:v>0.13041437928067065</c:v>
                </c:pt>
                <c:pt idx="26">
                  <c:v>0.13041437928067065</c:v>
                </c:pt>
                <c:pt idx="27">
                  <c:v>0.13041437928067065</c:v>
                </c:pt>
                <c:pt idx="28">
                  <c:v>0.13041437928067065</c:v>
                </c:pt>
                <c:pt idx="29">
                  <c:v>0.13041437928067065</c:v>
                </c:pt>
                <c:pt idx="30">
                  <c:v>0.13041437928067065</c:v>
                </c:pt>
                <c:pt idx="31">
                  <c:v>0.13041437928067065</c:v>
                </c:pt>
                <c:pt idx="32">
                  <c:v>0.13041437928067065</c:v>
                </c:pt>
                <c:pt idx="33">
                  <c:v>0.13041437928067065</c:v>
                </c:pt>
                <c:pt idx="34">
                  <c:v>0.13041437928067065</c:v>
                </c:pt>
                <c:pt idx="35">
                  <c:v>0.13041437928067065</c:v>
                </c:pt>
                <c:pt idx="36">
                  <c:v>0.13041437928067065</c:v>
                </c:pt>
                <c:pt idx="37">
                  <c:v>0.13041437928067065</c:v>
                </c:pt>
                <c:pt idx="38">
                  <c:v>0.13041437928067065</c:v>
                </c:pt>
                <c:pt idx="39">
                  <c:v>0.13041437928067065</c:v>
                </c:pt>
                <c:pt idx="40">
                  <c:v>0.13041437928067065</c:v>
                </c:pt>
                <c:pt idx="41">
                  <c:v>0.13041437928067065</c:v>
                </c:pt>
                <c:pt idx="42">
                  <c:v>0.13041437928067065</c:v>
                </c:pt>
                <c:pt idx="43">
                  <c:v>0.13041437928067065</c:v>
                </c:pt>
                <c:pt idx="44">
                  <c:v>0.13041437928067065</c:v>
                </c:pt>
                <c:pt idx="45">
                  <c:v>0.13041437928067065</c:v>
                </c:pt>
                <c:pt idx="46">
                  <c:v>0.13041437928067065</c:v>
                </c:pt>
                <c:pt idx="47">
                  <c:v>0.13041437928067065</c:v>
                </c:pt>
                <c:pt idx="48">
                  <c:v>0.13041437928067065</c:v>
                </c:pt>
                <c:pt idx="49">
                  <c:v>0.13041437928067065</c:v>
                </c:pt>
                <c:pt idx="50">
                  <c:v>0.13041437928067065</c:v>
                </c:pt>
                <c:pt idx="51">
                  <c:v>0.13041437928067065</c:v>
                </c:pt>
                <c:pt idx="52">
                  <c:v>0.13041437928067065</c:v>
                </c:pt>
                <c:pt idx="53">
                  <c:v>0.13041437928067065</c:v>
                </c:pt>
                <c:pt idx="54">
                  <c:v>0.13041437928067065</c:v>
                </c:pt>
                <c:pt idx="55">
                  <c:v>0.13041437928067065</c:v>
                </c:pt>
                <c:pt idx="56">
                  <c:v>0.13041437928067065</c:v>
                </c:pt>
                <c:pt idx="57">
                  <c:v>0.13041437928067065</c:v>
                </c:pt>
                <c:pt idx="58">
                  <c:v>0.13041437928067065</c:v>
                </c:pt>
                <c:pt idx="59">
                  <c:v>0.13041437928067065</c:v>
                </c:pt>
                <c:pt idx="60">
                  <c:v>0.13041437928067065</c:v>
                </c:pt>
                <c:pt idx="61">
                  <c:v>0.13041437928067065</c:v>
                </c:pt>
                <c:pt idx="62">
                  <c:v>0.13041437928067065</c:v>
                </c:pt>
                <c:pt idx="63">
                  <c:v>0.13041437928067065</c:v>
                </c:pt>
                <c:pt idx="64">
                  <c:v>0.13041437928067065</c:v>
                </c:pt>
                <c:pt idx="65">
                  <c:v>0.13041437928067065</c:v>
                </c:pt>
                <c:pt idx="66">
                  <c:v>0.13041437928067065</c:v>
                </c:pt>
                <c:pt idx="67">
                  <c:v>0.13041437928067065</c:v>
                </c:pt>
                <c:pt idx="68">
                  <c:v>0.13041437928067065</c:v>
                </c:pt>
                <c:pt idx="69">
                  <c:v>0.13041437928067065</c:v>
                </c:pt>
                <c:pt idx="70">
                  <c:v>0.13041437928067065</c:v>
                </c:pt>
                <c:pt idx="71">
                  <c:v>0.13041437928067065</c:v>
                </c:pt>
                <c:pt idx="72">
                  <c:v>0.13041437928067065</c:v>
                </c:pt>
                <c:pt idx="73">
                  <c:v>0.13041437928067065</c:v>
                </c:pt>
                <c:pt idx="74">
                  <c:v>0.13041437928067065</c:v>
                </c:pt>
                <c:pt idx="75">
                  <c:v>0.13041437928067065</c:v>
                </c:pt>
                <c:pt idx="76">
                  <c:v>0.13041437928067065</c:v>
                </c:pt>
                <c:pt idx="77">
                  <c:v>0.13041437928067065</c:v>
                </c:pt>
                <c:pt idx="78">
                  <c:v>0.13041437928067065</c:v>
                </c:pt>
                <c:pt idx="79">
                  <c:v>0.13041437928067065</c:v>
                </c:pt>
                <c:pt idx="80">
                  <c:v>0.13041437928067065</c:v>
                </c:pt>
                <c:pt idx="81">
                  <c:v>0.13041437928067065</c:v>
                </c:pt>
                <c:pt idx="82">
                  <c:v>0.13041437928067065</c:v>
                </c:pt>
                <c:pt idx="83">
                  <c:v>0.13041437928067065</c:v>
                </c:pt>
                <c:pt idx="84">
                  <c:v>0.13041437928067065</c:v>
                </c:pt>
                <c:pt idx="85">
                  <c:v>0.13041437928067065</c:v>
                </c:pt>
                <c:pt idx="86">
                  <c:v>0.13041437928067065</c:v>
                </c:pt>
                <c:pt idx="87">
                  <c:v>0.13041437928067065</c:v>
                </c:pt>
                <c:pt idx="88">
                  <c:v>0.13041437928067065</c:v>
                </c:pt>
                <c:pt idx="89">
                  <c:v>0.13041437928067065</c:v>
                </c:pt>
                <c:pt idx="90">
                  <c:v>0.13041437928067065</c:v>
                </c:pt>
                <c:pt idx="91">
                  <c:v>0.13041437928067065</c:v>
                </c:pt>
                <c:pt idx="92">
                  <c:v>0.13041437928067065</c:v>
                </c:pt>
                <c:pt idx="93">
                  <c:v>0.13041437928067065</c:v>
                </c:pt>
                <c:pt idx="94">
                  <c:v>0.13041437928067065</c:v>
                </c:pt>
                <c:pt idx="95">
                  <c:v>0.13041437928067065</c:v>
                </c:pt>
                <c:pt idx="96">
                  <c:v>0.13041437928067065</c:v>
                </c:pt>
                <c:pt idx="97">
                  <c:v>0.13041437928067065</c:v>
                </c:pt>
                <c:pt idx="98">
                  <c:v>0.13041437928067065</c:v>
                </c:pt>
                <c:pt idx="99">
                  <c:v>0.13041437928067065</c:v>
                </c:pt>
                <c:pt idx="100">
                  <c:v>0.13041437928067065</c:v>
                </c:pt>
                <c:pt idx="101">
                  <c:v>0.13041437928067065</c:v>
                </c:pt>
                <c:pt idx="102">
                  <c:v>0.13041437928067065</c:v>
                </c:pt>
                <c:pt idx="103">
                  <c:v>0.13041437928067065</c:v>
                </c:pt>
                <c:pt idx="104">
                  <c:v>0.13041437928067065</c:v>
                </c:pt>
                <c:pt idx="105">
                  <c:v>0.13041437928067065</c:v>
                </c:pt>
                <c:pt idx="106">
                  <c:v>0.13041437928067065</c:v>
                </c:pt>
                <c:pt idx="107">
                  <c:v>0.13041437928067065</c:v>
                </c:pt>
                <c:pt idx="108">
                  <c:v>0.13041437928067065</c:v>
                </c:pt>
                <c:pt idx="109">
                  <c:v>0.13041437928067065</c:v>
                </c:pt>
                <c:pt idx="110">
                  <c:v>0.13041437928067065</c:v>
                </c:pt>
                <c:pt idx="111">
                  <c:v>0.13041437928067065</c:v>
                </c:pt>
                <c:pt idx="112">
                  <c:v>0.13041437928067065</c:v>
                </c:pt>
                <c:pt idx="113">
                  <c:v>0.13041437928067065</c:v>
                </c:pt>
                <c:pt idx="114">
                  <c:v>0.13041437928067065</c:v>
                </c:pt>
                <c:pt idx="115">
                  <c:v>0.13041437928067065</c:v>
                </c:pt>
                <c:pt idx="116">
                  <c:v>0.13041437928067065</c:v>
                </c:pt>
                <c:pt idx="117">
                  <c:v>0.13041437928067065</c:v>
                </c:pt>
                <c:pt idx="118">
                  <c:v>0.13041437928067065</c:v>
                </c:pt>
                <c:pt idx="119">
                  <c:v>0.13041437928067065</c:v>
                </c:pt>
                <c:pt idx="120">
                  <c:v>0.13041437928067065</c:v>
                </c:pt>
                <c:pt idx="121">
                  <c:v>0.13041437928067065</c:v>
                </c:pt>
                <c:pt idx="122">
                  <c:v>0.13041437928067065</c:v>
                </c:pt>
                <c:pt idx="123">
                  <c:v>0.13041437928067065</c:v>
                </c:pt>
                <c:pt idx="124">
                  <c:v>0.13041437928067065</c:v>
                </c:pt>
                <c:pt idx="125">
                  <c:v>0.13041437928067065</c:v>
                </c:pt>
                <c:pt idx="126">
                  <c:v>0.13041437928067065</c:v>
                </c:pt>
                <c:pt idx="127">
                  <c:v>0.13041437928067065</c:v>
                </c:pt>
                <c:pt idx="128">
                  <c:v>0.13041437928067065</c:v>
                </c:pt>
                <c:pt idx="129">
                  <c:v>0.13041437928067065</c:v>
                </c:pt>
                <c:pt idx="130">
                  <c:v>0.13041437928067065</c:v>
                </c:pt>
                <c:pt idx="131">
                  <c:v>0.13041437928067065</c:v>
                </c:pt>
                <c:pt idx="132">
                  <c:v>0.13041437928067065</c:v>
                </c:pt>
                <c:pt idx="133">
                  <c:v>0.13041437928067065</c:v>
                </c:pt>
                <c:pt idx="134">
                  <c:v>0.13041437928067065</c:v>
                </c:pt>
                <c:pt idx="135">
                  <c:v>0.13041437928067065</c:v>
                </c:pt>
                <c:pt idx="136">
                  <c:v>0.13041437928067065</c:v>
                </c:pt>
                <c:pt idx="137">
                  <c:v>0.13041437928067065</c:v>
                </c:pt>
                <c:pt idx="138">
                  <c:v>0.13041437928067065</c:v>
                </c:pt>
                <c:pt idx="139">
                  <c:v>0.13041437928067065</c:v>
                </c:pt>
                <c:pt idx="140">
                  <c:v>0.13041437928067065</c:v>
                </c:pt>
                <c:pt idx="141">
                  <c:v>0.13041437928067065</c:v>
                </c:pt>
                <c:pt idx="142">
                  <c:v>0.13041437928067065</c:v>
                </c:pt>
                <c:pt idx="143">
                  <c:v>0.13041437928067065</c:v>
                </c:pt>
                <c:pt idx="144">
                  <c:v>0.13041437928067065</c:v>
                </c:pt>
                <c:pt idx="145">
                  <c:v>0.13041437928067065</c:v>
                </c:pt>
                <c:pt idx="146">
                  <c:v>0.13041437928067065</c:v>
                </c:pt>
                <c:pt idx="147">
                  <c:v>0.13041437928067065</c:v>
                </c:pt>
                <c:pt idx="148">
                  <c:v>0.13041437928067065</c:v>
                </c:pt>
                <c:pt idx="149">
                  <c:v>0.13041437928067065</c:v>
                </c:pt>
                <c:pt idx="150">
                  <c:v>0.13041437928067065</c:v>
                </c:pt>
                <c:pt idx="151">
                  <c:v>0.13041437928067065</c:v>
                </c:pt>
                <c:pt idx="152">
                  <c:v>0.13041437928067065</c:v>
                </c:pt>
                <c:pt idx="153">
                  <c:v>0.13041437928067065</c:v>
                </c:pt>
                <c:pt idx="154">
                  <c:v>0.13041437928067065</c:v>
                </c:pt>
                <c:pt idx="155">
                  <c:v>0.13041437928067065</c:v>
                </c:pt>
                <c:pt idx="156">
                  <c:v>0.13041437928067065</c:v>
                </c:pt>
                <c:pt idx="157">
                  <c:v>0.13041437928067065</c:v>
                </c:pt>
                <c:pt idx="158">
                  <c:v>0.13041437928067065</c:v>
                </c:pt>
                <c:pt idx="159">
                  <c:v>0.13041437928067065</c:v>
                </c:pt>
                <c:pt idx="160">
                  <c:v>0.13041437928067065</c:v>
                </c:pt>
                <c:pt idx="161">
                  <c:v>0.13041437928067065</c:v>
                </c:pt>
                <c:pt idx="162">
                  <c:v>0.13041437928067065</c:v>
                </c:pt>
                <c:pt idx="163">
                  <c:v>0.13041437928067065</c:v>
                </c:pt>
                <c:pt idx="164">
                  <c:v>0.13041437928067065</c:v>
                </c:pt>
                <c:pt idx="165">
                  <c:v>0.13041437928067065</c:v>
                </c:pt>
                <c:pt idx="166">
                  <c:v>0.13041437928067065</c:v>
                </c:pt>
                <c:pt idx="167">
                  <c:v>0.13041437928067065</c:v>
                </c:pt>
                <c:pt idx="168">
                  <c:v>0.13041437928067065</c:v>
                </c:pt>
                <c:pt idx="169">
                  <c:v>0.13041437928067065</c:v>
                </c:pt>
                <c:pt idx="170">
                  <c:v>0.13041437928067065</c:v>
                </c:pt>
                <c:pt idx="171">
                  <c:v>0.13041437928067065</c:v>
                </c:pt>
                <c:pt idx="172">
                  <c:v>0.13041437928067065</c:v>
                </c:pt>
                <c:pt idx="173">
                  <c:v>0.13041437928067065</c:v>
                </c:pt>
                <c:pt idx="174">
                  <c:v>0.13041437928067065</c:v>
                </c:pt>
                <c:pt idx="175">
                  <c:v>0.13041437928067065</c:v>
                </c:pt>
                <c:pt idx="176">
                  <c:v>0.13041437928067065</c:v>
                </c:pt>
                <c:pt idx="177">
                  <c:v>0.13041437928067065</c:v>
                </c:pt>
                <c:pt idx="178">
                  <c:v>0.13041437928067065</c:v>
                </c:pt>
                <c:pt idx="179">
                  <c:v>0.13041437928067065</c:v>
                </c:pt>
                <c:pt idx="180">
                  <c:v>0.13041437928067065</c:v>
                </c:pt>
                <c:pt idx="181">
                  <c:v>0.13041437928067065</c:v>
                </c:pt>
                <c:pt idx="182">
                  <c:v>0.13041437928067065</c:v>
                </c:pt>
                <c:pt idx="183">
                  <c:v>0.13041437928067065</c:v>
                </c:pt>
                <c:pt idx="184">
                  <c:v>0.13041437928067065</c:v>
                </c:pt>
                <c:pt idx="185">
                  <c:v>0.13041437928067065</c:v>
                </c:pt>
                <c:pt idx="186">
                  <c:v>0.13041437928067065</c:v>
                </c:pt>
                <c:pt idx="187">
                  <c:v>0.13041437928067065</c:v>
                </c:pt>
                <c:pt idx="188">
                  <c:v>0.13041437928067065</c:v>
                </c:pt>
                <c:pt idx="189">
                  <c:v>0.13041437928067065</c:v>
                </c:pt>
                <c:pt idx="190">
                  <c:v>0.13041437928067065</c:v>
                </c:pt>
                <c:pt idx="191">
                  <c:v>0.13041437928067065</c:v>
                </c:pt>
                <c:pt idx="192">
                  <c:v>0.13041437928067065</c:v>
                </c:pt>
                <c:pt idx="193">
                  <c:v>0.13041437928067065</c:v>
                </c:pt>
                <c:pt idx="194">
                  <c:v>0.13041437928067065</c:v>
                </c:pt>
                <c:pt idx="195">
                  <c:v>0.13041437928067065</c:v>
                </c:pt>
                <c:pt idx="196">
                  <c:v>0.13041437928067065</c:v>
                </c:pt>
                <c:pt idx="197">
                  <c:v>0.13041437928067065</c:v>
                </c:pt>
                <c:pt idx="198">
                  <c:v>0.13041437928067065</c:v>
                </c:pt>
                <c:pt idx="199">
                  <c:v>0.13041437928067065</c:v>
                </c:pt>
                <c:pt idx="200">
                  <c:v>0.13041437928067065</c:v>
                </c:pt>
                <c:pt idx="201">
                  <c:v>0.13041437928067065</c:v>
                </c:pt>
                <c:pt idx="202">
                  <c:v>0.13041437928067065</c:v>
                </c:pt>
                <c:pt idx="203">
                  <c:v>0.13041437928067065</c:v>
                </c:pt>
                <c:pt idx="204">
                  <c:v>0.13041437928067065</c:v>
                </c:pt>
                <c:pt idx="205">
                  <c:v>0.13041437928067065</c:v>
                </c:pt>
                <c:pt idx="206">
                  <c:v>0.13041437928067065</c:v>
                </c:pt>
                <c:pt idx="207">
                  <c:v>0.13041437928067065</c:v>
                </c:pt>
                <c:pt idx="208">
                  <c:v>0.13041437928067065</c:v>
                </c:pt>
                <c:pt idx="209">
                  <c:v>0.13041437928067065</c:v>
                </c:pt>
                <c:pt idx="210">
                  <c:v>0.13041437928067065</c:v>
                </c:pt>
                <c:pt idx="211">
                  <c:v>0.13041437928067065</c:v>
                </c:pt>
                <c:pt idx="212">
                  <c:v>0.13041437928067065</c:v>
                </c:pt>
                <c:pt idx="213">
                  <c:v>0.13041437928067065</c:v>
                </c:pt>
                <c:pt idx="214">
                  <c:v>0.13041437928067065</c:v>
                </c:pt>
                <c:pt idx="215">
                  <c:v>0.13041437928067065</c:v>
                </c:pt>
                <c:pt idx="216">
                  <c:v>0.13041437928067065</c:v>
                </c:pt>
                <c:pt idx="217">
                  <c:v>0.13041437928067065</c:v>
                </c:pt>
                <c:pt idx="218">
                  <c:v>0.13041437928067065</c:v>
                </c:pt>
                <c:pt idx="219">
                  <c:v>0.13041437928067065</c:v>
                </c:pt>
                <c:pt idx="220">
                  <c:v>0.13041437928067065</c:v>
                </c:pt>
                <c:pt idx="221">
                  <c:v>0.13041437928067065</c:v>
                </c:pt>
                <c:pt idx="222">
                  <c:v>0.13041437928067065</c:v>
                </c:pt>
                <c:pt idx="223">
                  <c:v>0.13041437928067065</c:v>
                </c:pt>
                <c:pt idx="224">
                  <c:v>0.13041437928067065</c:v>
                </c:pt>
                <c:pt idx="225">
                  <c:v>0.13041437928067065</c:v>
                </c:pt>
                <c:pt idx="226">
                  <c:v>0.13041437928067065</c:v>
                </c:pt>
                <c:pt idx="227">
                  <c:v>0.13041437928067065</c:v>
                </c:pt>
                <c:pt idx="228">
                  <c:v>0.13041437928067065</c:v>
                </c:pt>
                <c:pt idx="229">
                  <c:v>0.13041437928067065</c:v>
                </c:pt>
                <c:pt idx="230">
                  <c:v>0.13041437928067065</c:v>
                </c:pt>
                <c:pt idx="231">
                  <c:v>0.13041437928067065</c:v>
                </c:pt>
                <c:pt idx="232">
                  <c:v>0.13041437928067065</c:v>
                </c:pt>
                <c:pt idx="233">
                  <c:v>0.13041437928067065</c:v>
                </c:pt>
                <c:pt idx="234">
                  <c:v>0.13041437928067065</c:v>
                </c:pt>
                <c:pt idx="235">
                  <c:v>0.13041437928067065</c:v>
                </c:pt>
                <c:pt idx="236">
                  <c:v>0.13041437928067065</c:v>
                </c:pt>
                <c:pt idx="237">
                  <c:v>0.13041437928067065</c:v>
                </c:pt>
                <c:pt idx="238">
                  <c:v>0.13041437928067065</c:v>
                </c:pt>
                <c:pt idx="239">
                  <c:v>0.13041437928067065</c:v>
                </c:pt>
                <c:pt idx="240">
                  <c:v>0.13041437928067065</c:v>
                </c:pt>
                <c:pt idx="241">
                  <c:v>0.13041437928067065</c:v>
                </c:pt>
                <c:pt idx="242">
                  <c:v>0.13041437928067065</c:v>
                </c:pt>
                <c:pt idx="243">
                  <c:v>0.13041437928067065</c:v>
                </c:pt>
                <c:pt idx="244">
                  <c:v>0.13041437928067065</c:v>
                </c:pt>
                <c:pt idx="245">
                  <c:v>0.13041437928067065</c:v>
                </c:pt>
                <c:pt idx="246">
                  <c:v>0.13041437928067065</c:v>
                </c:pt>
                <c:pt idx="247">
                  <c:v>0.13041437928067065</c:v>
                </c:pt>
                <c:pt idx="248">
                  <c:v>0.13041437928067065</c:v>
                </c:pt>
                <c:pt idx="249">
                  <c:v>0.13041437928067065</c:v>
                </c:pt>
                <c:pt idx="250">
                  <c:v>0.13041437928067065</c:v>
                </c:pt>
                <c:pt idx="251">
                  <c:v>0.13041437928067065</c:v>
                </c:pt>
                <c:pt idx="252">
                  <c:v>0.13041437928067065</c:v>
                </c:pt>
                <c:pt idx="253">
                  <c:v>0.13041437928067065</c:v>
                </c:pt>
                <c:pt idx="254">
                  <c:v>0.13041437928067065</c:v>
                </c:pt>
                <c:pt idx="255">
                  <c:v>0.13041437928067065</c:v>
                </c:pt>
                <c:pt idx="256">
                  <c:v>0.13041437928067065</c:v>
                </c:pt>
                <c:pt idx="257">
                  <c:v>0.13041437928067065</c:v>
                </c:pt>
                <c:pt idx="258">
                  <c:v>0.13041437928067065</c:v>
                </c:pt>
                <c:pt idx="259">
                  <c:v>0.13041437928067065</c:v>
                </c:pt>
                <c:pt idx="260">
                  <c:v>0.13041437928067065</c:v>
                </c:pt>
                <c:pt idx="261">
                  <c:v>0.13041437928067065</c:v>
                </c:pt>
                <c:pt idx="262">
                  <c:v>0.13041437928067065</c:v>
                </c:pt>
                <c:pt idx="263">
                  <c:v>0.13041437928067065</c:v>
                </c:pt>
                <c:pt idx="264">
                  <c:v>0.13041437928067065</c:v>
                </c:pt>
                <c:pt idx="265">
                  <c:v>0.13041437928067065</c:v>
                </c:pt>
                <c:pt idx="266">
                  <c:v>0.13041437928067065</c:v>
                </c:pt>
                <c:pt idx="267">
                  <c:v>0.13041437928067065</c:v>
                </c:pt>
                <c:pt idx="268">
                  <c:v>0.13041437928067065</c:v>
                </c:pt>
                <c:pt idx="269">
                  <c:v>0.13041437928067065</c:v>
                </c:pt>
                <c:pt idx="270">
                  <c:v>0.13041437928067065</c:v>
                </c:pt>
                <c:pt idx="271">
                  <c:v>0.13041437928067065</c:v>
                </c:pt>
                <c:pt idx="272">
                  <c:v>0.13041437928067065</c:v>
                </c:pt>
                <c:pt idx="273">
                  <c:v>0.13041437928067065</c:v>
                </c:pt>
                <c:pt idx="274">
                  <c:v>0.13041437928067065</c:v>
                </c:pt>
                <c:pt idx="275">
                  <c:v>0.13041437928067065</c:v>
                </c:pt>
                <c:pt idx="276">
                  <c:v>0.13041437928067065</c:v>
                </c:pt>
                <c:pt idx="277">
                  <c:v>0.13041437928067065</c:v>
                </c:pt>
                <c:pt idx="278">
                  <c:v>0.13041437928067065</c:v>
                </c:pt>
                <c:pt idx="279">
                  <c:v>0.13041437928067065</c:v>
                </c:pt>
                <c:pt idx="280">
                  <c:v>0.13041437928067065</c:v>
                </c:pt>
                <c:pt idx="281">
                  <c:v>0.13041437928067065</c:v>
                </c:pt>
                <c:pt idx="282">
                  <c:v>0.13041437928067065</c:v>
                </c:pt>
                <c:pt idx="283">
                  <c:v>0.13041437928067065</c:v>
                </c:pt>
                <c:pt idx="284">
                  <c:v>0.13041437928067065</c:v>
                </c:pt>
                <c:pt idx="285">
                  <c:v>0.13041437928067065</c:v>
                </c:pt>
                <c:pt idx="286">
                  <c:v>0.13041437928067065</c:v>
                </c:pt>
                <c:pt idx="287">
                  <c:v>0.13041437928067065</c:v>
                </c:pt>
                <c:pt idx="288">
                  <c:v>0.13041437928067065</c:v>
                </c:pt>
                <c:pt idx="289">
                  <c:v>0.13041437928067065</c:v>
                </c:pt>
                <c:pt idx="290">
                  <c:v>0.13041437928067065</c:v>
                </c:pt>
                <c:pt idx="291">
                  <c:v>0.13041437928067065</c:v>
                </c:pt>
                <c:pt idx="292">
                  <c:v>0.13041437928067065</c:v>
                </c:pt>
                <c:pt idx="293">
                  <c:v>0.13041437928067065</c:v>
                </c:pt>
                <c:pt idx="294">
                  <c:v>0.13041437928067065</c:v>
                </c:pt>
                <c:pt idx="295">
                  <c:v>0.13041437928067065</c:v>
                </c:pt>
                <c:pt idx="296">
                  <c:v>0.13041437928067065</c:v>
                </c:pt>
                <c:pt idx="297">
                  <c:v>0.13041437928067065</c:v>
                </c:pt>
                <c:pt idx="298">
                  <c:v>0.13041437928067065</c:v>
                </c:pt>
                <c:pt idx="299">
                  <c:v>0.13041437928067065</c:v>
                </c:pt>
                <c:pt idx="300">
                  <c:v>0.13041437928067065</c:v>
                </c:pt>
                <c:pt idx="301">
                  <c:v>0.13041437928067065</c:v>
                </c:pt>
                <c:pt idx="302">
                  <c:v>0.13041437928067065</c:v>
                </c:pt>
                <c:pt idx="303">
                  <c:v>0.13041437928067065</c:v>
                </c:pt>
                <c:pt idx="304">
                  <c:v>0.13041437928067065</c:v>
                </c:pt>
                <c:pt idx="305">
                  <c:v>0.13041437928067065</c:v>
                </c:pt>
                <c:pt idx="306">
                  <c:v>0.13041437928067065</c:v>
                </c:pt>
                <c:pt idx="307">
                  <c:v>0.13041437928067065</c:v>
                </c:pt>
                <c:pt idx="308">
                  <c:v>0.13041437928067065</c:v>
                </c:pt>
                <c:pt idx="309">
                  <c:v>0.13041437928067065</c:v>
                </c:pt>
                <c:pt idx="310">
                  <c:v>0.13041437928067065</c:v>
                </c:pt>
                <c:pt idx="311">
                  <c:v>0.13041437928067065</c:v>
                </c:pt>
                <c:pt idx="312">
                  <c:v>0.13041437928067065</c:v>
                </c:pt>
                <c:pt idx="313">
                  <c:v>0.13041437928067065</c:v>
                </c:pt>
                <c:pt idx="314">
                  <c:v>0.13041437928067065</c:v>
                </c:pt>
                <c:pt idx="315">
                  <c:v>0.13041437928067065</c:v>
                </c:pt>
                <c:pt idx="316">
                  <c:v>0.13041437928067065</c:v>
                </c:pt>
                <c:pt idx="317">
                  <c:v>0.13041437928067065</c:v>
                </c:pt>
                <c:pt idx="318">
                  <c:v>0.13041437928067065</c:v>
                </c:pt>
                <c:pt idx="319">
                  <c:v>0.13041437928067065</c:v>
                </c:pt>
                <c:pt idx="320">
                  <c:v>0.13041437928067065</c:v>
                </c:pt>
                <c:pt idx="321">
                  <c:v>0.13041437928067065</c:v>
                </c:pt>
                <c:pt idx="322">
                  <c:v>0.13041437928067065</c:v>
                </c:pt>
                <c:pt idx="323">
                  <c:v>0.13041437928067065</c:v>
                </c:pt>
                <c:pt idx="324">
                  <c:v>0.13041437928067065</c:v>
                </c:pt>
                <c:pt idx="325">
                  <c:v>0.13041437928067065</c:v>
                </c:pt>
                <c:pt idx="326">
                  <c:v>0.13041437928067065</c:v>
                </c:pt>
                <c:pt idx="327">
                  <c:v>0.13041437928067065</c:v>
                </c:pt>
                <c:pt idx="328">
                  <c:v>0.13041437928067065</c:v>
                </c:pt>
                <c:pt idx="329">
                  <c:v>0.13041437928067065</c:v>
                </c:pt>
                <c:pt idx="330">
                  <c:v>0.13041437928067065</c:v>
                </c:pt>
                <c:pt idx="331">
                  <c:v>0.13041437928067065</c:v>
                </c:pt>
                <c:pt idx="332">
                  <c:v>0.13041437928067065</c:v>
                </c:pt>
                <c:pt idx="333">
                  <c:v>0.13041437928067065</c:v>
                </c:pt>
                <c:pt idx="334">
                  <c:v>0.13041437928067065</c:v>
                </c:pt>
                <c:pt idx="335">
                  <c:v>0.13041437928067065</c:v>
                </c:pt>
                <c:pt idx="336">
                  <c:v>0.13041437928067065</c:v>
                </c:pt>
                <c:pt idx="337">
                  <c:v>0.13041437928067065</c:v>
                </c:pt>
                <c:pt idx="338">
                  <c:v>0.13041437928067065</c:v>
                </c:pt>
                <c:pt idx="339">
                  <c:v>0.13041437928067065</c:v>
                </c:pt>
                <c:pt idx="340">
                  <c:v>0.13041437928067065</c:v>
                </c:pt>
                <c:pt idx="341">
                  <c:v>0.13041437928067065</c:v>
                </c:pt>
                <c:pt idx="342">
                  <c:v>0.13041437928067065</c:v>
                </c:pt>
                <c:pt idx="343">
                  <c:v>0.13041437928067065</c:v>
                </c:pt>
                <c:pt idx="344">
                  <c:v>0.13041437928067065</c:v>
                </c:pt>
                <c:pt idx="345">
                  <c:v>0.13041437928067065</c:v>
                </c:pt>
                <c:pt idx="346">
                  <c:v>0.13041437928067065</c:v>
                </c:pt>
                <c:pt idx="347">
                  <c:v>0.13041437928067065</c:v>
                </c:pt>
                <c:pt idx="348">
                  <c:v>0.13041437928067065</c:v>
                </c:pt>
                <c:pt idx="349">
                  <c:v>0.13041437928067065</c:v>
                </c:pt>
                <c:pt idx="350">
                  <c:v>0.13041437928067065</c:v>
                </c:pt>
                <c:pt idx="351">
                  <c:v>0.13041437928067065</c:v>
                </c:pt>
                <c:pt idx="352">
                  <c:v>0.13041437928067065</c:v>
                </c:pt>
                <c:pt idx="353">
                  <c:v>0.13041437928067065</c:v>
                </c:pt>
                <c:pt idx="354">
                  <c:v>0.13041437928067065</c:v>
                </c:pt>
                <c:pt idx="355">
                  <c:v>0.13041437928067065</c:v>
                </c:pt>
                <c:pt idx="356">
                  <c:v>0.13041437928067065</c:v>
                </c:pt>
                <c:pt idx="357">
                  <c:v>0.13041437928067065</c:v>
                </c:pt>
                <c:pt idx="358">
                  <c:v>0.13041437928067065</c:v>
                </c:pt>
                <c:pt idx="359">
                  <c:v>0.13041437928067065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'Fuel Cost Risk Sim'!$D$205</c:f>
              <c:strCache>
                <c:ptCount val="1"/>
                <c:pt idx="0">
                  <c:v>RE PPA @ $0.14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Sim'!$E$205:$MZ$205</c:f>
              <c:numCache>
                <c:formatCode>_("$"* #,##0.000_);_("$"* \(#,##0.000\);_("$"* "-"??_);_(@_)</c:formatCode>
                <c:ptCount val="360"/>
                <c:pt idx="0">
                  <c:v>0.11049808847669318</c:v>
                </c:pt>
                <c:pt idx="1">
                  <c:v>0.11049808847669318</c:v>
                </c:pt>
                <c:pt idx="2">
                  <c:v>0.11049808847669318</c:v>
                </c:pt>
                <c:pt idx="3">
                  <c:v>0.11049808847669318</c:v>
                </c:pt>
                <c:pt idx="4">
                  <c:v>0.11049808847669318</c:v>
                </c:pt>
                <c:pt idx="5">
                  <c:v>0.11049808847669318</c:v>
                </c:pt>
                <c:pt idx="6">
                  <c:v>0.11049808847669318</c:v>
                </c:pt>
                <c:pt idx="7">
                  <c:v>0.11049808847669318</c:v>
                </c:pt>
                <c:pt idx="8">
                  <c:v>0.11049808847669318</c:v>
                </c:pt>
                <c:pt idx="9">
                  <c:v>0.11049808847669318</c:v>
                </c:pt>
                <c:pt idx="10">
                  <c:v>0.11049808847669318</c:v>
                </c:pt>
                <c:pt idx="11">
                  <c:v>0.11049808847669318</c:v>
                </c:pt>
                <c:pt idx="12">
                  <c:v>0.11049808847669318</c:v>
                </c:pt>
                <c:pt idx="13">
                  <c:v>0.11049808847669318</c:v>
                </c:pt>
                <c:pt idx="14">
                  <c:v>0.11049808847669318</c:v>
                </c:pt>
                <c:pt idx="15">
                  <c:v>0.11049808847669318</c:v>
                </c:pt>
                <c:pt idx="16">
                  <c:v>0.11049808847669318</c:v>
                </c:pt>
                <c:pt idx="17">
                  <c:v>0.11049808847669318</c:v>
                </c:pt>
                <c:pt idx="18">
                  <c:v>0.11049808847669318</c:v>
                </c:pt>
                <c:pt idx="19">
                  <c:v>0.11049808847669318</c:v>
                </c:pt>
                <c:pt idx="20">
                  <c:v>0.11049808847669318</c:v>
                </c:pt>
                <c:pt idx="21">
                  <c:v>0.11049808847669318</c:v>
                </c:pt>
                <c:pt idx="22">
                  <c:v>0.11049808847669318</c:v>
                </c:pt>
                <c:pt idx="23">
                  <c:v>0.11049808847669318</c:v>
                </c:pt>
                <c:pt idx="24">
                  <c:v>0.11049808847669318</c:v>
                </c:pt>
                <c:pt idx="25">
                  <c:v>0.11049808847669318</c:v>
                </c:pt>
                <c:pt idx="26">
                  <c:v>0.11049808847669318</c:v>
                </c:pt>
                <c:pt idx="27">
                  <c:v>0.11049808847669318</c:v>
                </c:pt>
                <c:pt idx="28">
                  <c:v>0.11049808847669318</c:v>
                </c:pt>
                <c:pt idx="29">
                  <c:v>0.11049808847669318</c:v>
                </c:pt>
                <c:pt idx="30">
                  <c:v>0.11049808847669318</c:v>
                </c:pt>
                <c:pt idx="31">
                  <c:v>0.11049808847669318</c:v>
                </c:pt>
                <c:pt idx="32">
                  <c:v>0.11049808847669318</c:v>
                </c:pt>
                <c:pt idx="33">
                  <c:v>0.11049808847669318</c:v>
                </c:pt>
                <c:pt idx="34">
                  <c:v>0.11049808847669318</c:v>
                </c:pt>
                <c:pt idx="35">
                  <c:v>0.11049808847669318</c:v>
                </c:pt>
                <c:pt idx="36">
                  <c:v>0.11049808847669318</c:v>
                </c:pt>
                <c:pt idx="37">
                  <c:v>0.11049808847669318</c:v>
                </c:pt>
                <c:pt idx="38">
                  <c:v>0.11049808847669318</c:v>
                </c:pt>
                <c:pt idx="39">
                  <c:v>0.11049808847669318</c:v>
                </c:pt>
                <c:pt idx="40">
                  <c:v>0.11049808847669318</c:v>
                </c:pt>
                <c:pt idx="41">
                  <c:v>0.11049808847669318</c:v>
                </c:pt>
                <c:pt idx="42">
                  <c:v>0.11049808847669318</c:v>
                </c:pt>
                <c:pt idx="43">
                  <c:v>0.11049808847669318</c:v>
                </c:pt>
                <c:pt idx="44">
                  <c:v>0.11049808847669318</c:v>
                </c:pt>
                <c:pt idx="45">
                  <c:v>0.11049808847669318</c:v>
                </c:pt>
                <c:pt idx="46">
                  <c:v>0.11049808847669318</c:v>
                </c:pt>
                <c:pt idx="47">
                  <c:v>0.11049808847669318</c:v>
                </c:pt>
                <c:pt idx="48">
                  <c:v>0.11049808847669318</c:v>
                </c:pt>
                <c:pt idx="49">
                  <c:v>0.11049808847669318</c:v>
                </c:pt>
                <c:pt idx="50">
                  <c:v>0.11049808847669318</c:v>
                </c:pt>
                <c:pt idx="51">
                  <c:v>0.11049808847669318</c:v>
                </c:pt>
                <c:pt idx="52">
                  <c:v>0.11049808847669318</c:v>
                </c:pt>
                <c:pt idx="53">
                  <c:v>0.11049808847669318</c:v>
                </c:pt>
                <c:pt idx="54">
                  <c:v>0.11049808847669318</c:v>
                </c:pt>
                <c:pt idx="55">
                  <c:v>0.11049808847669318</c:v>
                </c:pt>
                <c:pt idx="56">
                  <c:v>0.11049808847669318</c:v>
                </c:pt>
                <c:pt idx="57">
                  <c:v>0.11049808847669318</c:v>
                </c:pt>
                <c:pt idx="58">
                  <c:v>0.11049808847669318</c:v>
                </c:pt>
                <c:pt idx="59">
                  <c:v>0.11049808847669318</c:v>
                </c:pt>
                <c:pt idx="60">
                  <c:v>0.11049808847669318</c:v>
                </c:pt>
                <c:pt idx="61">
                  <c:v>0.11049808847669318</c:v>
                </c:pt>
                <c:pt idx="62">
                  <c:v>0.11049808847669318</c:v>
                </c:pt>
                <c:pt idx="63">
                  <c:v>0.11049808847669318</c:v>
                </c:pt>
                <c:pt idx="64">
                  <c:v>0.11049808847669318</c:v>
                </c:pt>
                <c:pt idx="65">
                  <c:v>0.11049808847669318</c:v>
                </c:pt>
                <c:pt idx="66">
                  <c:v>0.11049808847669318</c:v>
                </c:pt>
                <c:pt idx="67">
                  <c:v>0.11049808847669318</c:v>
                </c:pt>
                <c:pt idx="68">
                  <c:v>0.11049808847669318</c:v>
                </c:pt>
                <c:pt idx="69">
                  <c:v>0.11049808847669318</c:v>
                </c:pt>
                <c:pt idx="70">
                  <c:v>0.11049808847669318</c:v>
                </c:pt>
                <c:pt idx="71">
                  <c:v>0.11049808847669318</c:v>
                </c:pt>
                <c:pt idx="72">
                  <c:v>0.11049808847669318</c:v>
                </c:pt>
                <c:pt idx="73">
                  <c:v>0.11049808847669318</c:v>
                </c:pt>
                <c:pt idx="74">
                  <c:v>0.11049808847669318</c:v>
                </c:pt>
                <c:pt idx="75">
                  <c:v>0.11049808847669318</c:v>
                </c:pt>
                <c:pt idx="76">
                  <c:v>0.11049808847669318</c:v>
                </c:pt>
                <c:pt idx="77">
                  <c:v>0.11049808847669318</c:v>
                </c:pt>
                <c:pt idx="78">
                  <c:v>0.11049808847669318</c:v>
                </c:pt>
                <c:pt idx="79">
                  <c:v>0.11049808847669318</c:v>
                </c:pt>
                <c:pt idx="80">
                  <c:v>0.11049808847669318</c:v>
                </c:pt>
                <c:pt idx="81">
                  <c:v>0.11049808847669318</c:v>
                </c:pt>
                <c:pt idx="82">
                  <c:v>0.11049808847669318</c:v>
                </c:pt>
                <c:pt idx="83">
                  <c:v>0.11049808847669318</c:v>
                </c:pt>
                <c:pt idx="84">
                  <c:v>0.11049808847669318</c:v>
                </c:pt>
                <c:pt idx="85">
                  <c:v>0.11049808847669318</c:v>
                </c:pt>
                <c:pt idx="86">
                  <c:v>0.11049808847669318</c:v>
                </c:pt>
                <c:pt idx="87">
                  <c:v>0.11049808847669318</c:v>
                </c:pt>
                <c:pt idx="88">
                  <c:v>0.11049808847669318</c:v>
                </c:pt>
                <c:pt idx="89">
                  <c:v>0.11049808847669318</c:v>
                </c:pt>
                <c:pt idx="90">
                  <c:v>0.11049808847669318</c:v>
                </c:pt>
                <c:pt idx="91">
                  <c:v>0.11049808847669318</c:v>
                </c:pt>
                <c:pt idx="92">
                  <c:v>0.11049808847669318</c:v>
                </c:pt>
                <c:pt idx="93">
                  <c:v>0.11049808847669318</c:v>
                </c:pt>
                <c:pt idx="94">
                  <c:v>0.11049808847669318</c:v>
                </c:pt>
                <c:pt idx="95">
                  <c:v>0.11049808847669318</c:v>
                </c:pt>
                <c:pt idx="96">
                  <c:v>0.11049808847669318</c:v>
                </c:pt>
                <c:pt idx="97">
                  <c:v>0.11049808847669318</c:v>
                </c:pt>
                <c:pt idx="98">
                  <c:v>0.11049808847669318</c:v>
                </c:pt>
                <c:pt idx="99">
                  <c:v>0.11049808847669318</c:v>
                </c:pt>
                <c:pt idx="100">
                  <c:v>0.11049808847669318</c:v>
                </c:pt>
                <c:pt idx="101">
                  <c:v>0.11049808847669318</c:v>
                </c:pt>
                <c:pt idx="102">
                  <c:v>0.11049808847669318</c:v>
                </c:pt>
                <c:pt idx="103">
                  <c:v>0.11049808847669318</c:v>
                </c:pt>
                <c:pt idx="104">
                  <c:v>0.11049808847669318</c:v>
                </c:pt>
                <c:pt idx="105">
                  <c:v>0.11049808847669318</c:v>
                </c:pt>
                <c:pt idx="106">
                  <c:v>0.11049808847669318</c:v>
                </c:pt>
                <c:pt idx="107">
                  <c:v>0.11049808847669318</c:v>
                </c:pt>
                <c:pt idx="108">
                  <c:v>0.11049808847669318</c:v>
                </c:pt>
                <c:pt idx="109">
                  <c:v>0.11049808847669318</c:v>
                </c:pt>
                <c:pt idx="110">
                  <c:v>0.11049808847669318</c:v>
                </c:pt>
                <c:pt idx="111">
                  <c:v>0.11049808847669318</c:v>
                </c:pt>
                <c:pt idx="112">
                  <c:v>0.11049808847669318</c:v>
                </c:pt>
                <c:pt idx="113">
                  <c:v>0.11049808847669318</c:v>
                </c:pt>
                <c:pt idx="114">
                  <c:v>0.11049808847669318</c:v>
                </c:pt>
                <c:pt idx="115">
                  <c:v>0.11049808847669318</c:v>
                </c:pt>
                <c:pt idx="116">
                  <c:v>0.11049808847669318</c:v>
                </c:pt>
                <c:pt idx="117">
                  <c:v>0.11049808847669318</c:v>
                </c:pt>
                <c:pt idx="118">
                  <c:v>0.11049808847669318</c:v>
                </c:pt>
                <c:pt idx="119">
                  <c:v>0.11049808847669318</c:v>
                </c:pt>
                <c:pt idx="120">
                  <c:v>0.11049808847669318</c:v>
                </c:pt>
                <c:pt idx="121">
                  <c:v>0.11049808847669318</c:v>
                </c:pt>
                <c:pt idx="122">
                  <c:v>0.11049808847669318</c:v>
                </c:pt>
                <c:pt idx="123">
                  <c:v>0.11049808847669318</c:v>
                </c:pt>
                <c:pt idx="124">
                  <c:v>0.11049808847669318</c:v>
                </c:pt>
                <c:pt idx="125">
                  <c:v>0.11049808847669318</c:v>
                </c:pt>
                <c:pt idx="126">
                  <c:v>0.11049808847669318</c:v>
                </c:pt>
                <c:pt idx="127">
                  <c:v>0.11049808847669318</c:v>
                </c:pt>
                <c:pt idx="128">
                  <c:v>0.11049808847669318</c:v>
                </c:pt>
                <c:pt idx="129">
                  <c:v>0.11049808847669318</c:v>
                </c:pt>
                <c:pt idx="130">
                  <c:v>0.11049808847669318</c:v>
                </c:pt>
                <c:pt idx="131">
                  <c:v>0.11049808847669318</c:v>
                </c:pt>
                <c:pt idx="132">
                  <c:v>0.11049808847669318</c:v>
                </c:pt>
                <c:pt idx="133">
                  <c:v>0.11049808847669318</c:v>
                </c:pt>
                <c:pt idx="134">
                  <c:v>0.11049808847669318</c:v>
                </c:pt>
                <c:pt idx="135">
                  <c:v>0.11049808847669318</c:v>
                </c:pt>
                <c:pt idx="136">
                  <c:v>0.11049808847669318</c:v>
                </c:pt>
                <c:pt idx="137">
                  <c:v>0.11049808847669318</c:v>
                </c:pt>
                <c:pt idx="138">
                  <c:v>0.11049808847669318</c:v>
                </c:pt>
                <c:pt idx="139">
                  <c:v>0.11049808847669318</c:v>
                </c:pt>
                <c:pt idx="140">
                  <c:v>0.11049808847669318</c:v>
                </c:pt>
                <c:pt idx="141">
                  <c:v>0.11049808847669318</c:v>
                </c:pt>
                <c:pt idx="142">
                  <c:v>0.11049808847669318</c:v>
                </c:pt>
                <c:pt idx="143">
                  <c:v>0.11049808847669318</c:v>
                </c:pt>
                <c:pt idx="144">
                  <c:v>0.11049808847669318</c:v>
                </c:pt>
                <c:pt idx="145">
                  <c:v>0.11049808847669318</c:v>
                </c:pt>
                <c:pt idx="146">
                  <c:v>0.11049808847669318</c:v>
                </c:pt>
                <c:pt idx="147">
                  <c:v>0.11049808847669318</c:v>
                </c:pt>
                <c:pt idx="148">
                  <c:v>0.11049808847669318</c:v>
                </c:pt>
                <c:pt idx="149">
                  <c:v>0.11049808847669318</c:v>
                </c:pt>
                <c:pt idx="150">
                  <c:v>0.11049808847669318</c:v>
                </c:pt>
                <c:pt idx="151">
                  <c:v>0.11049808847669318</c:v>
                </c:pt>
                <c:pt idx="152">
                  <c:v>0.11049808847669318</c:v>
                </c:pt>
                <c:pt idx="153">
                  <c:v>0.11049808847669318</c:v>
                </c:pt>
                <c:pt idx="154">
                  <c:v>0.11049808847669318</c:v>
                </c:pt>
                <c:pt idx="155">
                  <c:v>0.11049808847669318</c:v>
                </c:pt>
                <c:pt idx="156">
                  <c:v>0.11049808847669318</c:v>
                </c:pt>
                <c:pt idx="157">
                  <c:v>0.11049808847669318</c:v>
                </c:pt>
                <c:pt idx="158">
                  <c:v>0.11049808847669318</c:v>
                </c:pt>
                <c:pt idx="159">
                  <c:v>0.11049808847669318</c:v>
                </c:pt>
                <c:pt idx="160">
                  <c:v>0.11049808847669318</c:v>
                </c:pt>
                <c:pt idx="161">
                  <c:v>0.11049808847669318</c:v>
                </c:pt>
                <c:pt idx="162">
                  <c:v>0.11049808847669318</c:v>
                </c:pt>
                <c:pt idx="163">
                  <c:v>0.11049808847669318</c:v>
                </c:pt>
                <c:pt idx="164">
                  <c:v>0.11049808847669318</c:v>
                </c:pt>
                <c:pt idx="165">
                  <c:v>0.11049808847669318</c:v>
                </c:pt>
                <c:pt idx="166">
                  <c:v>0.11049808847669318</c:v>
                </c:pt>
                <c:pt idx="167">
                  <c:v>0.11049808847669318</c:v>
                </c:pt>
                <c:pt idx="168">
                  <c:v>0.11049808847669318</c:v>
                </c:pt>
                <c:pt idx="169">
                  <c:v>0.11049808847669318</c:v>
                </c:pt>
                <c:pt idx="170">
                  <c:v>0.11049808847669318</c:v>
                </c:pt>
                <c:pt idx="171">
                  <c:v>0.11049808847669318</c:v>
                </c:pt>
                <c:pt idx="172">
                  <c:v>0.11049808847669318</c:v>
                </c:pt>
                <c:pt idx="173">
                  <c:v>0.11049808847669318</c:v>
                </c:pt>
                <c:pt idx="174">
                  <c:v>0.11049808847669318</c:v>
                </c:pt>
                <c:pt idx="175">
                  <c:v>0.11049808847669318</c:v>
                </c:pt>
                <c:pt idx="176">
                  <c:v>0.11049808847669318</c:v>
                </c:pt>
                <c:pt idx="177">
                  <c:v>0.11049808847669318</c:v>
                </c:pt>
                <c:pt idx="178">
                  <c:v>0.11049808847669318</c:v>
                </c:pt>
                <c:pt idx="179">
                  <c:v>0.11049808847669318</c:v>
                </c:pt>
                <c:pt idx="180">
                  <c:v>0.11049808847669318</c:v>
                </c:pt>
                <c:pt idx="181">
                  <c:v>0.11049808847669318</c:v>
                </c:pt>
                <c:pt idx="182">
                  <c:v>0.11049808847669318</c:v>
                </c:pt>
                <c:pt idx="183">
                  <c:v>0.11049808847669318</c:v>
                </c:pt>
                <c:pt idx="184">
                  <c:v>0.11049808847669318</c:v>
                </c:pt>
                <c:pt idx="185">
                  <c:v>0.11049808847669318</c:v>
                </c:pt>
                <c:pt idx="186">
                  <c:v>0.11049808847669318</c:v>
                </c:pt>
                <c:pt idx="187">
                  <c:v>0.11049808847669318</c:v>
                </c:pt>
                <c:pt idx="188">
                  <c:v>0.11049808847669318</c:v>
                </c:pt>
                <c:pt idx="189">
                  <c:v>0.11049808847669318</c:v>
                </c:pt>
                <c:pt idx="190">
                  <c:v>0.11049808847669318</c:v>
                </c:pt>
                <c:pt idx="191">
                  <c:v>0.11049808847669318</c:v>
                </c:pt>
                <c:pt idx="192">
                  <c:v>0.11049808847669318</c:v>
                </c:pt>
                <c:pt idx="193">
                  <c:v>0.11049808847669318</c:v>
                </c:pt>
                <c:pt idx="194">
                  <c:v>0.11049808847669318</c:v>
                </c:pt>
                <c:pt idx="195">
                  <c:v>0.11049808847669318</c:v>
                </c:pt>
                <c:pt idx="196">
                  <c:v>0.11049808847669318</c:v>
                </c:pt>
                <c:pt idx="197">
                  <c:v>0.11049808847669318</c:v>
                </c:pt>
                <c:pt idx="198">
                  <c:v>0.11049808847669318</c:v>
                </c:pt>
                <c:pt idx="199">
                  <c:v>0.11049808847669318</c:v>
                </c:pt>
                <c:pt idx="200">
                  <c:v>0.11049808847669318</c:v>
                </c:pt>
                <c:pt idx="201">
                  <c:v>0.11049808847669318</c:v>
                </c:pt>
                <c:pt idx="202">
                  <c:v>0.11049808847669318</c:v>
                </c:pt>
                <c:pt idx="203">
                  <c:v>0.11049808847669318</c:v>
                </c:pt>
                <c:pt idx="204">
                  <c:v>0.11049808847669318</c:v>
                </c:pt>
                <c:pt idx="205">
                  <c:v>0.11049808847669318</c:v>
                </c:pt>
                <c:pt idx="206">
                  <c:v>0.11049808847669318</c:v>
                </c:pt>
                <c:pt idx="207">
                  <c:v>0.11049808847669318</c:v>
                </c:pt>
                <c:pt idx="208">
                  <c:v>0.11049808847669318</c:v>
                </c:pt>
                <c:pt idx="209">
                  <c:v>0.11049808847669318</c:v>
                </c:pt>
                <c:pt idx="210">
                  <c:v>0.11049808847669318</c:v>
                </c:pt>
                <c:pt idx="211">
                  <c:v>0.11049808847669318</c:v>
                </c:pt>
                <c:pt idx="212">
                  <c:v>0.11049808847669318</c:v>
                </c:pt>
                <c:pt idx="213">
                  <c:v>0.11049808847669318</c:v>
                </c:pt>
                <c:pt idx="214">
                  <c:v>0.11049808847669318</c:v>
                </c:pt>
                <c:pt idx="215">
                  <c:v>0.11049808847669318</c:v>
                </c:pt>
                <c:pt idx="216">
                  <c:v>0.11049808847669318</c:v>
                </c:pt>
                <c:pt idx="217">
                  <c:v>0.11049808847669318</c:v>
                </c:pt>
                <c:pt idx="218">
                  <c:v>0.11049808847669318</c:v>
                </c:pt>
                <c:pt idx="219">
                  <c:v>0.11049808847669318</c:v>
                </c:pt>
                <c:pt idx="220">
                  <c:v>0.11049808847669318</c:v>
                </c:pt>
                <c:pt idx="221">
                  <c:v>0.11049808847669318</c:v>
                </c:pt>
                <c:pt idx="222">
                  <c:v>0.11049808847669318</c:v>
                </c:pt>
                <c:pt idx="223">
                  <c:v>0.11049808847669318</c:v>
                </c:pt>
                <c:pt idx="224">
                  <c:v>0.11049808847669318</c:v>
                </c:pt>
                <c:pt idx="225">
                  <c:v>0.11049808847669318</c:v>
                </c:pt>
                <c:pt idx="226">
                  <c:v>0.11049808847669318</c:v>
                </c:pt>
                <c:pt idx="227">
                  <c:v>0.11049808847669318</c:v>
                </c:pt>
                <c:pt idx="228">
                  <c:v>0.11049808847669318</c:v>
                </c:pt>
                <c:pt idx="229">
                  <c:v>0.11049808847669318</c:v>
                </c:pt>
                <c:pt idx="230">
                  <c:v>0.11049808847669318</c:v>
                </c:pt>
                <c:pt idx="231">
                  <c:v>0.11049808847669318</c:v>
                </c:pt>
                <c:pt idx="232">
                  <c:v>0.11049808847669318</c:v>
                </c:pt>
                <c:pt idx="233">
                  <c:v>0.11049808847669318</c:v>
                </c:pt>
                <c:pt idx="234">
                  <c:v>0.11049808847669318</c:v>
                </c:pt>
                <c:pt idx="235">
                  <c:v>0.11049808847669318</c:v>
                </c:pt>
                <c:pt idx="236">
                  <c:v>0.11049808847669318</c:v>
                </c:pt>
                <c:pt idx="237">
                  <c:v>0.11049808847669318</c:v>
                </c:pt>
                <c:pt idx="238">
                  <c:v>0.11049808847669318</c:v>
                </c:pt>
                <c:pt idx="239">
                  <c:v>0.11049808847669318</c:v>
                </c:pt>
                <c:pt idx="240">
                  <c:v>0.11049808847669318</c:v>
                </c:pt>
                <c:pt idx="241">
                  <c:v>0.11049808847669318</c:v>
                </c:pt>
                <c:pt idx="242">
                  <c:v>0.11049808847669318</c:v>
                </c:pt>
                <c:pt idx="243">
                  <c:v>0.11049808847669318</c:v>
                </c:pt>
                <c:pt idx="244">
                  <c:v>0.11049808847669318</c:v>
                </c:pt>
                <c:pt idx="245">
                  <c:v>0.11049808847669318</c:v>
                </c:pt>
                <c:pt idx="246">
                  <c:v>0.11049808847669318</c:v>
                </c:pt>
                <c:pt idx="247">
                  <c:v>0.11049808847669318</c:v>
                </c:pt>
                <c:pt idx="248">
                  <c:v>0.11049808847669318</c:v>
                </c:pt>
                <c:pt idx="249">
                  <c:v>0.11049808847669318</c:v>
                </c:pt>
                <c:pt idx="250">
                  <c:v>0.11049808847669318</c:v>
                </c:pt>
                <c:pt idx="251">
                  <c:v>0.11049808847669318</c:v>
                </c:pt>
                <c:pt idx="252">
                  <c:v>0.11049808847669318</c:v>
                </c:pt>
                <c:pt idx="253">
                  <c:v>0.11049808847669318</c:v>
                </c:pt>
                <c:pt idx="254">
                  <c:v>0.11049808847669318</c:v>
                </c:pt>
                <c:pt idx="255">
                  <c:v>0.11049808847669318</c:v>
                </c:pt>
                <c:pt idx="256">
                  <c:v>0.11049808847669318</c:v>
                </c:pt>
                <c:pt idx="257">
                  <c:v>0.11049808847669318</c:v>
                </c:pt>
                <c:pt idx="258">
                  <c:v>0.11049808847669318</c:v>
                </c:pt>
                <c:pt idx="259">
                  <c:v>0.11049808847669318</c:v>
                </c:pt>
                <c:pt idx="260">
                  <c:v>0.11049808847669318</c:v>
                </c:pt>
                <c:pt idx="261">
                  <c:v>0.11049808847669318</c:v>
                </c:pt>
                <c:pt idx="262">
                  <c:v>0.11049808847669318</c:v>
                </c:pt>
                <c:pt idx="263">
                  <c:v>0.11049808847669318</c:v>
                </c:pt>
                <c:pt idx="264">
                  <c:v>0.11049808847669318</c:v>
                </c:pt>
                <c:pt idx="265">
                  <c:v>0.11049808847669318</c:v>
                </c:pt>
                <c:pt idx="266">
                  <c:v>0.11049808847669318</c:v>
                </c:pt>
                <c:pt idx="267">
                  <c:v>0.11049808847669318</c:v>
                </c:pt>
                <c:pt idx="268">
                  <c:v>0.11049808847669318</c:v>
                </c:pt>
                <c:pt idx="269">
                  <c:v>0.11049808847669318</c:v>
                </c:pt>
                <c:pt idx="270">
                  <c:v>0.11049808847669318</c:v>
                </c:pt>
                <c:pt idx="271">
                  <c:v>0.11049808847669318</c:v>
                </c:pt>
                <c:pt idx="272">
                  <c:v>0.11049808847669318</c:v>
                </c:pt>
                <c:pt idx="273">
                  <c:v>0.11049808847669318</c:v>
                </c:pt>
                <c:pt idx="274">
                  <c:v>0.11049808847669318</c:v>
                </c:pt>
                <c:pt idx="275">
                  <c:v>0.11049808847669318</c:v>
                </c:pt>
                <c:pt idx="276">
                  <c:v>0.11049808847669318</c:v>
                </c:pt>
                <c:pt idx="277">
                  <c:v>0.11049808847669318</c:v>
                </c:pt>
                <c:pt idx="278">
                  <c:v>0.11049808847669318</c:v>
                </c:pt>
                <c:pt idx="279">
                  <c:v>0.11049808847669318</c:v>
                </c:pt>
                <c:pt idx="280">
                  <c:v>0.11049808847669318</c:v>
                </c:pt>
                <c:pt idx="281">
                  <c:v>0.11049808847669318</c:v>
                </c:pt>
                <c:pt idx="282">
                  <c:v>0.11049808847669318</c:v>
                </c:pt>
                <c:pt idx="283">
                  <c:v>0.11049808847669318</c:v>
                </c:pt>
                <c:pt idx="284">
                  <c:v>0.11049808847669318</c:v>
                </c:pt>
                <c:pt idx="285">
                  <c:v>0.11049808847669318</c:v>
                </c:pt>
                <c:pt idx="286">
                  <c:v>0.11049808847669318</c:v>
                </c:pt>
                <c:pt idx="287">
                  <c:v>0.11049808847669318</c:v>
                </c:pt>
                <c:pt idx="288">
                  <c:v>0.11049808847669318</c:v>
                </c:pt>
                <c:pt idx="289">
                  <c:v>0.11049808847669318</c:v>
                </c:pt>
                <c:pt idx="290">
                  <c:v>0.11049808847669318</c:v>
                </c:pt>
                <c:pt idx="291">
                  <c:v>0.11049808847669318</c:v>
                </c:pt>
                <c:pt idx="292">
                  <c:v>0.11049808847669318</c:v>
                </c:pt>
                <c:pt idx="293">
                  <c:v>0.11049808847669318</c:v>
                </c:pt>
                <c:pt idx="294">
                  <c:v>0.11049808847669318</c:v>
                </c:pt>
                <c:pt idx="295">
                  <c:v>0.11049808847669318</c:v>
                </c:pt>
                <c:pt idx="296">
                  <c:v>0.11049808847669318</c:v>
                </c:pt>
                <c:pt idx="297">
                  <c:v>0.11049808847669318</c:v>
                </c:pt>
                <c:pt idx="298">
                  <c:v>0.11049808847669318</c:v>
                </c:pt>
                <c:pt idx="299">
                  <c:v>0.11049808847669318</c:v>
                </c:pt>
                <c:pt idx="300">
                  <c:v>0.11049808847669318</c:v>
                </c:pt>
                <c:pt idx="301">
                  <c:v>0.11049808847669318</c:v>
                </c:pt>
                <c:pt idx="302">
                  <c:v>0.11049808847669318</c:v>
                </c:pt>
                <c:pt idx="303">
                  <c:v>0.11049808847669318</c:v>
                </c:pt>
                <c:pt idx="304">
                  <c:v>0.11049808847669318</c:v>
                </c:pt>
                <c:pt idx="305">
                  <c:v>0.11049808847669318</c:v>
                </c:pt>
                <c:pt idx="306">
                  <c:v>0.11049808847669318</c:v>
                </c:pt>
                <c:pt idx="307">
                  <c:v>0.11049808847669318</c:v>
                </c:pt>
                <c:pt idx="308">
                  <c:v>0.11049808847669318</c:v>
                </c:pt>
                <c:pt idx="309">
                  <c:v>0.11049808847669318</c:v>
                </c:pt>
                <c:pt idx="310">
                  <c:v>0.11049808847669318</c:v>
                </c:pt>
                <c:pt idx="311">
                  <c:v>0.11049808847669318</c:v>
                </c:pt>
                <c:pt idx="312">
                  <c:v>0.11049808847669318</c:v>
                </c:pt>
                <c:pt idx="313">
                  <c:v>0.11049808847669318</c:v>
                </c:pt>
                <c:pt idx="314">
                  <c:v>0.11049808847669318</c:v>
                </c:pt>
                <c:pt idx="315">
                  <c:v>0.11049808847669318</c:v>
                </c:pt>
                <c:pt idx="316">
                  <c:v>0.11049808847669318</c:v>
                </c:pt>
                <c:pt idx="317">
                  <c:v>0.11049808847669318</c:v>
                </c:pt>
                <c:pt idx="318">
                  <c:v>0.11049808847669318</c:v>
                </c:pt>
                <c:pt idx="319">
                  <c:v>0.11049808847669318</c:v>
                </c:pt>
                <c:pt idx="320">
                  <c:v>0.11049808847669318</c:v>
                </c:pt>
                <c:pt idx="321">
                  <c:v>0.11049808847669318</c:v>
                </c:pt>
                <c:pt idx="322">
                  <c:v>0.11049808847669318</c:v>
                </c:pt>
                <c:pt idx="323">
                  <c:v>0.11049808847669318</c:v>
                </c:pt>
                <c:pt idx="324">
                  <c:v>0.11049808847669318</c:v>
                </c:pt>
                <c:pt idx="325">
                  <c:v>0.11049808847669318</c:v>
                </c:pt>
                <c:pt idx="326">
                  <c:v>0.11049808847669318</c:v>
                </c:pt>
                <c:pt idx="327">
                  <c:v>0.11049808847669318</c:v>
                </c:pt>
                <c:pt idx="328">
                  <c:v>0.11049808847669318</c:v>
                </c:pt>
                <c:pt idx="329">
                  <c:v>0.11049808847669318</c:v>
                </c:pt>
                <c:pt idx="330">
                  <c:v>0.11049808847669318</c:v>
                </c:pt>
                <c:pt idx="331">
                  <c:v>0.11049808847669318</c:v>
                </c:pt>
                <c:pt idx="332">
                  <c:v>0.11049808847669318</c:v>
                </c:pt>
                <c:pt idx="333">
                  <c:v>0.11049808847669318</c:v>
                </c:pt>
                <c:pt idx="334">
                  <c:v>0.11049808847669318</c:v>
                </c:pt>
                <c:pt idx="335">
                  <c:v>0.11049808847669318</c:v>
                </c:pt>
                <c:pt idx="336">
                  <c:v>0.11049808847669318</c:v>
                </c:pt>
                <c:pt idx="337">
                  <c:v>0.11049808847669318</c:v>
                </c:pt>
                <c:pt idx="338">
                  <c:v>0.11049808847669318</c:v>
                </c:pt>
                <c:pt idx="339">
                  <c:v>0.11049808847669318</c:v>
                </c:pt>
                <c:pt idx="340">
                  <c:v>0.11049808847669318</c:v>
                </c:pt>
                <c:pt idx="341">
                  <c:v>0.11049808847669318</c:v>
                </c:pt>
                <c:pt idx="342">
                  <c:v>0.11049808847669318</c:v>
                </c:pt>
                <c:pt idx="343">
                  <c:v>0.11049808847669318</c:v>
                </c:pt>
                <c:pt idx="344">
                  <c:v>0.11049808847669318</c:v>
                </c:pt>
                <c:pt idx="345">
                  <c:v>0.11049808847669318</c:v>
                </c:pt>
                <c:pt idx="346">
                  <c:v>0.11049808847669318</c:v>
                </c:pt>
                <c:pt idx="347">
                  <c:v>0.11049808847669318</c:v>
                </c:pt>
                <c:pt idx="348">
                  <c:v>0.11049808847669318</c:v>
                </c:pt>
                <c:pt idx="349">
                  <c:v>0.11049808847669318</c:v>
                </c:pt>
                <c:pt idx="350">
                  <c:v>0.11049808847669318</c:v>
                </c:pt>
                <c:pt idx="351">
                  <c:v>0.11049808847669318</c:v>
                </c:pt>
                <c:pt idx="352">
                  <c:v>0.11049808847669318</c:v>
                </c:pt>
                <c:pt idx="353">
                  <c:v>0.11049808847669318</c:v>
                </c:pt>
                <c:pt idx="354">
                  <c:v>0.11049808847669318</c:v>
                </c:pt>
                <c:pt idx="355">
                  <c:v>0.11049808847669318</c:v>
                </c:pt>
                <c:pt idx="356">
                  <c:v>0.11049808847669318</c:v>
                </c:pt>
                <c:pt idx="357">
                  <c:v>0.11049808847669318</c:v>
                </c:pt>
                <c:pt idx="358">
                  <c:v>0.11049808847669318</c:v>
                </c:pt>
                <c:pt idx="359">
                  <c:v>0.11049808847669318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96568"/>
        <c:axId val="410193432"/>
      </c:lineChart>
      <c:dateAx>
        <c:axId val="410196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3432"/>
        <c:crosses val="autoZero"/>
        <c:auto val="1"/>
        <c:lblOffset val="100"/>
        <c:baseTimeUnit val="months"/>
      </c:dateAx>
      <c:valAx>
        <c:axId val="41019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0_);_(&quot;$&quot;* \(#,##0.0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 and Renewable Cost per KWh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'Fuel Cost Risk Sim'!$D$202</c:f>
              <c:strCache>
                <c:ptCount val="1"/>
                <c:pt idx="0">
                  <c:v>Oil/Diesel Linked Gas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Sim'!$E$202:$MZ$202</c:f>
              <c:numCache>
                <c:formatCode>_("$"* #,##0.000_);_("$"* \(#,##0.000\);_("$"* "-"??_);_(@_)</c:formatCode>
                <c:ptCount val="360"/>
                <c:pt idx="0">
                  <c:v>0.10801478331970565</c:v>
                </c:pt>
                <c:pt idx="1">
                  <c:v>0.10825958091323214</c:v>
                </c:pt>
                <c:pt idx="2">
                  <c:v>0.10850517165127128</c:v>
                </c:pt>
                <c:pt idx="3">
                  <c:v>0.10875155810361234</c:v>
                </c:pt>
                <c:pt idx="4">
                  <c:v>0.10899874284837063</c:v>
                </c:pt>
                <c:pt idx="5">
                  <c:v>0.10924672847201461</c:v>
                </c:pt>
                <c:pt idx="6">
                  <c:v>0.10949551756939288</c:v>
                </c:pt>
                <c:pt idx="7">
                  <c:v>0.10974511274376134</c:v>
                </c:pt>
                <c:pt idx="8">
                  <c:v>0.10999551660681048</c:v>
                </c:pt>
                <c:pt idx="9">
                  <c:v>0.11024673177869265</c:v>
                </c:pt>
                <c:pt idx="10">
                  <c:v>0.11049876088804945</c:v>
                </c:pt>
                <c:pt idx="11">
                  <c:v>0.1107516065720394</c:v>
                </c:pt>
                <c:pt idx="12">
                  <c:v>0.1110052714763653</c:v>
                </c:pt>
                <c:pt idx="13">
                  <c:v>0.11125975825530209</c:v>
                </c:pt>
                <c:pt idx="14">
                  <c:v>0.11151506957172448</c:v>
                </c:pt>
                <c:pt idx="15">
                  <c:v>0.1117712080971351</c:v>
                </c:pt>
                <c:pt idx="16">
                  <c:v>0.11202817651169199</c:v>
                </c:pt>
                <c:pt idx="17">
                  <c:v>0.11228597750423712</c:v>
                </c:pt>
                <c:pt idx="18">
                  <c:v>0.11254461377232419</c:v>
                </c:pt>
                <c:pt idx="19">
                  <c:v>0.11280408802224702</c:v>
                </c:pt>
                <c:pt idx="20">
                  <c:v>0.11306440296906781</c:v>
                </c:pt>
                <c:pt idx="21">
                  <c:v>0.11332556133664555</c:v>
                </c:pt>
                <c:pt idx="22">
                  <c:v>0.11358756585766462</c:v>
                </c:pt>
                <c:pt idx="23">
                  <c:v>0.11385041927366321</c:v>
                </c:pt>
                <c:pt idx="24">
                  <c:v>0.11411412433506211</c:v>
                </c:pt>
                <c:pt idx="25">
                  <c:v>0.11437868380119351</c:v>
                </c:pt>
                <c:pt idx="26">
                  <c:v>0.11464410044032981</c:v>
                </c:pt>
                <c:pt idx="27">
                  <c:v>0.11491037702971268</c:v>
                </c:pt>
                <c:pt idx="28">
                  <c:v>0.11517751635558193</c:v>
                </c:pt>
                <c:pt idx="29">
                  <c:v>0.11544552121320492</c:v>
                </c:pt>
                <c:pt idx="30">
                  <c:v>0.1157143944069056</c:v>
                </c:pt>
                <c:pt idx="31">
                  <c:v>0.11598413875009399</c:v>
                </c:pt>
                <c:pt idx="32">
                  <c:v>0.11625475706529551</c:v>
                </c:pt>
                <c:pt idx="33">
                  <c:v>0.11652625218418057</c:v>
                </c:pt>
                <c:pt idx="34">
                  <c:v>0.11679862694759427</c:v>
                </c:pt>
                <c:pt idx="35">
                  <c:v>0.11707188420558594</c:v>
                </c:pt>
                <c:pt idx="36">
                  <c:v>0.11734602681743916</c:v>
                </c:pt>
                <c:pt idx="37">
                  <c:v>0.11762105765170154</c:v>
                </c:pt>
                <c:pt idx="38">
                  <c:v>0.11789697958621485</c:v>
                </c:pt>
                <c:pt idx="39">
                  <c:v>0.11817379550814498</c:v>
                </c:pt>
                <c:pt idx="40">
                  <c:v>0.11845150831401231</c:v>
                </c:pt>
                <c:pt idx="41">
                  <c:v>0.11873012090972195</c:v>
                </c:pt>
                <c:pt idx="42">
                  <c:v>0.1190096362105941</c:v>
                </c:pt>
                <c:pt idx="43">
                  <c:v>0.11929005714139465</c:v>
                </c:pt>
                <c:pt idx="44">
                  <c:v>0.11957138663636568</c:v>
                </c:pt>
                <c:pt idx="45">
                  <c:v>0.1198536276392563</c:v>
                </c:pt>
                <c:pt idx="46">
                  <c:v>0.1201367831033533</c:v>
                </c:pt>
                <c:pt idx="47">
                  <c:v>0.12042085599151213</c:v>
                </c:pt>
                <c:pt idx="48">
                  <c:v>0.12070584927618794</c:v>
                </c:pt>
                <c:pt idx="49">
                  <c:v>0.12099176593946658</c:v>
                </c:pt>
                <c:pt idx="50">
                  <c:v>0.12127860897309589</c:v>
                </c:pt>
                <c:pt idx="51">
                  <c:v>0.12156638137851702</c:v>
                </c:pt>
                <c:pt idx="52">
                  <c:v>0.12185508616689569</c:v>
                </c:pt>
                <c:pt idx="53">
                  <c:v>0.12214472635915392</c:v>
                </c:pt>
                <c:pt idx="54">
                  <c:v>0.12243530498600143</c:v>
                </c:pt>
                <c:pt idx="55">
                  <c:v>0.12272682508796749</c:v>
                </c:pt>
                <c:pt idx="56">
                  <c:v>0.12301928971543266</c:v>
                </c:pt>
                <c:pt idx="57">
                  <c:v>0.12331270192866077</c:v>
                </c:pt>
                <c:pt idx="58">
                  <c:v>0.12360706479783089</c:v>
                </c:pt>
                <c:pt idx="59">
                  <c:v>0.12390238140306944</c:v>
                </c:pt>
                <c:pt idx="60">
                  <c:v>0.12419865483448254</c:v>
                </c:pt>
                <c:pt idx="61">
                  <c:v>0.12449588819218817</c:v>
                </c:pt>
                <c:pt idx="62">
                  <c:v>0.12479408458634873</c:v>
                </c:pt>
                <c:pt idx="63">
                  <c:v>0.12509324713720357</c:v>
                </c:pt>
                <c:pt idx="64">
                  <c:v>0.12539337897510161</c:v>
                </c:pt>
                <c:pt idx="65">
                  <c:v>0.12569448324053406</c:v>
                </c:pt>
                <c:pt idx="66">
                  <c:v>0.1259965630841674</c:v>
                </c:pt>
                <c:pt idx="67">
                  <c:v>0.12629962166687622</c:v>
                </c:pt>
                <c:pt idx="68">
                  <c:v>0.12660366215977636</c:v>
                </c:pt>
                <c:pt idx="69">
                  <c:v>0.12690868774425806</c:v>
                </c:pt>
                <c:pt idx="70">
                  <c:v>0.12721470161201937</c:v>
                </c:pt>
                <c:pt idx="71">
                  <c:v>0.12752170696509924</c:v>
                </c:pt>
                <c:pt idx="72">
                  <c:v>0.12782970701591145</c:v>
                </c:pt>
                <c:pt idx="73">
                  <c:v>0.12813870498727789</c:v>
                </c:pt>
                <c:pt idx="74">
                  <c:v>0.12844870411246243</c:v>
                </c:pt>
                <c:pt idx="75">
                  <c:v>0.12875970763520467</c:v>
                </c:pt>
                <c:pt idx="76">
                  <c:v>0.12907171880975399</c:v>
                </c:pt>
                <c:pt idx="77">
                  <c:v>0.12938474090090354</c:v>
                </c:pt>
                <c:pt idx="78">
                  <c:v>0.12969877718402434</c:v>
                </c:pt>
                <c:pt idx="79">
                  <c:v>0.13001383094509966</c:v>
                </c:pt>
                <c:pt idx="80">
                  <c:v>0.13032990548075946</c:v>
                </c:pt>
                <c:pt idx="81">
                  <c:v>0.13064700409831453</c:v>
                </c:pt>
                <c:pt idx="82">
                  <c:v>0.13096513011579164</c:v>
                </c:pt>
                <c:pt idx="83">
                  <c:v>0.13128428686196772</c:v>
                </c:pt>
                <c:pt idx="84">
                  <c:v>0.13160447767640515</c:v>
                </c:pt>
                <c:pt idx="85">
                  <c:v>0.13192570590948635</c:v>
                </c:pt>
                <c:pt idx="86">
                  <c:v>0.13224797492244911</c:v>
                </c:pt>
                <c:pt idx="87">
                  <c:v>0.13257128808742147</c:v>
                </c:pt>
                <c:pt idx="88">
                  <c:v>0.1328956487874573</c:v>
                </c:pt>
                <c:pt idx="89">
                  <c:v>0.13322106041657156</c:v>
                </c:pt>
                <c:pt idx="90">
                  <c:v>0.13354752637977577</c:v>
                </c:pt>
                <c:pt idx="91">
                  <c:v>0.13387505009311368</c:v>
                </c:pt>
                <c:pt idx="92">
                  <c:v>0.13420363498369714</c:v>
                </c:pt>
                <c:pt idx="93">
                  <c:v>0.13453328448974172</c:v>
                </c:pt>
                <c:pt idx="94">
                  <c:v>0.13486400206060284</c:v>
                </c:pt>
                <c:pt idx="95">
                  <c:v>0.13519579115681188</c:v>
                </c:pt>
                <c:pt idx="96">
                  <c:v>0.13552865525011235</c:v>
                </c:pt>
                <c:pt idx="97">
                  <c:v>0.13586259782349613</c:v>
                </c:pt>
                <c:pt idx="98">
                  <c:v>0.13619762237124011</c:v>
                </c:pt>
                <c:pt idx="99">
                  <c:v>0.13653373239894254</c:v>
                </c:pt>
                <c:pt idx="100">
                  <c:v>0.13687093142355986</c:v>
                </c:pt>
                <c:pt idx="101">
                  <c:v>0.13720922297344348</c:v>
                </c:pt>
                <c:pt idx="102">
                  <c:v>0.13754861058837667</c:v>
                </c:pt>
                <c:pt idx="103">
                  <c:v>0.13788909781961151</c:v>
                </c:pt>
                <c:pt idx="104">
                  <c:v>0.13823068822990625</c:v>
                </c:pt>
                <c:pt idx="105">
                  <c:v>0.13857338539356243</c:v>
                </c:pt>
                <c:pt idx="106">
                  <c:v>0.13891719289646234</c:v>
                </c:pt>
                <c:pt idx="107">
                  <c:v>0.13926211433610652</c:v>
                </c:pt>
                <c:pt idx="108">
                  <c:v>0.13960815332165147</c:v>
                </c:pt>
                <c:pt idx="109">
                  <c:v>0.13995531347394727</c:v>
                </c:pt>
                <c:pt idx="110">
                  <c:v>0.14030359842557566</c:v>
                </c:pt>
                <c:pt idx="111">
                  <c:v>0.14065301182088788</c:v>
                </c:pt>
                <c:pt idx="112">
                  <c:v>0.14100355731604286</c:v>
                </c:pt>
                <c:pt idx="113">
                  <c:v>0.14135523857904556</c:v>
                </c:pt>
                <c:pt idx="114">
                  <c:v>0.14170805928978525</c:v>
                </c:pt>
                <c:pt idx="115">
                  <c:v>0.14206202314007402</c:v>
                </c:pt>
                <c:pt idx="116">
                  <c:v>0.14241713383368548</c:v>
                </c:pt>
                <c:pt idx="117">
                  <c:v>0.14277339508639342</c:v>
                </c:pt>
                <c:pt idx="118">
                  <c:v>0.14313081062601074</c:v>
                </c:pt>
                <c:pt idx="119">
                  <c:v>0.14348938419242857</c:v>
                </c:pt>
                <c:pt idx="120">
                  <c:v>0.14384911953765514</c:v>
                </c:pt>
                <c:pt idx="121">
                  <c:v>0.14421002042585529</c:v>
                </c:pt>
                <c:pt idx="122">
                  <c:v>0.14457209063338966</c:v>
                </c:pt>
                <c:pt idx="123">
                  <c:v>0.14493533394885449</c:v>
                </c:pt>
                <c:pt idx="124">
                  <c:v>0.14529975417312091</c:v>
                </c:pt>
                <c:pt idx="125">
                  <c:v>0.1456653551193749</c:v>
                </c:pt>
                <c:pt idx="126">
                  <c:v>0.14603214061315717</c:v>
                </c:pt>
                <c:pt idx="127">
                  <c:v>0.14640011449240328</c:v>
                </c:pt>
                <c:pt idx="128">
                  <c:v>0.14676928060748362</c:v>
                </c:pt>
                <c:pt idx="129">
                  <c:v>0.14713964282124375</c:v>
                </c:pt>
                <c:pt idx="130">
                  <c:v>0.14751120500904497</c:v>
                </c:pt>
                <c:pt idx="131">
                  <c:v>0.14788397105880466</c:v>
                </c:pt>
                <c:pt idx="132">
                  <c:v>0.14825794487103711</c:v>
                </c:pt>
                <c:pt idx="133">
                  <c:v>0.14863313035889419</c:v>
                </c:pt>
                <c:pt idx="134">
                  <c:v>0.14900953144820653</c:v>
                </c:pt>
                <c:pt idx="135">
                  <c:v>0.14938715207752434</c:v>
                </c:pt>
                <c:pt idx="136">
                  <c:v>0.14976599619815884</c:v>
                </c:pt>
                <c:pt idx="137">
                  <c:v>0.15014606777422337</c:v>
                </c:pt>
                <c:pt idx="138">
                  <c:v>0.15052737078267509</c:v>
                </c:pt>
                <c:pt idx="139">
                  <c:v>0.15090990921335656</c:v>
                </c:pt>
                <c:pt idx="140">
                  <c:v>0.15129368706903726</c:v>
                </c:pt>
                <c:pt idx="141">
                  <c:v>0.15167870836545588</c:v>
                </c:pt>
                <c:pt idx="142">
                  <c:v>0.15206497713136188</c:v>
                </c:pt>
                <c:pt idx="143">
                  <c:v>0.15245249740855799</c:v>
                </c:pt>
                <c:pt idx="144">
                  <c:v>0.15284127325194247</c:v>
                </c:pt>
                <c:pt idx="145">
                  <c:v>0.15323130872955121</c:v>
                </c:pt>
                <c:pt idx="146">
                  <c:v>0.1536226079226008</c:v>
                </c:pt>
                <c:pt idx="147">
                  <c:v>0.15401517492553085</c:v>
                </c:pt>
                <c:pt idx="148">
                  <c:v>0.15440901384604694</c:v>
                </c:pt>
                <c:pt idx="149">
                  <c:v>0.15480412880516364</c:v>
                </c:pt>
                <c:pt idx="150">
                  <c:v>0.1552005239372477</c:v>
                </c:pt>
                <c:pt idx="151">
                  <c:v>0.15559820339006114</c:v>
                </c:pt>
                <c:pt idx="152">
                  <c:v>0.15599717132480467</c:v>
                </c:pt>
                <c:pt idx="153">
                  <c:v>0.15639743191616151</c:v>
                </c:pt>
                <c:pt idx="154">
                  <c:v>0.15679898935234057</c:v>
                </c:pt>
                <c:pt idx="155">
                  <c:v>0.15720184783512081</c:v>
                </c:pt>
                <c:pt idx="156">
                  <c:v>0.15760601157989484</c:v>
                </c:pt>
                <c:pt idx="157">
                  <c:v>0.1580114848157132</c:v>
                </c:pt>
                <c:pt idx="158">
                  <c:v>0.15841827178532847</c:v>
                </c:pt>
                <c:pt idx="159">
                  <c:v>0.15882637674523981</c:v>
                </c:pt>
                <c:pt idx="160">
                  <c:v>0.15923580396573755</c:v>
                </c:pt>
                <c:pt idx="161">
                  <c:v>0.15964655773094755</c:v>
                </c:pt>
                <c:pt idx="162">
                  <c:v>0.16005864233887646</c:v>
                </c:pt>
                <c:pt idx="163">
                  <c:v>0.16047206210145626</c:v>
                </c:pt>
                <c:pt idx="164">
                  <c:v>0.16088682134458981</c:v>
                </c:pt>
                <c:pt idx="165">
                  <c:v>0.16130292440819571</c:v>
                </c:pt>
                <c:pt idx="166">
                  <c:v>0.16172037564625408</c:v>
                </c:pt>
                <c:pt idx="167">
                  <c:v>0.16213917942685174</c:v>
                </c:pt>
                <c:pt idx="168">
                  <c:v>0.16255934013222828</c:v>
                </c:pt>
                <c:pt idx="169">
                  <c:v>0.16298086215882174</c:v>
                </c:pt>
                <c:pt idx="170">
                  <c:v>0.16340374991731454</c:v>
                </c:pt>
                <c:pt idx="171">
                  <c:v>0.16382800783267981</c:v>
                </c:pt>
                <c:pt idx="172">
                  <c:v>0.16425364034422746</c:v>
                </c:pt>
                <c:pt idx="173">
                  <c:v>0.16468065190565095</c:v>
                </c:pt>
                <c:pt idx="174">
                  <c:v>0.16510904698507362</c:v>
                </c:pt>
                <c:pt idx="175">
                  <c:v>0.16553883006509545</c:v>
                </c:pt>
                <c:pt idx="176">
                  <c:v>0.1659700056428402</c:v>
                </c:pt>
                <c:pt idx="177">
                  <c:v>0.16640257823000226</c:v>
                </c:pt>
                <c:pt idx="178">
                  <c:v>0.16683655235289391</c:v>
                </c:pt>
                <c:pt idx="179">
                  <c:v>0.16727193255249267</c:v>
                </c:pt>
                <c:pt idx="180">
                  <c:v>0.16770872338448878</c:v>
                </c:pt>
                <c:pt idx="181">
                  <c:v>0.16814692941933312</c:v>
                </c:pt>
                <c:pt idx="182">
                  <c:v>0.16858655524228461</c:v>
                </c:pt>
                <c:pt idx="183">
                  <c:v>0.16902760545345857</c:v>
                </c:pt>
                <c:pt idx="184">
                  <c:v>0.16947008466787467</c:v>
                </c:pt>
                <c:pt idx="185">
                  <c:v>0.16991399751550518</c:v>
                </c:pt>
                <c:pt idx="186">
                  <c:v>0.17035934864132346</c:v>
                </c:pt>
                <c:pt idx="187">
                  <c:v>0.17080614270535277</c:v>
                </c:pt>
                <c:pt idx="188">
                  <c:v>0.17125438438271462</c:v>
                </c:pt>
                <c:pt idx="189">
                  <c:v>0.17170407836367824</c:v>
                </c:pt>
                <c:pt idx="190">
                  <c:v>0.17215522935370897</c:v>
                </c:pt>
                <c:pt idx="191">
                  <c:v>0.17260784207351804</c:v>
                </c:pt>
                <c:pt idx="192">
                  <c:v>0.17306192125911174</c:v>
                </c:pt>
                <c:pt idx="193">
                  <c:v>0.17351747166184128</c:v>
                </c:pt>
                <c:pt idx="194">
                  <c:v>0.17397449804845183</c:v>
                </c:pt>
                <c:pt idx="195">
                  <c:v>0.17443300520113308</c:v>
                </c:pt>
                <c:pt idx="196">
                  <c:v>0.17489299791756896</c:v>
                </c:pt>
                <c:pt idx="197">
                  <c:v>0.17535448101098799</c:v>
                </c:pt>
                <c:pt idx="198">
                  <c:v>0.17581745931021348</c:v>
                </c:pt>
                <c:pt idx="199">
                  <c:v>0.17628193765971401</c:v>
                </c:pt>
                <c:pt idx="200">
                  <c:v>0.17674792091965452</c:v>
                </c:pt>
                <c:pt idx="201">
                  <c:v>0.17721541396594664</c:v>
                </c:pt>
                <c:pt idx="202">
                  <c:v>0.17768442169030008</c:v>
                </c:pt>
                <c:pt idx="203">
                  <c:v>0.17815494900027368</c:v>
                </c:pt>
                <c:pt idx="204">
                  <c:v>0.17862700081932681</c:v>
                </c:pt>
                <c:pt idx="205">
                  <c:v>0.17910058208687069</c:v>
                </c:pt>
                <c:pt idx="206">
                  <c:v>0.1795756977583205</c:v>
                </c:pt>
                <c:pt idx="207">
                  <c:v>0.18005235280514681</c:v>
                </c:pt>
                <c:pt idx="208">
                  <c:v>0.18053055221492775</c:v>
                </c:pt>
                <c:pt idx="209">
                  <c:v>0.18101030099140125</c:v>
                </c:pt>
                <c:pt idx="210">
                  <c:v>0.18149160415451737</c:v>
                </c:pt>
                <c:pt idx="211">
                  <c:v>0.18197446674049084</c:v>
                </c:pt>
                <c:pt idx="212">
                  <c:v>0.18245889380185359</c:v>
                </c:pt>
                <c:pt idx="213">
                  <c:v>0.18294489040750794</c:v>
                </c:pt>
                <c:pt idx="214">
                  <c:v>0.18343246164277938</c:v>
                </c:pt>
                <c:pt idx="215">
                  <c:v>0.18392161260946976</c:v>
                </c:pt>
                <c:pt idx="216">
                  <c:v>0.18441234842591103</c:v>
                </c:pt>
                <c:pt idx="217">
                  <c:v>0.18490467422701828</c:v>
                </c:pt>
                <c:pt idx="218">
                  <c:v>0.18539859516434387</c:v>
                </c:pt>
                <c:pt idx="219">
                  <c:v>0.18589411640613118</c:v>
                </c:pt>
                <c:pt idx="220">
                  <c:v>0.18639124313736866</c:v>
                </c:pt>
                <c:pt idx="221">
                  <c:v>0.18688998055984418</c:v>
                </c:pt>
                <c:pt idx="222">
                  <c:v>0.18739033389219939</c:v>
                </c:pt>
                <c:pt idx="223">
                  <c:v>0.18789230836998427</c:v>
                </c:pt>
                <c:pt idx="224">
                  <c:v>0.18839590924571226</c:v>
                </c:pt>
                <c:pt idx="225">
                  <c:v>0.18890114178891459</c:v>
                </c:pt>
                <c:pt idx="226">
                  <c:v>0.18940801128619589</c:v>
                </c:pt>
                <c:pt idx="227">
                  <c:v>0.18991652304128959</c:v>
                </c:pt>
                <c:pt idx="228">
                  <c:v>0.19042668237511301</c:v>
                </c:pt>
                <c:pt idx="229">
                  <c:v>0.1909384946258233</c:v>
                </c:pt>
                <c:pt idx="230">
                  <c:v>0.19145196514887336</c:v>
                </c:pt>
                <c:pt idx="231">
                  <c:v>0.19196709931706751</c:v>
                </c:pt>
                <c:pt idx="232">
                  <c:v>0.19248390252061826</c:v>
                </c:pt>
                <c:pt idx="233">
                  <c:v>0.19300238016720223</c:v>
                </c:pt>
                <c:pt idx="234">
                  <c:v>0.19352253768201694</c:v>
                </c:pt>
                <c:pt idx="235">
                  <c:v>0.19404438050783762</c:v>
                </c:pt>
                <c:pt idx="236">
                  <c:v>0.19456791410507407</c:v>
                </c:pt>
                <c:pt idx="237">
                  <c:v>0.19509314395182775</c:v>
                </c:pt>
                <c:pt idx="238">
                  <c:v>0.19562007554394933</c:v>
                </c:pt>
                <c:pt idx="239">
                  <c:v>0.19614871439509585</c:v>
                </c:pt>
                <c:pt idx="240">
                  <c:v>0.19667906603678886</c:v>
                </c:pt>
                <c:pt idx="241">
                  <c:v>0.19721113601847173</c:v>
                </c:pt>
                <c:pt idx="242">
                  <c:v>0.19774492990756831</c:v>
                </c:pt>
                <c:pt idx="243">
                  <c:v>0.19828045328954075</c:v>
                </c:pt>
                <c:pt idx="244">
                  <c:v>0.19881771176794816</c:v>
                </c:pt>
                <c:pt idx="245">
                  <c:v>0.19935671096450525</c:v>
                </c:pt>
                <c:pt idx="246">
                  <c:v>0.19989745651914093</c:v>
                </c:pt>
                <c:pt idx="247">
                  <c:v>0.20043995409005766</c:v>
                </c:pt>
                <c:pt idx="248">
                  <c:v>0.20098420935379041</c:v>
                </c:pt>
                <c:pt idx="249">
                  <c:v>0.20153022800526604</c:v>
                </c:pt>
                <c:pt idx="250">
                  <c:v>0.20207801575786311</c:v>
                </c:pt>
                <c:pt idx="251">
                  <c:v>0.20262757834347156</c:v>
                </c:pt>
                <c:pt idx="252">
                  <c:v>0.20317892151255246</c:v>
                </c:pt>
                <c:pt idx="253">
                  <c:v>0.20373205103419861</c:v>
                </c:pt>
                <c:pt idx="254">
                  <c:v>0.20428697269619456</c:v>
                </c:pt>
                <c:pt idx="255">
                  <c:v>0.20484369230507732</c:v>
                </c:pt>
                <c:pt idx="256">
                  <c:v>0.2054022156861971</c:v>
                </c:pt>
                <c:pt idx="257">
                  <c:v>0.20596254868377811</c:v>
                </c:pt>
                <c:pt idx="258">
                  <c:v>0.2065246971609801</c:v>
                </c:pt>
                <c:pt idx="259">
                  <c:v>0.20708866699995926</c:v>
                </c:pt>
                <c:pt idx="260">
                  <c:v>0.20765446410193011</c:v>
                </c:pt>
                <c:pt idx="261">
                  <c:v>0.20822209438722711</c:v>
                </c:pt>
                <c:pt idx="262">
                  <c:v>0.20879156379536634</c:v>
                </c:pt>
                <c:pt idx="263">
                  <c:v>0.20936287828510836</c:v>
                </c:pt>
                <c:pt idx="264">
                  <c:v>0.2099360438345198</c:v>
                </c:pt>
                <c:pt idx="265">
                  <c:v>0.21051106644103634</c:v>
                </c:pt>
                <c:pt idx="266">
                  <c:v>0.21108795212152537</c:v>
                </c:pt>
                <c:pt idx="267">
                  <c:v>0.21166670691234885</c:v>
                </c:pt>
                <c:pt idx="268">
                  <c:v>0.21224733686942671</c:v>
                </c:pt>
                <c:pt idx="269">
                  <c:v>0.21282984806829996</c:v>
                </c:pt>
                <c:pt idx="270">
                  <c:v>0.21341424660419439</c:v>
                </c:pt>
                <c:pt idx="271">
                  <c:v>0.21400053859208423</c:v>
                </c:pt>
                <c:pt idx="272">
                  <c:v>0.21458873016675661</c:v>
                </c:pt>
                <c:pt idx="273">
                  <c:v>0.21517882748287487</c:v>
                </c:pt>
                <c:pt idx="274">
                  <c:v>0.21577083671504377</c:v>
                </c:pt>
                <c:pt idx="275">
                  <c:v>0.21636476405787375</c:v>
                </c:pt>
                <c:pt idx="276">
                  <c:v>0.21696061572604569</c:v>
                </c:pt>
                <c:pt idx="277">
                  <c:v>0.21755839795437631</c:v>
                </c:pt>
                <c:pt idx="278">
                  <c:v>0.21815811699788284</c:v>
                </c:pt>
                <c:pt idx="279">
                  <c:v>0.21875977913184896</c:v>
                </c:pt>
                <c:pt idx="280">
                  <c:v>0.21936339065189014</c:v>
                </c:pt>
                <c:pt idx="281">
                  <c:v>0.21996895787401977</c:v>
                </c:pt>
                <c:pt idx="282">
                  <c:v>0.22057648713471512</c:v>
                </c:pt>
                <c:pt idx="283">
                  <c:v>0.22118598479098361</c:v>
                </c:pt>
                <c:pt idx="284">
                  <c:v>0.22179745722042937</c:v>
                </c:pt>
                <c:pt idx="285">
                  <c:v>0.22241091082131992</c:v>
                </c:pt>
                <c:pt idx="286">
                  <c:v>0.22302635201265342</c:v>
                </c:pt>
                <c:pt idx="287">
                  <c:v>0.22364378723422523</c:v>
                </c:pt>
                <c:pt idx="288">
                  <c:v>0.22426322294669604</c:v>
                </c:pt>
                <c:pt idx="289">
                  <c:v>0.22488466563165871</c:v>
                </c:pt>
                <c:pt idx="290">
                  <c:v>0.22550812179170676</c:v>
                </c:pt>
                <c:pt idx="291">
                  <c:v>0.22613359795050203</c:v>
                </c:pt>
                <c:pt idx="292">
                  <c:v>0.22676110065284288</c:v>
                </c:pt>
                <c:pt idx="293">
                  <c:v>0.22739063646473312</c:v>
                </c:pt>
                <c:pt idx="294">
                  <c:v>0.22802221197345018</c:v>
                </c:pt>
                <c:pt idx="295">
                  <c:v>0.22865583378761445</c:v>
                </c:pt>
                <c:pt idx="296">
                  <c:v>0.22929150853725799</c:v>
                </c:pt>
                <c:pt idx="297">
                  <c:v>0.22992924287389443</c:v>
                </c:pt>
                <c:pt idx="298">
                  <c:v>0.23056904347058832</c:v>
                </c:pt>
                <c:pt idx="299">
                  <c:v>0.23121091702202479</c:v>
                </c:pt>
                <c:pt idx="300">
                  <c:v>0.23185487024457985</c:v>
                </c:pt>
                <c:pt idx="301">
                  <c:v>0.23250090987639049</c:v>
                </c:pt>
                <c:pt idx="302">
                  <c:v>0.23314904267742542</c:v>
                </c:pt>
                <c:pt idx="303">
                  <c:v>0.23379927542955553</c:v>
                </c:pt>
                <c:pt idx="304">
                  <c:v>0.23445161493662497</c:v>
                </c:pt>
                <c:pt idx="305">
                  <c:v>0.23510606802452255</c:v>
                </c:pt>
                <c:pt idx="306">
                  <c:v>0.2357626415412527</c:v>
                </c:pt>
                <c:pt idx="307">
                  <c:v>0.23642134235700762</c:v>
                </c:pt>
                <c:pt idx="308">
                  <c:v>0.23708217736423876</c:v>
                </c:pt>
                <c:pt idx="309">
                  <c:v>0.23774515347772923</c:v>
                </c:pt>
                <c:pt idx="310">
                  <c:v>0.23841027763466599</c:v>
                </c:pt>
                <c:pt idx="311">
                  <c:v>0.2390775567947126</c:v>
                </c:pt>
                <c:pt idx="312">
                  <c:v>0.23974699794008181</c:v>
                </c:pt>
                <c:pt idx="313">
                  <c:v>0.24041860807560878</c:v>
                </c:pt>
                <c:pt idx="314">
                  <c:v>0.24109239422882439</c:v>
                </c:pt>
                <c:pt idx="315">
                  <c:v>0.24176836345002872</c:v>
                </c:pt>
                <c:pt idx="316">
                  <c:v>0.24244652281236478</c:v>
                </c:pt>
                <c:pt idx="317">
                  <c:v>0.24312687941189265</c:v>
                </c:pt>
                <c:pt idx="318">
                  <c:v>0.24380944036766355</c:v>
                </c:pt>
                <c:pt idx="319">
                  <c:v>0.24449421282179457</c:v>
                </c:pt>
                <c:pt idx="320">
                  <c:v>0.24518120393954318</c:v>
                </c:pt>
                <c:pt idx="321">
                  <c:v>0.24587042090938221</c:v>
                </c:pt>
                <c:pt idx="322">
                  <c:v>0.24656187094307536</c:v>
                </c:pt>
                <c:pt idx="323">
                  <c:v>0.24725556127575227</c:v>
                </c:pt>
                <c:pt idx="324">
                  <c:v>0.24795149916598463</c:v>
                </c:pt>
                <c:pt idx="325">
                  <c:v>0.24864969189586156</c:v>
                </c:pt>
                <c:pt idx="326">
                  <c:v>0.24935014677106643</c:v>
                </c:pt>
                <c:pt idx="327">
                  <c:v>0.25005287112095304</c:v>
                </c:pt>
                <c:pt idx="328">
                  <c:v>0.25075787229862212</c:v>
                </c:pt>
                <c:pt idx="329">
                  <c:v>0.25146515768099859</c:v>
                </c:pt>
                <c:pt idx="330">
                  <c:v>0.25217473466890866</c:v>
                </c:pt>
                <c:pt idx="331">
                  <c:v>0.25288661068715712</c:v>
                </c:pt>
                <c:pt idx="332">
                  <c:v>0.25360079318460516</c:v>
                </c:pt>
                <c:pt idx="333">
                  <c:v>0.25431728963424832</c:v>
                </c:pt>
                <c:pt idx="334">
                  <c:v>0.25503610753329464</c:v>
                </c:pt>
                <c:pt idx="335">
                  <c:v>0.2557572544032431</c:v>
                </c:pt>
                <c:pt idx="336">
                  <c:v>0.25648073778996239</c:v>
                </c:pt>
                <c:pt idx="337">
                  <c:v>0.25720656526376984</c:v>
                </c:pt>
                <c:pt idx="338">
                  <c:v>0.25793474441951048</c:v>
                </c:pt>
                <c:pt idx="339">
                  <c:v>0.25866528287663682</c:v>
                </c:pt>
                <c:pt idx="340">
                  <c:v>0.25939818827928834</c:v>
                </c:pt>
                <c:pt idx="341">
                  <c:v>0.26013346829637152</c:v>
                </c:pt>
                <c:pt idx="342">
                  <c:v>0.26087113062164008</c:v>
                </c:pt>
                <c:pt idx="343">
                  <c:v>0.26161118297377561</c:v>
                </c:pt>
                <c:pt idx="344">
                  <c:v>0.2623536330964682</c:v>
                </c:pt>
                <c:pt idx="345">
                  <c:v>0.2630984887584974</c:v>
                </c:pt>
                <c:pt idx="346">
                  <c:v>0.2638457577538138</c:v>
                </c:pt>
                <c:pt idx="347">
                  <c:v>0.26459544790162021</c:v>
                </c:pt>
                <c:pt idx="348">
                  <c:v>0.26534756704645385</c:v>
                </c:pt>
                <c:pt idx="349">
                  <c:v>0.26610212305826808</c:v>
                </c:pt>
                <c:pt idx="350">
                  <c:v>0.26685912383251503</c:v>
                </c:pt>
                <c:pt idx="351">
                  <c:v>0.26761857729022814</c:v>
                </c:pt>
                <c:pt idx="352">
                  <c:v>0.26838049137810482</c:v>
                </c:pt>
                <c:pt idx="353">
                  <c:v>0.26914487406859006</c:v>
                </c:pt>
                <c:pt idx="354">
                  <c:v>0.26991173335995933</c:v>
                </c:pt>
                <c:pt idx="355">
                  <c:v>0.27068107727640267</c:v>
                </c:pt>
                <c:pt idx="356">
                  <c:v>0.27145291386810838</c:v>
                </c:pt>
                <c:pt idx="357">
                  <c:v>0.27222725121134761</c:v>
                </c:pt>
                <c:pt idx="358">
                  <c:v>0.27300409740855835</c:v>
                </c:pt>
                <c:pt idx="359">
                  <c:v>0.27378346058843067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'Fuel Cost Risk Sim'!$D$203</c:f>
              <c:strCache>
                <c:ptCount val="1"/>
                <c:pt idx="0">
                  <c:v>Henry Hub Linked Gas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Sim'!$E$203:$MZ$203</c:f>
              <c:numCache>
                <c:formatCode>_("$"* #,##0.000_);_("$"* \(#,##0.000\);_("$"* "-"??_);_(@_)</c:formatCode>
                <c:ptCount val="360"/>
                <c:pt idx="0">
                  <c:v>9.5661600000000013E-2</c:v>
                </c:pt>
                <c:pt idx="1">
                  <c:v>9.573028175842567E-2</c:v>
                </c:pt>
                <c:pt idx="2">
                  <c:v>9.5799186008735923E-2</c:v>
                </c:pt>
                <c:pt idx="3">
                  <c:v>9.5868313471684591E-2</c:v>
                </c:pt>
                <c:pt idx="4">
                  <c:v>9.5937664870360317E-2</c:v>
                </c:pt>
                <c:pt idx="5">
                  <c:v>9.6007240930194179E-2</c:v>
                </c:pt>
                <c:pt idx="6">
                  <c:v>9.6077042378967248E-2</c:v>
                </c:pt>
                <c:pt idx="7">
                  <c:v>9.614706994681825E-2</c:v>
                </c:pt>
                <c:pt idx="8">
                  <c:v>9.6217324366251106E-2</c:v>
                </c:pt>
                <c:pt idx="9">
                  <c:v>9.6287806372142737E-2</c:v>
                </c:pt>
                <c:pt idx="10">
                  <c:v>9.6358516701750579E-2</c:v>
                </c:pt>
                <c:pt idx="11">
                  <c:v>9.642945609472045E-2</c:v>
                </c:pt>
                <c:pt idx="12">
                  <c:v>9.6500625293094208E-2</c:v>
                </c:pt>
                <c:pt idx="13">
                  <c:v>9.6572025041317483E-2</c:v>
                </c:pt>
                <c:pt idx="14">
                  <c:v>9.6643656086247587E-2</c:v>
                </c:pt>
                <c:pt idx="15">
                  <c:v>9.6715519177161188E-2</c:v>
                </c:pt>
                <c:pt idx="16">
                  <c:v>9.6787615065762236E-2</c:v>
                </c:pt>
                <c:pt idx="17">
                  <c:v>9.6859944506189732E-2</c:v>
                </c:pt>
                <c:pt idx="18">
                  <c:v>9.6932508255025779E-2</c:v>
                </c:pt>
                <c:pt idx="19">
                  <c:v>9.7005307071303351E-2</c:v>
                </c:pt>
                <c:pt idx="20">
                  <c:v>9.7078341716514263E-2</c:v>
                </c:pt>
                <c:pt idx="21">
                  <c:v>9.7151612954617189E-2</c:v>
                </c:pt>
                <c:pt idx="22">
                  <c:v>9.7225121552045574E-2</c:v>
                </c:pt>
                <c:pt idx="23">
                  <c:v>9.7298868277715736E-2</c:v>
                </c:pt>
                <c:pt idx="24">
                  <c:v>9.7372853903034837E-2</c:v>
                </c:pt>
                <c:pt idx="25">
                  <c:v>9.7447079201909037E-2</c:v>
                </c:pt>
                <c:pt idx="26">
                  <c:v>9.7521544950751438E-2</c:v>
                </c:pt>
                <c:pt idx="27">
                  <c:v>9.7596251928490391E-2</c:v>
                </c:pt>
                <c:pt idx="28">
                  <c:v>9.7671200916577508E-2</c:v>
                </c:pt>
                <c:pt idx="29">
                  <c:v>9.7746392698995918E-2</c:v>
                </c:pt>
                <c:pt idx="30">
                  <c:v>9.7821828062268384E-2</c:v>
                </c:pt>
                <c:pt idx="31">
                  <c:v>9.7897507795465619E-2</c:v>
                </c:pt>
                <c:pt idx="32">
                  <c:v>9.797343269021451E-2</c:v>
                </c:pt>
                <c:pt idx="33">
                  <c:v>9.804960354070634E-2</c:v>
                </c:pt>
                <c:pt idx="34">
                  <c:v>9.8126021143705167E-2</c:v>
                </c:pt>
                <c:pt idx="35">
                  <c:v>9.8202686298556149E-2</c:v>
                </c:pt>
                <c:pt idx="36">
                  <c:v>9.827959980719389E-2</c:v>
                </c:pt>
                <c:pt idx="37">
                  <c:v>9.8356762474150802E-2</c:v>
                </c:pt>
                <c:pt idx="38">
                  <c:v>9.8434175106565575E-2</c:v>
                </c:pt>
                <c:pt idx="39">
                  <c:v>9.8511838514191596E-2</c:v>
                </c:pt>
                <c:pt idx="40">
                  <c:v>9.8589753509405395E-2</c:v>
                </c:pt>
                <c:pt idx="41">
                  <c:v>9.8667920907215184E-2</c:v>
                </c:pt>
                <c:pt idx="42">
                  <c:v>9.8746341525269343E-2</c:v>
                </c:pt>
                <c:pt idx="43">
                  <c:v>9.8825016183865008E-2</c:v>
                </c:pt>
                <c:pt idx="44">
                  <c:v>9.890394570595662E-2</c:v>
                </c:pt>
                <c:pt idx="45">
                  <c:v>9.8983130917164569E-2</c:v>
                </c:pt>
                <c:pt idx="46">
                  <c:v>9.9062572645783817E-2</c:v>
                </c:pt>
                <c:pt idx="47">
                  <c:v>9.914227172279251E-2</c:v>
                </c:pt>
                <c:pt idx="48">
                  <c:v>9.9222228981860755E-2</c:v>
                </c:pt>
                <c:pt idx="49">
                  <c:v>9.9302445259359315E-2</c:v>
                </c:pt>
                <c:pt idx="50">
                  <c:v>9.9382921394368287E-2</c:v>
                </c:pt>
                <c:pt idx="51">
                  <c:v>9.9463658228685969E-2</c:v>
                </c:pt>
                <c:pt idx="52">
                  <c:v>9.9544656606837645E-2</c:v>
                </c:pt>
                <c:pt idx="53">
                  <c:v>9.962591737608438E-2</c:v>
                </c:pt>
                <c:pt idx="54">
                  <c:v>9.9707441386431922E-2</c:v>
                </c:pt>
                <c:pt idx="55">
                  <c:v>9.9789229490639592E-2</c:v>
                </c:pt>
                <c:pt idx="56">
                  <c:v>9.987128254422914E-2</c:v>
                </c:pt>
                <c:pt idx="57">
                  <c:v>9.9953601405493822E-2</c:v>
                </c:pt>
                <c:pt idx="58">
                  <c:v>0.10003618693550724</c:v>
                </c:pt>
                <c:pt idx="59">
                  <c:v>0.1001190399981324</c:v>
                </c:pt>
                <c:pt idx="60">
                  <c:v>0.10020216146003089</c:v>
                </c:pt>
                <c:pt idx="61">
                  <c:v>0.1002855521906716</c:v>
                </c:pt>
                <c:pt idx="62">
                  <c:v>0.10036921306234019</c:v>
                </c:pt>
                <c:pt idx="63">
                  <c:v>0.10045314495014804</c:v>
                </c:pt>
                <c:pt idx="64">
                  <c:v>0.10053734873204136</c:v>
                </c:pt>
                <c:pt idx="65">
                  <c:v>0.10062182528881047</c:v>
                </c:pt>
                <c:pt idx="66">
                  <c:v>0.10070657550409898</c:v>
                </c:pt>
                <c:pt idx="67">
                  <c:v>0.10079160026441297</c:v>
                </c:pt>
                <c:pt idx="68">
                  <c:v>0.10087690045913045</c:v>
                </c:pt>
                <c:pt idx="69">
                  <c:v>0.10096247698051038</c:v>
                </c:pt>
                <c:pt idx="70">
                  <c:v>0.10104833072370227</c:v>
                </c:pt>
                <c:pt idx="71">
                  <c:v>0.10113446258675539</c:v>
                </c:pt>
                <c:pt idx="72">
                  <c:v>0.10122087347062822</c:v>
                </c:pt>
                <c:pt idx="73">
                  <c:v>0.10130756427919783</c:v>
                </c:pt>
                <c:pt idx="74">
                  <c:v>0.1013945359192694</c:v>
                </c:pt>
                <c:pt idx="75">
                  <c:v>0.10148178930058564</c:v>
                </c:pt>
                <c:pt idx="76">
                  <c:v>0.10156932533583639</c:v>
                </c:pt>
                <c:pt idx="77">
                  <c:v>0.10165714494066803</c:v>
                </c:pt>
                <c:pt idx="78">
                  <c:v>0.10174524903369322</c:v>
                </c:pt>
                <c:pt idx="79">
                  <c:v>0.10183363853650039</c:v>
                </c:pt>
                <c:pt idx="80">
                  <c:v>0.10192231437366339</c:v>
                </c:pt>
                <c:pt idx="81">
                  <c:v>0.10201127747275128</c:v>
                </c:pt>
                <c:pt idx="82">
                  <c:v>0.10210052876433785</c:v>
                </c:pt>
                <c:pt idx="83">
                  <c:v>0.10219006918201154</c:v>
                </c:pt>
                <c:pt idx="84">
                  <c:v>0.10227989966238499</c:v>
                </c:pt>
                <c:pt idx="85">
                  <c:v>0.10237002114510506</c:v>
                </c:pt>
                <c:pt idx="86">
                  <c:v>0.10246043457286257</c:v>
                </c:pt>
                <c:pt idx="87">
                  <c:v>0.10255114089140206</c:v>
                </c:pt>
                <c:pt idx="88">
                  <c:v>0.10264214104953186</c:v>
                </c:pt>
                <c:pt idx="89">
                  <c:v>0.10273343599913387</c:v>
                </c:pt>
                <c:pt idx="90">
                  <c:v>0.1028250266951736</c:v>
                </c:pt>
                <c:pt idx="91">
                  <c:v>0.10291691409571015</c:v>
                </c:pt>
                <c:pt idx="92">
                  <c:v>0.10300909916190618</c:v>
                </c:pt>
                <c:pt idx="93">
                  <c:v>0.103101582858038</c:v>
                </c:pt>
                <c:pt idx="94">
                  <c:v>0.10319436615150568</c:v>
                </c:pt>
                <c:pt idx="95">
                  <c:v>0.10328745001284315</c:v>
                </c:pt>
                <c:pt idx="96">
                  <c:v>0.1033808354157283</c:v>
                </c:pt>
                <c:pt idx="97">
                  <c:v>0.10347452333699327</c:v>
                </c:pt>
                <c:pt idx="98">
                  <c:v>0.10356851475663459</c:v>
                </c:pt>
                <c:pt idx="99">
                  <c:v>0.10366281065782341</c:v>
                </c:pt>
                <c:pt idx="100">
                  <c:v>0.10375741202691591</c:v>
                </c:pt>
                <c:pt idx="101">
                  <c:v>0.10385231985346342</c:v>
                </c:pt>
                <c:pt idx="102">
                  <c:v>0.10394753513022298</c:v>
                </c:pt>
                <c:pt idx="103">
                  <c:v>0.10404305885316757</c:v>
                </c:pt>
                <c:pt idx="104">
                  <c:v>0.10413889202149665</c:v>
                </c:pt>
                <c:pt idx="105">
                  <c:v>0.10423503563764647</c:v>
                </c:pt>
                <c:pt idx="106">
                  <c:v>0.10433149070730068</c:v>
                </c:pt>
                <c:pt idx="107">
                  <c:v>0.10442825823940076</c:v>
                </c:pt>
                <c:pt idx="108">
                  <c:v>0.10452533924615669</c:v>
                </c:pt>
                <c:pt idx="109">
                  <c:v>0.1046227347430574</c:v>
                </c:pt>
                <c:pt idx="110">
                  <c:v>0.10472044574888149</c:v>
                </c:pt>
                <c:pt idx="111">
                  <c:v>0.10481847328570787</c:v>
                </c:pt>
                <c:pt idx="112">
                  <c:v>0.10491681837892633</c:v>
                </c:pt>
                <c:pt idx="113">
                  <c:v>0.10501548205724853</c:v>
                </c:pt>
                <c:pt idx="114">
                  <c:v>0.10511446535271848</c:v>
                </c:pt>
                <c:pt idx="115">
                  <c:v>0.10521376930072351</c:v>
                </c:pt>
                <c:pt idx="116">
                  <c:v>0.10531339494000504</c:v>
                </c:pt>
                <c:pt idx="117">
                  <c:v>0.1054133433126694</c:v>
                </c:pt>
                <c:pt idx="118">
                  <c:v>0.10551361546419889</c:v>
                </c:pt>
                <c:pt idx="119">
                  <c:v>0.10561421244346252</c:v>
                </c:pt>
                <c:pt idx="120">
                  <c:v>0.1057151353027271</c:v>
                </c:pt>
                <c:pt idx="121">
                  <c:v>0.10581638509766821</c:v>
                </c:pt>
                <c:pt idx="122">
                  <c:v>0.10591796288738123</c:v>
                </c:pt>
                <c:pt idx="123">
                  <c:v>0.10601986973439255</c:v>
                </c:pt>
                <c:pt idx="124">
                  <c:v>0.1061221067046704</c:v>
                </c:pt>
                <c:pt idx="125">
                  <c:v>0.10622467486763629</c:v>
                </c:pt>
                <c:pt idx="126">
                  <c:v>0.10632757529617608</c:v>
                </c:pt>
                <c:pt idx="127">
                  <c:v>0.10643080906665112</c:v>
                </c:pt>
                <c:pt idx="128">
                  <c:v>0.10653437725890967</c:v>
                </c:pt>
                <c:pt idx="129">
                  <c:v>0.10663828095629808</c:v>
                </c:pt>
                <c:pt idx="130">
                  <c:v>0.10674252124567217</c:v>
                </c:pt>
                <c:pt idx="131">
                  <c:v>0.10684709921740859</c:v>
                </c:pt>
                <c:pt idx="132">
                  <c:v>0.10695201596541619</c:v>
                </c:pt>
                <c:pt idx="133">
                  <c:v>0.10705727258714756</c:v>
                </c:pt>
                <c:pt idx="134">
                  <c:v>0.10716287018361037</c:v>
                </c:pt>
                <c:pt idx="135">
                  <c:v>0.10726880985937902</c:v>
                </c:pt>
                <c:pt idx="136">
                  <c:v>0.10737509272260612</c:v>
                </c:pt>
                <c:pt idx="137">
                  <c:v>0.10748171988503406</c:v>
                </c:pt>
                <c:pt idx="138">
                  <c:v>0.10758869246200674</c:v>
                </c:pt>
                <c:pt idx="139">
                  <c:v>0.10769601157248113</c:v>
                </c:pt>
                <c:pt idx="140">
                  <c:v>0.10780367833903902</c:v>
                </c:pt>
                <c:pt idx="141">
                  <c:v>0.10791169388789877</c:v>
                </c:pt>
                <c:pt idx="142">
                  <c:v>0.1080200593489271</c:v>
                </c:pt>
                <c:pt idx="143">
                  <c:v>0.10812877585565084</c:v>
                </c:pt>
                <c:pt idx="144">
                  <c:v>0.10823784454526889</c:v>
                </c:pt>
                <c:pt idx="145">
                  <c:v>0.108347266558664</c:v>
                </c:pt>
                <c:pt idx="146">
                  <c:v>0.10845704304041483</c:v>
                </c:pt>
                <c:pt idx="147">
                  <c:v>0.10856717513880781</c:v>
                </c:pt>
                <c:pt idx="148">
                  <c:v>0.10867766400584924</c:v>
                </c:pt>
                <c:pt idx="149">
                  <c:v>0.10878851079727728</c:v>
                </c:pt>
                <c:pt idx="150">
                  <c:v>0.108899716672574</c:v>
                </c:pt>
                <c:pt idx="151">
                  <c:v>0.1090112827949777</c:v>
                </c:pt>
                <c:pt idx="152">
                  <c:v>0.10912321033149483</c:v>
                </c:pt>
                <c:pt idx="153">
                  <c:v>0.10923550045291236</c:v>
                </c:pt>
                <c:pt idx="154">
                  <c:v>0.10934815433380995</c:v>
                </c:pt>
                <c:pt idx="155">
                  <c:v>0.10946117315257232</c:v>
                </c:pt>
                <c:pt idx="156">
                  <c:v>0.10957455809140146</c:v>
                </c:pt>
                <c:pt idx="157">
                  <c:v>0.1096883103363291</c:v>
                </c:pt>
                <c:pt idx="158">
                  <c:v>0.10980243107722903</c:v>
                </c:pt>
                <c:pt idx="159">
                  <c:v>0.10991692150782967</c:v>
                </c:pt>
                <c:pt idx="160">
                  <c:v>0.11003178282572634</c:v>
                </c:pt>
                <c:pt idx="161">
                  <c:v>0.11014701623239409</c:v>
                </c:pt>
                <c:pt idx="162">
                  <c:v>0.11026262293319998</c:v>
                </c:pt>
                <c:pt idx="163">
                  <c:v>0.11037860413741586</c:v>
                </c:pt>
                <c:pt idx="164">
                  <c:v>0.11049496105823094</c:v>
                </c:pt>
                <c:pt idx="165">
                  <c:v>0.11061169491276454</c:v>
                </c:pt>
                <c:pt idx="166">
                  <c:v>0.1107288069220788</c:v>
                </c:pt>
                <c:pt idx="167">
                  <c:v>0.11084629831119137</c:v>
                </c:pt>
                <c:pt idx="168">
                  <c:v>0.11096417030908841</c:v>
                </c:pt>
                <c:pt idx="169">
                  <c:v>0.1110824241487372</c:v>
                </c:pt>
                <c:pt idx="170">
                  <c:v>0.1112010610670993</c:v>
                </c:pt>
                <c:pt idx="171">
                  <c:v>0.11132008230514329</c:v>
                </c:pt>
                <c:pt idx="172">
                  <c:v>0.11143948910785781</c:v>
                </c:pt>
                <c:pt idx="173">
                  <c:v>0.1115592827242646</c:v>
                </c:pt>
                <c:pt idx="174">
                  <c:v>0.11167946440743161</c:v>
                </c:pt>
                <c:pt idx="175">
                  <c:v>0.11180003541448598</c:v>
                </c:pt>
                <c:pt idx="176">
                  <c:v>0.1119209970066273</c:v>
                </c:pt>
                <c:pt idx="177">
                  <c:v>0.11204235044914078</c:v>
                </c:pt>
                <c:pt idx="178">
                  <c:v>0.11216409701141045</c:v>
                </c:pt>
                <c:pt idx="179">
                  <c:v>0.11228623796693246</c:v>
                </c:pt>
                <c:pt idx="180">
                  <c:v>0.11240877459332842</c:v>
                </c:pt>
                <c:pt idx="181">
                  <c:v>0.11253170817235875</c:v>
                </c:pt>
                <c:pt idx="182">
                  <c:v>0.11265503998993602</c:v>
                </c:pt>
                <c:pt idx="183">
                  <c:v>0.11277877133613855</c:v>
                </c:pt>
                <c:pt idx="184">
                  <c:v>0.11290290350522375</c:v>
                </c:pt>
                <c:pt idx="185">
                  <c:v>0.11302743779564178</c:v>
                </c:pt>
                <c:pt idx="186">
                  <c:v>0.11315237551004906</c:v>
                </c:pt>
                <c:pt idx="187">
                  <c:v>0.11327771795532188</c:v>
                </c:pt>
                <c:pt idx="188">
                  <c:v>0.11340346644257016</c:v>
                </c:pt>
                <c:pt idx="189">
                  <c:v>0.11352962228715108</c:v>
                </c:pt>
                <c:pt idx="190">
                  <c:v>0.11365618680868285</c:v>
                </c:pt>
                <c:pt idx="191">
                  <c:v>0.11378316133105859</c:v>
                </c:pt>
                <c:pt idx="192">
                  <c:v>0.11391054718246005</c:v>
                </c:pt>
                <c:pt idx="193">
                  <c:v>0.11403834569537162</c:v>
                </c:pt>
                <c:pt idx="194">
                  <c:v>0.1141665582065942</c:v>
                </c:pt>
                <c:pt idx="195">
                  <c:v>0.11429518605725926</c:v>
                </c:pt>
                <c:pt idx="196">
                  <c:v>0.11442423059284271</c:v>
                </c:pt>
                <c:pt idx="197">
                  <c:v>0.11455369316317916</c:v>
                </c:pt>
                <c:pt idx="198">
                  <c:v>0.11468357512247591</c:v>
                </c:pt>
                <c:pt idx="199">
                  <c:v>0.11481387782932724</c:v>
                </c:pt>
                <c:pt idx="200">
                  <c:v>0.1149446026467284</c:v>
                </c:pt>
                <c:pt idx="201">
                  <c:v>0.11507575094209015</c:v>
                </c:pt>
                <c:pt idx="202">
                  <c:v>0.11520732408725287</c:v>
                </c:pt>
                <c:pt idx="203">
                  <c:v>0.11533932345850093</c:v>
                </c:pt>
                <c:pt idx="204">
                  <c:v>0.11547175043657718</c:v>
                </c:pt>
                <c:pt idx="205">
                  <c:v>0.1156046064066973</c:v>
                </c:pt>
                <c:pt idx="206">
                  <c:v>0.11573789275856433</c:v>
                </c:pt>
                <c:pt idx="207">
                  <c:v>0.11587161088638318</c:v>
                </c:pt>
                <c:pt idx="208">
                  <c:v>0.11600576218887525</c:v>
                </c:pt>
                <c:pt idx="209">
                  <c:v>0.11614034806929309</c:v>
                </c:pt>
                <c:pt idx="210">
                  <c:v>0.11627536993543493</c:v>
                </c:pt>
                <c:pt idx="211">
                  <c:v>0.11641082919965959</c:v>
                </c:pt>
                <c:pt idx="212">
                  <c:v>0.11654672727890111</c:v>
                </c:pt>
                <c:pt idx="213">
                  <c:v>0.11668306559468371</c:v>
                </c:pt>
                <c:pt idx="214">
                  <c:v>0.11681984557313653</c:v>
                </c:pt>
                <c:pt idx="215">
                  <c:v>0.11695706864500859</c:v>
                </c:pt>
                <c:pt idx="216">
                  <c:v>0.11709473624568378</c:v>
                </c:pt>
                <c:pt idx="217">
                  <c:v>0.1172328498151959</c:v>
                </c:pt>
                <c:pt idx="218">
                  <c:v>0.11737141079824363</c:v>
                </c:pt>
                <c:pt idx="219">
                  <c:v>0.11751042064420569</c:v>
                </c:pt>
                <c:pt idx="220">
                  <c:v>0.11764988080715608</c:v>
                </c:pt>
                <c:pt idx="221">
                  <c:v>0.11778979274587913</c:v>
                </c:pt>
                <c:pt idx="222">
                  <c:v>0.11793015792388488</c:v>
                </c:pt>
                <c:pt idx="223">
                  <c:v>0.11807097780942435</c:v>
                </c:pt>
                <c:pt idx="224">
                  <c:v>0.11821225387550492</c:v>
                </c:pt>
                <c:pt idx="225">
                  <c:v>0.11835398759990573</c:v>
                </c:pt>
                <c:pt idx="226">
                  <c:v>0.11849618046519304</c:v>
                </c:pt>
                <c:pt idx="227">
                  <c:v>0.11863883395873596</c:v>
                </c:pt>
                <c:pt idx="228">
                  <c:v>0.11878194957272177</c:v>
                </c:pt>
                <c:pt idx="229">
                  <c:v>0.11892552880417168</c:v>
                </c:pt>
                <c:pt idx="230">
                  <c:v>0.11906957315495641</c:v>
                </c:pt>
                <c:pt idx="231">
                  <c:v>0.11921408413181198</c:v>
                </c:pt>
                <c:pt idx="232">
                  <c:v>0.11935906324635537</c:v>
                </c:pt>
                <c:pt idx="233">
                  <c:v>0.11950451201510041</c:v>
                </c:pt>
                <c:pt idx="234">
                  <c:v>0.11965043195947363</c:v>
                </c:pt>
                <c:pt idx="235">
                  <c:v>0.11979682460583013</c:v>
                </c:pt>
                <c:pt idx="236">
                  <c:v>0.11994369148546961</c:v>
                </c:pt>
                <c:pt idx="237">
                  <c:v>0.12009103413465234</c:v>
                </c:pt>
                <c:pt idx="238">
                  <c:v>0.12023885409461525</c:v>
                </c:pt>
                <c:pt idx="239">
                  <c:v>0.12038715291158802</c:v>
                </c:pt>
                <c:pt idx="240">
                  <c:v>0.12053593213680935</c:v>
                </c:pt>
                <c:pt idx="241">
                  <c:v>0.12068519332654304</c:v>
                </c:pt>
                <c:pt idx="242">
                  <c:v>0.12083493804209439</c:v>
                </c:pt>
                <c:pt idx="243">
                  <c:v>0.12098516784982646</c:v>
                </c:pt>
                <c:pt idx="244">
                  <c:v>0.12113588432117653</c:v>
                </c:pt>
                <c:pt idx="245">
                  <c:v>0.12128708903267242</c:v>
                </c:pt>
                <c:pt idx="246">
                  <c:v>0.12143878356594912</c:v>
                </c:pt>
                <c:pt idx="247">
                  <c:v>0.1215909695077652</c:v>
                </c:pt>
                <c:pt idx="248">
                  <c:v>0.12174364845001956</c:v>
                </c:pt>
                <c:pt idx="249">
                  <c:v>0.12189682198976788</c:v>
                </c:pt>
                <c:pt idx="250">
                  <c:v>0.12205049172923955</c:v>
                </c:pt>
                <c:pt idx="251">
                  <c:v>0.12220465927585429</c:v>
                </c:pt>
                <c:pt idx="252">
                  <c:v>0.12235932624223889</c:v>
                </c:pt>
                <c:pt idx="253">
                  <c:v>0.12251449424624432</c:v>
                </c:pt>
                <c:pt idx="254">
                  <c:v>0.12267016491096246</c:v>
                </c:pt>
                <c:pt idx="255">
                  <c:v>0.12282633986474313</c:v>
                </c:pt>
                <c:pt idx="256">
                  <c:v>0.12298302074121115</c:v>
                </c:pt>
                <c:pt idx="257">
                  <c:v>0.12314020917928334</c:v>
                </c:pt>
                <c:pt idx="258">
                  <c:v>0.1232979068231858</c:v>
                </c:pt>
                <c:pt idx="259">
                  <c:v>0.123456115322471</c:v>
                </c:pt>
                <c:pt idx="260">
                  <c:v>0.1236148363320351</c:v>
                </c:pt>
                <c:pt idx="261">
                  <c:v>0.12377407151213519</c:v>
                </c:pt>
                <c:pt idx="262">
                  <c:v>0.12393382252840672</c:v>
                </c:pt>
                <c:pt idx="263">
                  <c:v>0.12409409105188092</c:v>
                </c:pt>
                <c:pt idx="264">
                  <c:v>0.12425487875900219</c:v>
                </c:pt>
                <c:pt idx="265">
                  <c:v>0.12441618733164583</c:v>
                </c:pt>
                <c:pt idx="266">
                  <c:v>0.1245780184571354</c:v>
                </c:pt>
                <c:pt idx="267">
                  <c:v>0.12474037382826049</c:v>
                </c:pt>
                <c:pt idx="268">
                  <c:v>0.12490325514329449</c:v>
                </c:pt>
                <c:pt idx="269">
                  <c:v>0.12506666410601219</c:v>
                </c:pt>
                <c:pt idx="270">
                  <c:v>0.1252306024257078</c:v>
                </c:pt>
                <c:pt idx="271">
                  <c:v>0.1253950718172126</c:v>
                </c:pt>
                <c:pt idx="272">
                  <c:v>0.12556007400091307</c:v>
                </c:pt>
                <c:pt idx="273">
                  <c:v>0.12572561070276878</c:v>
                </c:pt>
                <c:pt idx="274">
                  <c:v>0.12589168365433054</c:v>
                </c:pt>
                <c:pt idx="275">
                  <c:v>0.12605829459275839</c:v>
                </c:pt>
                <c:pt idx="276">
                  <c:v>0.12622544526083984</c:v>
                </c:pt>
                <c:pt idx="277">
                  <c:v>0.12639313740700819</c:v>
                </c:pt>
                <c:pt idx="278">
                  <c:v>0.12656137278536053</c:v>
                </c:pt>
                <c:pt idx="279">
                  <c:v>0.12673015315567643</c:v>
                </c:pt>
                <c:pt idx="280">
                  <c:v>0.12689948028343617</c:v>
                </c:pt>
                <c:pt idx="281">
                  <c:v>0.1270693559398392</c:v>
                </c:pt>
                <c:pt idx="282">
                  <c:v>0.12723978190182272</c:v>
                </c:pt>
                <c:pt idx="283">
                  <c:v>0.12741075995208029</c:v>
                </c:pt>
                <c:pt idx="284">
                  <c:v>0.12758229187908032</c:v>
                </c:pt>
                <c:pt idx="285">
                  <c:v>0.12775437947708504</c:v>
                </c:pt>
                <c:pt idx="286">
                  <c:v>0.127927024546169</c:v>
                </c:pt>
                <c:pt idx="287">
                  <c:v>0.12810022889223815</c:v>
                </c:pt>
                <c:pt idx="288">
                  <c:v>0.12827399432704845</c:v>
                </c:pt>
                <c:pt idx="289">
                  <c:v>0.12844832266822509</c:v>
                </c:pt>
                <c:pt idx="290">
                  <c:v>0.12862321573928132</c:v>
                </c:pt>
                <c:pt idx="291">
                  <c:v>0.12879867536963763</c:v>
                </c:pt>
                <c:pt idx="292">
                  <c:v>0.12897470339464087</c:v>
                </c:pt>
                <c:pt idx="293">
                  <c:v>0.12915130165558331</c:v>
                </c:pt>
                <c:pt idx="294">
                  <c:v>0.12932847199972214</c:v>
                </c:pt>
                <c:pt idx="295">
                  <c:v>0.12950621628029862</c:v>
                </c:pt>
                <c:pt idx="296">
                  <c:v>0.12968453635655752</c:v>
                </c:pt>
                <c:pt idx="297">
                  <c:v>0.12986343409376652</c:v>
                </c:pt>
                <c:pt idx="298">
                  <c:v>0.13004291136323581</c:v>
                </c:pt>
                <c:pt idx="299">
                  <c:v>0.13022297004233763</c:v>
                </c:pt>
                <c:pt idx="300">
                  <c:v>0.13040361201452585</c:v>
                </c:pt>
                <c:pt idx="301">
                  <c:v>0.1305848391693557</c:v>
                </c:pt>
                <c:pt idx="302">
                  <c:v>0.13076665340250365</c:v>
                </c:pt>
                <c:pt idx="303">
                  <c:v>0.13094905661578701</c:v>
                </c:pt>
                <c:pt idx="304">
                  <c:v>0.13113205071718403</c:v>
                </c:pt>
                <c:pt idx="305">
                  <c:v>0.1313156376208538</c:v>
                </c:pt>
                <c:pt idx="306">
                  <c:v>0.13149981924715617</c:v>
                </c:pt>
                <c:pt idx="307">
                  <c:v>0.13168459752267203</c:v>
                </c:pt>
                <c:pt idx="308">
                  <c:v>0.13186997438022327</c:v>
                </c:pt>
                <c:pt idx="309">
                  <c:v>0.13205595175889309</c:v>
                </c:pt>
                <c:pt idx="310">
                  <c:v>0.13224253160404631</c:v>
                </c:pt>
                <c:pt idx="311">
                  <c:v>0.1324297158673497</c:v>
                </c:pt>
                <c:pt idx="312">
                  <c:v>0.13261750650679227</c:v>
                </c:pt>
                <c:pt idx="313">
                  <c:v>0.13280590548670601</c:v>
                </c:pt>
                <c:pt idx="314">
                  <c:v>0.13299491477778613</c:v>
                </c:pt>
                <c:pt idx="315">
                  <c:v>0.13318453635711197</c:v>
                </c:pt>
                <c:pt idx="316">
                  <c:v>0.13337477220816746</c:v>
                </c:pt>
                <c:pt idx="317">
                  <c:v>0.133565624320862</c:v>
                </c:pt>
                <c:pt idx="318">
                  <c:v>0.13375709469155123</c:v>
                </c:pt>
                <c:pt idx="319">
                  <c:v>0.13394918532305772</c:v>
                </c:pt>
                <c:pt idx="320">
                  <c:v>0.13414189822469241</c:v>
                </c:pt>
                <c:pt idx="321">
                  <c:v>0.13433523541227513</c:v>
                </c:pt>
                <c:pt idx="322">
                  <c:v>0.1345291989081559</c:v>
                </c:pt>
                <c:pt idx="323">
                  <c:v>0.13472379074123611</c:v>
                </c:pt>
                <c:pt idx="324">
                  <c:v>0.13491901294698966</c:v>
                </c:pt>
                <c:pt idx="325">
                  <c:v>0.13511486756748431</c:v>
                </c:pt>
                <c:pt idx="326">
                  <c:v>0.13531135665140301</c:v>
                </c:pt>
                <c:pt idx="327">
                  <c:v>0.13550848225406537</c:v>
                </c:pt>
                <c:pt idx="328">
                  <c:v>0.13570624643744902</c:v>
                </c:pt>
                <c:pt idx="329">
                  <c:v>0.13590465127021145</c:v>
                </c:pt>
                <c:pt idx="330">
                  <c:v>0.13610369882771134</c:v>
                </c:pt>
                <c:pt idx="331">
                  <c:v>0.13630339119203053</c:v>
                </c:pt>
                <c:pt idx="332">
                  <c:v>0.1365037304519956</c:v>
                </c:pt>
                <c:pt idx="333">
                  <c:v>0.13670471870319978</c:v>
                </c:pt>
                <c:pt idx="334">
                  <c:v>0.13690635804802503</c:v>
                </c:pt>
                <c:pt idx="335">
                  <c:v>0.13710865059566374</c:v>
                </c:pt>
                <c:pt idx="336">
                  <c:v>0.13731159846214108</c:v>
                </c:pt>
                <c:pt idx="337">
                  <c:v>0.13751520377033682</c:v>
                </c:pt>
                <c:pt idx="338">
                  <c:v>0.137719468650008</c:v>
                </c:pt>
                <c:pt idx="339">
                  <c:v>0.13792439523781061</c:v>
                </c:pt>
                <c:pt idx="340">
                  <c:v>0.13812998567732243</c:v>
                </c:pt>
                <c:pt idx="341">
                  <c:v>0.13833624211906531</c:v>
                </c:pt>
                <c:pt idx="342">
                  <c:v>0.13854316672052752</c:v>
                </c:pt>
                <c:pt idx="343">
                  <c:v>0.13875076164618647</c:v>
                </c:pt>
                <c:pt idx="344">
                  <c:v>0.13895902906753135</c:v>
                </c:pt>
                <c:pt idx="345">
                  <c:v>0.13916797116308577</c:v>
                </c:pt>
                <c:pt idx="346">
                  <c:v>0.13937759011843054</c:v>
                </c:pt>
                <c:pt idx="347">
                  <c:v>0.13958788812622669</c:v>
                </c:pt>
                <c:pt idx="348">
                  <c:v>0.13979886738623815</c:v>
                </c:pt>
                <c:pt idx="349">
                  <c:v>0.14001053010535502</c:v>
                </c:pt>
                <c:pt idx="350">
                  <c:v>0.14022287849761644</c:v>
                </c:pt>
                <c:pt idx="351">
                  <c:v>0.14043591478423398</c:v>
                </c:pt>
                <c:pt idx="352">
                  <c:v>0.14064964119361456</c:v>
                </c:pt>
                <c:pt idx="353">
                  <c:v>0.14086405996138401</c:v>
                </c:pt>
                <c:pt idx="354">
                  <c:v>0.14107917333041048</c:v>
                </c:pt>
                <c:pt idx="355">
                  <c:v>0.14129498355082765</c:v>
                </c:pt>
                <c:pt idx="356">
                  <c:v>0.14151149288005851</c:v>
                </c:pt>
                <c:pt idx="357">
                  <c:v>0.1417287035828389</c:v>
                </c:pt>
                <c:pt idx="358">
                  <c:v>0.14194661793124111</c:v>
                </c:pt>
                <c:pt idx="359">
                  <c:v>0.14216523820469779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'Fuel Cost Risk Sim'!$D$204</c:f>
              <c:strCache>
                <c:ptCount val="1"/>
                <c:pt idx="0">
                  <c:v>RE PPA Weighted Avg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Sim'!$E$204:$MZ$204</c:f>
              <c:numCache>
                <c:formatCode>_("$"* #,##0.000_);_("$"* \(#,##0.000\);_("$"* "-"??_);_(@_)</c:formatCode>
                <c:ptCount val="360"/>
                <c:pt idx="0">
                  <c:v>0.13041437928067065</c:v>
                </c:pt>
                <c:pt idx="1">
                  <c:v>0.13041437928067065</c:v>
                </c:pt>
                <c:pt idx="2">
                  <c:v>0.13041437928067065</c:v>
                </c:pt>
                <c:pt idx="3">
                  <c:v>0.13041437928067065</c:v>
                </c:pt>
                <c:pt idx="4">
                  <c:v>0.13041437928067065</c:v>
                </c:pt>
                <c:pt idx="5">
                  <c:v>0.13041437928067065</c:v>
                </c:pt>
                <c:pt idx="6">
                  <c:v>0.13041437928067065</c:v>
                </c:pt>
                <c:pt idx="7">
                  <c:v>0.13041437928067065</c:v>
                </c:pt>
                <c:pt idx="8">
                  <c:v>0.13041437928067065</c:v>
                </c:pt>
                <c:pt idx="9">
                  <c:v>0.13041437928067065</c:v>
                </c:pt>
                <c:pt idx="10">
                  <c:v>0.13041437928067065</c:v>
                </c:pt>
                <c:pt idx="11">
                  <c:v>0.13041437928067065</c:v>
                </c:pt>
                <c:pt idx="12">
                  <c:v>0.13041437928067065</c:v>
                </c:pt>
                <c:pt idx="13">
                  <c:v>0.13041437928067065</c:v>
                </c:pt>
                <c:pt idx="14">
                  <c:v>0.13041437928067065</c:v>
                </c:pt>
                <c:pt idx="15">
                  <c:v>0.13041437928067065</c:v>
                </c:pt>
                <c:pt idx="16">
                  <c:v>0.13041437928067065</c:v>
                </c:pt>
                <c:pt idx="17">
                  <c:v>0.13041437928067065</c:v>
                </c:pt>
                <c:pt idx="18">
                  <c:v>0.13041437928067065</c:v>
                </c:pt>
                <c:pt idx="19">
                  <c:v>0.13041437928067065</c:v>
                </c:pt>
                <c:pt idx="20">
                  <c:v>0.13041437928067065</c:v>
                </c:pt>
                <c:pt idx="21">
                  <c:v>0.13041437928067065</c:v>
                </c:pt>
                <c:pt idx="22">
                  <c:v>0.13041437928067065</c:v>
                </c:pt>
                <c:pt idx="23">
                  <c:v>0.13041437928067065</c:v>
                </c:pt>
                <c:pt idx="24">
                  <c:v>0.13041437928067065</c:v>
                </c:pt>
                <c:pt idx="25">
                  <c:v>0.13041437928067065</c:v>
                </c:pt>
                <c:pt idx="26">
                  <c:v>0.13041437928067065</c:v>
                </c:pt>
                <c:pt idx="27">
                  <c:v>0.13041437928067065</c:v>
                </c:pt>
                <c:pt idx="28">
                  <c:v>0.13041437928067065</c:v>
                </c:pt>
                <c:pt idx="29">
                  <c:v>0.13041437928067065</c:v>
                </c:pt>
                <c:pt idx="30">
                  <c:v>0.13041437928067065</c:v>
                </c:pt>
                <c:pt idx="31">
                  <c:v>0.13041437928067065</c:v>
                </c:pt>
                <c:pt idx="32">
                  <c:v>0.13041437928067065</c:v>
                </c:pt>
                <c:pt idx="33">
                  <c:v>0.13041437928067065</c:v>
                </c:pt>
                <c:pt idx="34">
                  <c:v>0.13041437928067065</c:v>
                </c:pt>
                <c:pt idx="35">
                  <c:v>0.13041437928067065</c:v>
                </c:pt>
                <c:pt idx="36">
                  <c:v>0.13041437928067065</c:v>
                </c:pt>
                <c:pt idx="37">
                  <c:v>0.13041437928067065</c:v>
                </c:pt>
                <c:pt idx="38">
                  <c:v>0.13041437928067065</c:v>
                </c:pt>
                <c:pt idx="39">
                  <c:v>0.13041437928067065</c:v>
                </c:pt>
                <c:pt idx="40">
                  <c:v>0.13041437928067065</c:v>
                </c:pt>
                <c:pt idx="41">
                  <c:v>0.13041437928067065</c:v>
                </c:pt>
                <c:pt idx="42">
                  <c:v>0.13041437928067065</c:v>
                </c:pt>
                <c:pt idx="43">
                  <c:v>0.13041437928067065</c:v>
                </c:pt>
                <c:pt idx="44">
                  <c:v>0.13041437928067065</c:v>
                </c:pt>
                <c:pt idx="45">
                  <c:v>0.13041437928067065</c:v>
                </c:pt>
                <c:pt idx="46">
                  <c:v>0.13041437928067065</c:v>
                </c:pt>
                <c:pt idx="47">
                  <c:v>0.13041437928067065</c:v>
                </c:pt>
                <c:pt idx="48">
                  <c:v>0.13041437928067065</c:v>
                </c:pt>
                <c:pt idx="49">
                  <c:v>0.13041437928067065</c:v>
                </c:pt>
                <c:pt idx="50">
                  <c:v>0.13041437928067065</c:v>
                </c:pt>
                <c:pt idx="51">
                  <c:v>0.13041437928067065</c:v>
                </c:pt>
                <c:pt idx="52">
                  <c:v>0.13041437928067065</c:v>
                </c:pt>
                <c:pt idx="53">
                  <c:v>0.13041437928067065</c:v>
                </c:pt>
                <c:pt idx="54">
                  <c:v>0.13041437928067065</c:v>
                </c:pt>
                <c:pt idx="55">
                  <c:v>0.13041437928067065</c:v>
                </c:pt>
                <c:pt idx="56">
                  <c:v>0.13041437928067065</c:v>
                </c:pt>
                <c:pt idx="57">
                  <c:v>0.13041437928067065</c:v>
                </c:pt>
                <c:pt idx="58">
                  <c:v>0.13041437928067065</c:v>
                </c:pt>
                <c:pt idx="59">
                  <c:v>0.13041437928067065</c:v>
                </c:pt>
                <c:pt idx="60">
                  <c:v>0.13041437928067065</c:v>
                </c:pt>
                <c:pt idx="61">
                  <c:v>0.13041437928067065</c:v>
                </c:pt>
                <c:pt idx="62">
                  <c:v>0.13041437928067065</c:v>
                </c:pt>
                <c:pt idx="63">
                  <c:v>0.13041437928067065</c:v>
                </c:pt>
                <c:pt idx="64">
                  <c:v>0.13041437928067065</c:v>
                </c:pt>
                <c:pt idx="65">
                  <c:v>0.13041437928067065</c:v>
                </c:pt>
                <c:pt idx="66">
                  <c:v>0.13041437928067065</c:v>
                </c:pt>
                <c:pt idx="67">
                  <c:v>0.13041437928067065</c:v>
                </c:pt>
                <c:pt idx="68">
                  <c:v>0.13041437928067065</c:v>
                </c:pt>
                <c:pt idx="69">
                  <c:v>0.13041437928067065</c:v>
                </c:pt>
                <c:pt idx="70">
                  <c:v>0.13041437928067065</c:v>
                </c:pt>
                <c:pt idx="71">
                  <c:v>0.13041437928067065</c:v>
                </c:pt>
                <c:pt idx="72">
                  <c:v>0.13041437928067065</c:v>
                </c:pt>
                <c:pt idx="73">
                  <c:v>0.13041437928067065</c:v>
                </c:pt>
                <c:pt idx="74">
                  <c:v>0.13041437928067065</c:v>
                </c:pt>
                <c:pt idx="75">
                  <c:v>0.13041437928067065</c:v>
                </c:pt>
                <c:pt idx="76">
                  <c:v>0.13041437928067065</c:v>
                </c:pt>
                <c:pt idx="77">
                  <c:v>0.13041437928067065</c:v>
                </c:pt>
                <c:pt idx="78">
                  <c:v>0.13041437928067065</c:v>
                </c:pt>
                <c:pt idx="79">
                  <c:v>0.13041437928067065</c:v>
                </c:pt>
                <c:pt idx="80">
                  <c:v>0.13041437928067065</c:v>
                </c:pt>
                <c:pt idx="81">
                  <c:v>0.13041437928067065</c:v>
                </c:pt>
                <c:pt idx="82">
                  <c:v>0.13041437928067065</c:v>
                </c:pt>
                <c:pt idx="83">
                  <c:v>0.13041437928067065</c:v>
                </c:pt>
                <c:pt idx="84">
                  <c:v>0.13041437928067065</c:v>
                </c:pt>
                <c:pt idx="85">
                  <c:v>0.13041437928067065</c:v>
                </c:pt>
                <c:pt idx="86">
                  <c:v>0.13041437928067065</c:v>
                </c:pt>
                <c:pt idx="87">
                  <c:v>0.13041437928067065</c:v>
                </c:pt>
                <c:pt idx="88">
                  <c:v>0.13041437928067065</c:v>
                </c:pt>
                <c:pt idx="89">
                  <c:v>0.13041437928067065</c:v>
                </c:pt>
                <c:pt idx="90">
                  <c:v>0.13041437928067065</c:v>
                </c:pt>
                <c:pt idx="91">
                  <c:v>0.13041437928067065</c:v>
                </c:pt>
                <c:pt idx="92">
                  <c:v>0.13041437928067065</c:v>
                </c:pt>
                <c:pt idx="93">
                  <c:v>0.13041437928067065</c:v>
                </c:pt>
                <c:pt idx="94">
                  <c:v>0.13041437928067065</c:v>
                </c:pt>
                <c:pt idx="95">
                  <c:v>0.13041437928067065</c:v>
                </c:pt>
                <c:pt idx="96">
                  <c:v>0.13041437928067065</c:v>
                </c:pt>
                <c:pt idx="97">
                  <c:v>0.13041437928067065</c:v>
                </c:pt>
                <c:pt idx="98">
                  <c:v>0.13041437928067065</c:v>
                </c:pt>
                <c:pt idx="99">
                  <c:v>0.13041437928067065</c:v>
                </c:pt>
                <c:pt idx="100">
                  <c:v>0.13041437928067065</c:v>
                </c:pt>
                <c:pt idx="101">
                  <c:v>0.13041437928067065</c:v>
                </c:pt>
                <c:pt idx="102">
                  <c:v>0.13041437928067065</c:v>
                </c:pt>
                <c:pt idx="103">
                  <c:v>0.13041437928067065</c:v>
                </c:pt>
                <c:pt idx="104">
                  <c:v>0.13041437928067065</c:v>
                </c:pt>
                <c:pt idx="105">
                  <c:v>0.13041437928067065</c:v>
                </c:pt>
                <c:pt idx="106">
                  <c:v>0.13041437928067065</c:v>
                </c:pt>
                <c:pt idx="107">
                  <c:v>0.13041437928067065</c:v>
                </c:pt>
                <c:pt idx="108">
                  <c:v>0.13041437928067065</c:v>
                </c:pt>
                <c:pt idx="109">
                  <c:v>0.13041437928067065</c:v>
                </c:pt>
                <c:pt idx="110">
                  <c:v>0.13041437928067065</c:v>
                </c:pt>
                <c:pt idx="111">
                  <c:v>0.13041437928067065</c:v>
                </c:pt>
                <c:pt idx="112">
                  <c:v>0.13041437928067065</c:v>
                </c:pt>
                <c:pt idx="113">
                  <c:v>0.13041437928067065</c:v>
                </c:pt>
                <c:pt idx="114">
                  <c:v>0.13041437928067065</c:v>
                </c:pt>
                <c:pt idx="115">
                  <c:v>0.13041437928067065</c:v>
                </c:pt>
                <c:pt idx="116">
                  <c:v>0.13041437928067065</c:v>
                </c:pt>
                <c:pt idx="117">
                  <c:v>0.13041437928067065</c:v>
                </c:pt>
                <c:pt idx="118">
                  <c:v>0.13041437928067065</c:v>
                </c:pt>
                <c:pt idx="119">
                  <c:v>0.13041437928067065</c:v>
                </c:pt>
                <c:pt idx="120">
                  <c:v>0.13041437928067065</c:v>
                </c:pt>
                <c:pt idx="121">
                  <c:v>0.13041437928067065</c:v>
                </c:pt>
                <c:pt idx="122">
                  <c:v>0.13041437928067065</c:v>
                </c:pt>
                <c:pt idx="123">
                  <c:v>0.13041437928067065</c:v>
                </c:pt>
                <c:pt idx="124">
                  <c:v>0.13041437928067065</c:v>
                </c:pt>
                <c:pt idx="125">
                  <c:v>0.13041437928067065</c:v>
                </c:pt>
                <c:pt idx="126">
                  <c:v>0.13041437928067065</c:v>
                </c:pt>
                <c:pt idx="127">
                  <c:v>0.13041437928067065</c:v>
                </c:pt>
                <c:pt idx="128">
                  <c:v>0.13041437928067065</c:v>
                </c:pt>
                <c:pt idx="129">
                  <c:v>0.13041437928067065</c:v>
                </c:pt>
                <c:pt idx="130">
                  <c:v>0.13041437928067065</c:v>
                </c:pt>
                <c:pt idx="131">
                  <c:v>0.13041437928067065</c:v>
                </c:pt>
                <c:pt idx="132">
                  <c:v>0.13041437928067065</c:v>
                </c:pt>
                <c:pt idx="133">
                  <c:v>0.13041437928067065</c:v>
                </c:pt>
                <c:pt idx="134">
                  <c:v>0.13041437928067065</c:v>
                </c:pt>
                <c:pt idx="135">
                  <c:v>0.13041437928067065</c:v>
                </c:pt>
                <c:pt idx="136">
                  <c:v>0.13041437928067065</c:v>
                </c:pt>
                <c:pt idx="137">
                  <c:v>0.13041437928067065</c:v>
                </c:pt>
                <c:pt idx="138">
                  <c:v>0.13041437928067065</c:v>
                </c:pt>
                <c:pt idx="139">
                  <c:v>0.13041437928067065</c:v>
                </c:pt>
                <c:pt idx="140">
                  <c:v>0.13041437928067065</c:v>
                </c:pt>
                <c:pt idx="141">
                  <c:v>0.13041437928067065</c:v>
                </c:pt>
                <c:pt idx="142">
                  <c:v>0.13041437928067065</c:v>
                </c:pt>
                <c:pt idx="143">
                  <c:v>0.13041437928067065</c:v>
                </c:pt>
                <c:pt idx="144">
                  <c:v>0.13041437928067065</c:v>
                </c:pt>
                <c:pt idx="145">
                  <c:v>0.13041437928067065</c:v>
                </c:pt>
                <c:pt idx="146">
                  <c:v>0.13041437928067065</c:v>
                </c:pt>
                <c:pt idx="147">
                  <c:v>0.13041437928067065</c:v>
                </c:pt>
                <c:pt idx="148">
                  <c:v>0.13041437928067065</c:v>
                </c:pt>
                <c:pt idx="149">
                  <c:v>0.13041437928067065</c:v>
                </c:pt>
                <c:pt idx="150">
                  <c:v>0.13041437928067065</c:v>
                </c:pt>
                <c:pt idx="151">
                  <c:v>0.13041437928067065</c:v>
                </c:pt>
                <c:pt idx="152">
                  <c:v>0.13041437928067065</c:v>
                </c:pt>
                <c:pt idx="153">
                  <c:v>0.13041437928067065</c:v>
                </c:pt>
                <c:pt idx="154">
                  <c:v>0.13041437928067065</c:v>
                </c:pt>
                <c:pt idx="155">
                  <c:v>0.13041437928067065</c:v>
                </c:pt>
                <c:pt idx="156">
                  <c:v>0.13041437928067065</c:v>
                </c:pt>
                <c:pt idx="157">
                  <c:v>0.13041437928067065</c:v>
                </c:pt>
                <c:pt idx="158">
                  <c:v>0.13041437928067065</c:v>
                </c:pt>
                <c:pt idx="159">
                  <c:v>0.13041437928067065</c:v>
                </c:pt>
                <c:pt idx="160">
                  <c:v>0.13041437928067065</c:v>
                </c:pt>
                <c:pt idx="161">
                  <c:v>0.13041437928067065</c:v>
                </c:pt>
                <c:pt idx="162">
                  <c:v>0.13041437928067065</c:v>
                </c:pt>
                <c:pt idx="163">
                  <c:v>0.13041437928067065</c:v>
                </c:pt>
                <c:pt idx="164">
                  <c:v>0.13041437928067065</c:v>
                </c:pt>
                <c:pt idx="165">
                  <c:v>0.13041437928067065</c:v>
                </c:pt>
                <c:pt idx="166">
                  <c:v>0.13041437928067065</c:v>
                </c:pt>
                <c:pt idx="167">
                  <c:v>0.13041437928067065</c:v>
                </c:pt>
                <c:pt idx="168">
                  <c:v>0.13041437928067065</c:v>
                </c:pt>
                <c:pt idx="169">
                  <c:v>0.13041437928067065</c:v>
                </c:pt>
                <c:pt idx="170">
                  <c:v>0.13041437928067065</c:v>
                </c:pt>
                <c:pt idx="171">
                  <c:v>0.13041437928067065</c:v>
                </c:pt>
                <c:pt idx="172">
                  <c:v>0.13041437928067065</c:v>
                </c:pt>
                <c:pt idx="173">
                  <c:v>0.13041437928067065</c:v>
                </c:pt>
                <c:pt idx="174">
                  <c:v>0.13041437928067065</c:v>
                </c:pt>
                <c:pt idx="175">
                  <c:v>0.13041437928067065</c:v>
                </c:pt>
                <c:pt idx="176">
                  <c:v>0.13041437928067065</c:v>
                </c:pt>
                <c:pt idx="177">
                  <c:v>0.13041437928067065</c:v>
                </c:pt>
                <c:pt idx="178">
                  <c:v>0.13041437928067065</c:v>
                </c:pt>
                <c:pt idx="179">
                  <c:v>0.13041437928067065</c:v>
                </c:pt>
                <c:pt idx="180">
                  <c:v>0.13041437928067065</c:v>
                </c:pt>
                <c:pt idx="181">
                  <c:v>0.13041437928067065</c:v>
                </c:pt>
                <c:pt idx="182">
                  <c:v>0.13041437928067065</c:v>
                </c:pt>
                <c:pt idx="183">
                  <c:v>0.13041437928067065</c:v>
                </c:pt>
                <c:pt idx="184">
                  <c:v>0.13041437928067065</c:v>
                </c:pt>
                <c:pt idx="185">
                  <c:v>0.13041437928067065</c:v>
                </c:pt>
                <c:pt idx="186">
                  <c:v>0.13041437928067065</c:v>
                </c:pt>
                <c:pt idx="187">
                  <c:v>0.13041437928067065</c:v>
                </c:pt>
                <c:pt idx="188">
                  <c:v>0.13041437928067065</c:v>
                </c:pt>
                <c:pt idx="189">
                  <c:v>0.13041437928067065</c:v>
                </c:pt>
                <c:pt idx="190">
                  <c:v>0.13041437928067065</c:v>
                </c:pt>
                <c:pt idx="191">
                  <c:v>0.13041437928067065</c:v>
                </c:pt>
                <c:pt idx="192">
                  <c:v>0.13041437928067065</c:v>
                </c:pt>
                <c:pt idx="193">
                  <c:v>0.13041437928067065</c:v>
                </c:pt>
                <c:pt idx="194">
                  <c:v>0.13041437928067065</c:v>
                </c:pt>
                <c:pt idx="195">
                  <c:v>0.13041437928067065</c:v>
                </c:pt>
                <c:pt idx="196">
                  <c:v>0.13041437928067065</c:v>
                </c:pt>
                <c:pt idx="197">
                  <c:v>0.13041437928067065</c:v>
                </c:pt>
                <c:pt idx="198">
                  <c:v>0.13041437928067065</c:v>
                </c:pt>
                <c:pt idx="199">
                  <c:v>0.13041437928067065</c:v>
                </c:pt>
                <c:pt idx="200">
                  <c:v>0.13041437928067065</c:v>
                </c:pt>
                <c:pt idx="201">
                  <c:v>0.13041437928067065</c:v>
                </c:pt>
                <c:pt idx="202">
                  <c:v>0.13041437928067065</c:v>
                </c:pt>
                <c:pt idx="203">
                  <c:v>0.13041437928067065</c:v>
                </c:pt>
                <c:pt idx="204">
                  <c:v>0.13041437928067065</c:v>
                </c:pt>
                <c:pt idx="205">
                  <c:v>0.13041437928067065</c:v>
                </c:pt>
                <c:pt idx="206">
                  <c:v>0.13041437928067065</c:v>
                </c:pt>
                <c:pt idx="207">
                  <c:v>0.13041437928067065</c:v>
                </c:pt>
                <c:pt idx="208">
                  <c:v>0.13041437928067065</c:v>
                </c:pt>
                <c:pt idx="209">
                  <c:v>0.13041437928067065</c:v>
                </c:pt>
                <c:pt idx="210">
                  <c:v>0.13041437928067065</c:v>
                </c:pt>
                <c:pt idx="211">
                  <c:v>0.13041437928067065</c:v>
                </c:pt>
                <c:pt idx="212">
                  <c:v>0.13041437928067065</c:v>
                </c:pt>
                <c:pt idx="213">
                  <c:v>0.13041437928067065</c:v>
                </c:pt>
                <c:pt idx="214">
                  <c:v>0.13041437928067065</c:v>
                </c:pt>
                <c:pt idx="215">
                  <c:v>0.13041437928067065</c:v>
                </c:pt>
                <c:pt idx="216">
                  <c:v>0.13041437928067065</c:v>
                </c:pt>
                <c:pt idx="217">
                  <c:v>0.13041437928067065</c:v>
                </c:pt>
                <c:pt idx="218">
                  <c:v>0.13041437928067065</c:v>
                </c:pt>
                <c:pt idx="219">
                  <c:v>0.13041437928067065</c:v>
                </c:pt>
                <c:pt idx="220">
                  <c:v>0.13041437928067065</c:v>
                </c:pt>
                <c:pt idx="221">
                  <c:v>0.13041437928067065</c:v>
                </c:pt>
                <c:pt idx="222">
                  <c:v>0.13041437928067065</c:v>
                </c:pt>
                <c:pt idx="223">
                  <c:v>0.13041437928067065</c:v>
                </c:pt>
                <c:pt idx="224">
                  <c:v>0.13041437928067065</c:v>
                </c:pt>
                <c:pt idx="225">
                  <c:v>0.13041437928067065</c:v>
                </c:pt>
                <c:pt idx="226">
                  <c:v>0.13041437928067065</c:v>
                </c:pt>
                <c:pt idx="227">
                  <c:v>0.13041437928067065</c:v>
                </c:pt>
                <c:pt idx="228">
                  <c:v>0.13041437928067065</c:v>
                </c:pt>
                <c:pt idx="229">
                  <c:v>0.13041437928067065</c:v>
                </c:pt>
                <c:pt idx="230">
                  <c:v>0.13041437928067065</c:v>
                </c:pt>
                <c:pt idx="231">
                  <c:v>0.13041437928067065</c:v>
                </c:pt>
                <c:pt idx="232">
                  <c:v>0.13041437928067065</c:v>
                </c:pt>
                <c:pt idx="233">
                  <c:v>0.13041437928067065</c:v>
                </c:pt>
                <c:pt idx="234">
                  <c:v>0.13041437928067065</c:v>
                </c:pt>
                <c:pt idx="235">
                  <c:v>0.13041437928067065</c:v>
                </c:pt>
                <c:pt idx="236">
                  <c:v>0.13041437928067065</c:v>
                </c:pt>
                <c:pt idx="237">
                  <c:v>0.13041437928067065</c:v>
                </c:pt>
                <c:pt idx="238">
                  <c:v>0.13041437928067065</c:v>
                </c:pt>
                <c:pt idx="239">
                  <c:v>0.13041437928067065</c:v>
                </c:pt>
                <c:pt idx="240">
                  <c:v>0.13041437928067065</c:v>
                </c:pt>
                <c:pt idx="241">
                  <c:v>0.13041437928067065</c:v>
                </c:pt>
                <c:pt idx="242">
                  <c:v>0.13041437928067065</c:v>
                </c:pt>
                <c:pt idx="243">
                  <c:v>0.13041437928067065</c:v>
                </c:pt>
                <c:pt idx="244">
                  <c:v>0.13041437928067065</c:v>
                </c:pt>
                <c:pt idx="245">
                  <c:v>0.13041437928067065</c:v>
                </c:pt>
                <c:pt idx="246">
                  <c:v>0.13041437928067065</c:v>
                </c:pt>
                <c:pt idx="247">
                  <c:v>0.13041437928067065</c:v>
                </c:pt>
                <c:pt idx="248">
                  <c:v>0.13041437928067065</c:v>
                </c:pt>
                <c:pt idx="249">
                  <c:v>0.13041437928067065</c:v>
                </c:pt>
                <c:pt idx="250">
                  <c:v>0.13041437928067065</c:v>
                </c:pt>
                <c:pt idx="251">
                  <c:v>0.13041437928067065</c:v>
                </c:pt>
                <c:pt idx="252">
                  <c:v>0.13041437928067065</c:v>
                </c:pt>
                <c:pt idx="253">
                  <c:v>0.13041437928067065</c:v>
                </c:pt>
                <c:pt idx="254">
                  <c:v>0.13041437928067065</c:v>
                </c:pt>
                <c:pt idx="255">
                  <c:v>0.13041437928067065</c:v>
                </c:pt>
                <c:pt idx="256">
                  <c:v>0.13041437928067065</c:v>
                </c:pt>
                <c:pt idx="257">
                  <c:v>0.13041437928067065</c:v>
                </c:pt>
                <c:pt idx="258">
                  <c:v>0.13041437928067065</c:v>
                </c:pt>
                <c:pt idx="259">
                  <c:v>0.13041437928067065</c:v>
                </c:pt>
                <c:pt idx="260">
                  <c:v>0.13041437928067065</c:v>
                </c:pt>
                <c:pt idx="261">
                  <c:v>0.13041437928067065</c:v>
                </c:pt>
                <c:pt idx="262">
                  <c:v>0.13041437928067065</c:v>
                </c:pt>
                <c:pt idx="263">
                  <c:v>0.13041437928067065</c:v>
                </c:pt>
                <c:pt idx="264">
                  <c:v>0.13041437928067065</c:v>
                </c:pt>
                <c:pt idx="265">
                  <c:v>0.13041437928067065</c:v>
                </c:pt>
                <c:pt idx="266">
                  <c:v>0.13041437928067065</c:v>
                </c:pt>
                <c:pt idx="267">
                  <c:v>0.13041437928067065</c:v>
                </c:pt>
                <c:pt idx="268">
                  <c:v>0.13041437928067065</c:v>
                </c:pt>
                <c:pt idx="269">
                  <c:v>0.13041437928067065</c:v>
                </c:pt>
                <c:pt idx="270">
                  <c:v>0.13041437928067065</c:v>
                </c:pt>
                <c:pt idx="271">
                  <c:v>0.13041437928067065</c:v>
                </c:pt>
                <c:pt idx="272">
                  <c:v>0.13041437928067065</c:v>
                </c:pt>
                <c:pt idx="273">
                  <c:v>0.13041437928067065</c:v>
                </c:pt>
                <c:pt idx="274">
                  <c:v>0.13041437928067065</c:v>
                </c:pt>
                <c:pt idx="275">
                  <c:v>0.13041437928067065</c:v>
                </c:pt>
                <c:pt idx="276">
                  <c:v>0.13041437928067065</c:v>
                </c:pt>
                <c:pt idx="277">
                  <c:v>0.13041437928067065</c:v>
                </c:pt>
                <c:pt idx="278">
                  <c:v>0.13041437928067065</c:v>
                </c:pt>
                <c:pt idx="279">
                  <c:v>0.13041437928067065</c:v>
                </c:pt>
                <c:pt idx="280">
                  <c:v>0.13041437928067065</c:v>
                </c:pt>
                <c:pt idx="281">
                  <c:v>0.13041437928067065</c:v>
                </c:pt>
                <c:pt idx="282">
                  <c:v>0.13041437928067065</c:v>
                </c:pt>
                <c:pt idx="283">
                  <c:v>0.13041437928067065</c:v>
                </c:pt>
                <c:pt idx="284">
                  <c:v>0.13041437928067065</c:v>
                </c:pt>
                <c:pt idx="285">
                  <c:v>0.13041437928067065</c:v>
                </c:pt>
                <c:pt idx="286">
                  <c:v>0.13041437928067065</c:v>
                </c:pt>
                <c:pt idx="287">
                  <c:v>0.13041437928067065</c:v>
                </c:pt>
                <c:pt idx="288">
                  <c:v>0.13041437928067065</c:v>
                </c:pt>
                <c:pt idx="289">
                  <c:v>0.13041437928067065</c:v>
                </c:pt>
                <c:pt idx="290">
                  <c:v>0.13041437928067065</c:v>
                </c:pt>
                <c:pt idx="291">
                  <c:v>0.13041437928067065</c:v>
                </c:pt>
                <c:pt idx="292">
                  <c:v>0.13041437928067065</c:v>
                </c:pt>
                <c:pt idx="293">
                  <c:v>0.13041437928067065</c:v>
                </c:pt>
                <c:pt idx="294">
                  <c:v>0.13041437928067065</c:v>
                </c:pt>
                <c:pt idx="295">
                  <c:v>0.13041437928067065</c:v>
                </c:pt>
                <c:pt idx="296">
                  <c:v>0.13041437928067065</c:v>
                </c:pt>
                <c:pt idx="297">
                  <c:v>0.13041437928067065</c:v>
                </c:pt>
                <c:pt idx="298">
                  <c:v>0.13041437928067065</c:v>
                </c:pt>
                <c:pt idx="299">
                  <c:v>0.13041437928067065</c:v>
                </c:pt>
                <c:pt idx="300">
                  <c:v>0.13041437928067065</c:v>
                </c:pt>
                <c:pt idx="301">
                  <c:v>0.13041437928067065</c:v>
                </c:pt>
                <c:pt idx="302">
                  <c:v>0.13041437928067065</c:v>
                </c:pt>
                <c:pt idx="303">
                  <c:v>0.13041437928067065</c:v>
                </c:pt>
                <c:pt idx="304">
                  <c:v>0.13041437928067065</c:v>
                </c:pt>
                <c:pt idx="305">
                  <c:v>0.13041437928067065</c:v>
                </c:pt>
                <c:pt idx="306">
                  <c:v>0.13041437928067065</c:v>
                </c:pt>
                <c:pt idx="307">
                  <c:v>0.13041437928067065</c:v>
                </c:pt>
                <c:pt idx="308">
                  <c:v>0.13041437928067065</c:v>
                </c:pt>
                <c:pt idx="309">
                  <c:v>0.13041437928067065</c:v>
                </c:pt>
                <c:pt idx="310">
                  <c:v>0.13041437928067065</c:v>
                </c:pt>
                <c:pt idx="311">
                  <c:v>0.13041437928067065</c:v>
                </c:pt>
                <c:pt idx="312">
                  <c:v>0.13041437928067065</c:v>
                </c:pt>
                <c:pt idx="313">
                  <c:v>0.13041437928067065</c:v>
                </c:pt>
                <c:pt idx="314">
                  <c:v>0.13041437928067065</c:v>
                </c:pt>
                <c:pt idx="315">
                  <c:v>0.13041437928067065</c:v>
                </c:pt>
                <c:pt idx="316">
                  <c:v>0.13041437928067065</c:v>
                </c:pt>
                <c:pt idx="317">
                  <c:v>0.13041437928067065</c:v>
                </c:pt>
                <c:pt idx="318">
                  <c:v>0.13041437928067065</c:v>
                </c:pt>
                <c:pt idx="319">
                  <c:v>0.13041437928067065</c:v>
                </c:pt>
                <c:pt idx="320">
                  <c:v>0.13041437928067065</c:v>
                </c:pt>
                <c:pt idx="321">
                  <c:v>0.13041437928067065</c:v>
                </c:pt>
                <c:pt idx="322">
                  <c:v>0.13041437928067065</c:v>
                </c:pt>
                <c:pt idx="323">
                  <c:v>0.13041437928067065</c:v>
                </c:pt>
                <c:pt idx="324">
                  <c:v>0.13041437928067065</c:v>
                </c:pt>
                <c:pt idx="325">
                  <c:v>0.13041437928067065</c:v>
                </c:pt>
                <c:pt idx="326">
                  <c:v>0.13041437928067065</c:v>
                </c:pt>
                <c:pt idx="327">
                  <c:v>0.13041437928067065</c:v>
                </c:pt>
                <c:pt idx="328">
                  <c:v>0.13041437928067065</c:v>
                </c:pt>
                <c:pt idx="329">
                  <c:v>0.13041437928067065</c:v>
                </c:pt>
                <c:pt idx="330">
                  <c:v>0.13041437928067065</c:v>
                </c:pt>
                <c:pt idx="331">
                  <c:v>0.13041437928067065</c:v>
                </c:pt>
                <c:pt idx="332">
                  <c:v>0.13041437928067065</c:v>
                </c:pt>
                <c:pt idx="333">
                  <c:v>0.13041437928067065</c:v>
                </c:pt>
                <c:pt idx="334">
                  <c:v>0.13041437928067065</c:v>
                </c:pt>
                <c:pt idx="335">
                  <c:v>0.13041437928067065</c:v>
                </c:pt>
                <c:pt idx="336">
                  <c:v>0.13041437928067065</c:v>
                </c:pt>
                <c:pt idx="337">
                  <c:v>0.13041437928067065</c:v>
                </c:pt>
                <c:pt idx="338">
                  <c:v>0.13041437928067065</c:v>
                </c:pt>
                <c:pt idx="339">
                  <c:v>0.13041437928067065</c:v>
                </c:pt>
                <c:pt idx="340">
                  <c:v>0.13041437928067065</c:v>
                </c:pt>
                <c:pt idx="341">
                  <c:v>0.13041437928067065</c:v>
                </c:pt>
                <c:pt idx="342">
                  <c:v>0.13041437928067065</c:v>
                </c:pt>
                <c:pt idx="343">
                  <c:v>0.13041437928067065</c:v>
                </c:pt>
                <c:pt idx="344">
                  <c:v>0.13041437928067065</c:v>
                </c:pt>
                <c:pt idx="345">
                  <c:v>0.13041437928067065</c:v>
                </c:pt>
                <c:pt idx="346">
                  <c:v>0.13041437928067065</c:v>
                </c:pt>
                <c:pt idx="347">
                  <c:v>0.13041437928067065</c:v>
                </c:pt>
                <c:pt idx="348">
                  <c:v>0.13041437928067065</c:v>
                </c:pt>
                <c:pt idx="349">
                  <c:v>0.13041437928067065</c:v>
                </c:pt>
                <c:pt idx="350">
                  <c:v>0.13041437928067065</c:v>
                </c:pt>
                <c:pt idx="351">
                  <c:v>0.13041437928067065</c:v>
                </c:pt>
                <c:pt idx="352">
                  <c:v>0.13041437928067065</c:v>
                </c:pt>
                <c:pt idx="353">
                  <c:v>0.13041437928067065</c:v>
                </c:pt>
                <c:pt idx="354">
                  <c:v>0.13041437928067065</c:v>
                </c:pt>
                <c:pt idx="355">
                  <c:v>0.13041437928067065</c:v>
                </c:pt>
                <c:pt idx="356">
                  <c:v>0.13041437928067065</c:v>
                </c:pt>
                <c:pt idx="357">
                  <c:v>0.13041437928067065</c:v>
                </c:pt>
                <c:pt idx="358">
                  <c:v>0.13041437928067065</c:v>
                </c:pt>
                <c:pt idx="359">
                  <c:v>0.13041437928067065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'Fuel Cost Risk Sim'!$D$205</c:f>
              <c:strCache>
                <c:ptCount val="1"/>
                <c:pt idx="0">
                  <c:v>RE PPA @ $0.14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Sim'!$E$200:$MZ$200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Sim'!$E$205:$MZ$205</c:f>
              <c:numCache>
                <c:formatCode>_("$"* #,##0.000_);_("$"* \(#,##0.000\);_("$"* "-"??_);_(@_)</c:formatCode>
                <c:ptCount val="360"/>
                <c:pt idx="0">
                  <c:v>0.11049808847669318</c:v>
                </c:pt>
                <c:pt idx="1">
                  <c:v>0.11049808847669318</c:v>
                </c:pt>
                <c:pt idx="2">
                  <c:v>0.11049808847669318</c:v>
                </c:pt>
                <c:pt idx="3">
                  <c:v>0.11049808847669318</c:v>
                </c:pt>
                <c:pt idx="4">
                  <c:v>0.11049808847669318</c:v>
                </c:pt>
                <c:pt idx="5">
                  <c:v>0.11049808847669318</c:v>
                </c:pt>
                <c:pt idx="6">
                  <c:v>0.11049808847669318</c:v>
                </c:pt>
                <c:pt idx="7">
                  <c:v>0.11049808847669318</c:v>
                </c:pt>
                <c:pt idx="8">
                  <c:v>0.11049808847669318</c:v>
                </c:pt>
                <c:pt idx="9">
                  <c:v>0.11049808847669318</c:v>
                </c:pt>
                <c:pt idx="10">
                  <c:v>0.11049808847669318</c:v>
                </c:pt>
                <c:pt idx="11">
                  <c:v>0.11049808847669318</c:v>
                </c:pt>
                <c:pt idx="12">
                  <c:v>0.11049808847669318</c:v>
                </c:pt>
                <c:pt idx="13">
                  <c:v>0.11049808847669318</c:v>
                </c:pt>
                <c:pt idx="14">
                  <c:v>0.11049808847669318</c:v>
                </c:pt>
                <c:pt idx="15">
                  <c:v>0.11049808847669318</c:v>
                </c:pt>
                <c:pt idx="16">
                  <c:v>0.11049808847669318</c:v>
                </c:pt>
                <c:pt idx="17">
                  <c:v>0.11049808847669318</c:v>
                </c:pt>
                <c:pt idx="18">
                  <c:v>0.11049808847669318</c:v>
                </c:pt>
                <c:pt idx="19">
                  <c:v>0.11049808847669318</c:v>
                </c:pt>
                <c:pt idx="20">
                  <c:v>0.11049808847669318</c:v>
                </c:pt>
                <c:pt idx="21">
                  <c:v>0.11049808847669318</c:v>
                </c:pt>
                <c:pt idx="22">
                  <c:v>0.11049808847669318</c:v>
                </c:pt>
                <c:pt idx="23">
                  <c:v>0.11049808847669318</c:v>
                </c:pt>
                <c:pt idx="24">
                  <c:v>0.11049808847669318</c:v>
                </c:pt>
                <c:pt idx="25">
                  <c:v>0.11049808847669318</c:v>
                </c:pt>
                <c:pt idx="26">
                  <c:v>0.11049808847669318</c:v>
                </c:pt>
                <c:pt idx="27">
                  <c:v>0.11049808847669318</c:v>
                </c:pt>
                <c:pt idx="28">
                  <c:v>0.11049808847669318</c:v>
                </c:pt>
                <c:pt idx="29">
                  <c:v>0.11049808847669318</c:v>
                </c:pt>
                <c:pt idx="30">
                  <c:v>0.11049808847669318</c:v>
                </c:pt>
                <c:pt idx="31">
                  <c:v>0.11049808847669318</c:v>
                </c:pt>
                <c:pt idx="32">
                  <c:v>0.11049808847669318</c:v>
                </c:pt>
                <c:pt idx="33">
                  <c:v>0.11049808847669318</c:v>
                </c:pt>
                <c:pt idx="34">
                  <c:v>0.11049808847669318</c:v>
                </c:pt>
                <c:pt idx="35">
                  <c:v>0.11049808847669318</c:v>
                </c:pt>
                <c:pt idx="36">
                  <c:v>0.11049808847669318</c:v>
                </c:pt>
                <c:pt idx="37">
                  <c:v>0.11049808847669318</c:v>
                </c:pt>
                <c:pt idx="38">
                  <c:v>0.11049808847669318</c:v>
                </c:pt>
                <c:pt idx="39">
                  <c:v>0.11049808847669318</c:v>
                </c:pt>
                <c:pt idx="40">
                  <c:v>0.11049808847669318</c:v>
                </c:pt>
                <c:pt idx="41">
                  <c:v>0.11049808847669318</c:v>
                </c:pt>
                <c:pt idx="42">
                  <c:v>0.11049808847669318</c:v>
                </c:pt>
                <c:pt idx="43">
                  <c:v>0.11049808847669318</c:v>
                </c:pt>
                <c:pt idx="44">
                  <c:v>0.11049808847669318</c:v>
                </c:pt>
                <c:pt idx="45">
                  <c:v>0.11049808847669318</c:v>
                </c:pt>
                <c:pt idx="46">
                  <c:v>0.11049808847669318</c:v>
                </c:pt>
                <c:pt idx="47">
                  <c:v>0.11049808847669318</c:v>
                </c:pt>
                <c:pt idx="48">
                  <c:v>0.11049808847669318</c:v>
                </c:pt>
                <c:pt idx="49">
                  <c:v>0.11049808847669318</c:v>
                </c:pt>
                <c:pt idx="50">
                  <c:v>0.11049808847669318</c:v>
                </c:pt>
                <c:pt idx="51">
                  <c:v>0.11049808847669318</c:v>
                </c:pt>
                <c:pt idx="52">
                  <c:v>0.11049808847669318</c:v>
                </c:pt>
                <c:pt idx="53">
                  <c:v>0.11049808847669318</c:v>
                </c:pt>
                <c:pt idx="54">
                  <c:v>0.11049808847669318</c:v>
                </c:pt>
                <c:pt idx="55">
                  <c:v>0.11049808847669318</c:v>
                </c:pt>
                <c:pt idx="56">
                  <c:v>0.11049808847669318</c:v>
                </c:pt>
                <c:pt idx="57">
                  <c:v>0.11049808847669318</c:v>
                </c:pt>
                <c:pt idx="58">
                  <c:v>0.11049808847669318</c:v>
                </c:pt>
                <c:pt idx="59">
                  <c:v>0.11049808847669318</c:v>
                </c:pt>
                <c:pt idx="60">
                  <c:v>0.11049808847669318</c:v>
                </c:pt>
                <c:pt idx="61">
                  <c:v>0.11049808847669318</c:v>
                </c:pt>
                <c:pt idx="62">
                  <c:v>0.11049808847669318</c:v>
                </c:pt>
                <c:pt idx="63">
                  <c:v>0.11049808847669318</c:v>
                </c:pt>
                <c:pt idx="64">
                  <c:v>0.11049808847669318</c:v>
                </c:pt>
                <c:pt idx="65">
                  <c:v>0.11049808847669318</c:v>
                </c:pt>
                <c:pt idx="66">
                  <c:v>0.11049808847669318</c:v>
                </c:pt>
                <c:pt idx="67">
                  <c:v>0.11049808847669318</c:v>
                </c:pt>
                <c:pt idx="68">
                  <c:v>0.11049808847669318</c:v>
                </c:pt>
                <c:pt idx="69">
                  <c:v>0.11049808847669318</c:v>
                </c:pt>
                <c:pt idx="70">
                  <c:v>0.11049808847669318</c:v>
                </c:pt>
                <c:pt idx="71">
                  <c:v>0.11049808847669318</c:v>
                </c:pt>
                <c:pt idx="72">
                  <c:v>0.11049808847669318</c:v>
                </c:pt>
                <c:pt idx="73">
                  <c:v>0.11049808847669318</c:v>
                </c:pt>
                <c:pt idx="74">
                  <c:v>0.11049808847669318</c:v>
                </c:pt>
                <c:pt idx="75">
                  <c:v>0.11049808847669318</c:v>
                </c:pt>
                <c:pt idx="76">
                  <c:v>0.11049808847669318</c:v>
                </c:pt>
                <c:pt idx="77">
                  <c:v>0.11049808847669318</c:v>
                </c:pt>
                <c:pt idx="78">
                  <c:v>0.11049808847669318</c:v>
                </c:pt>
                <c:pt idx="79">
                  <c:v>0.11049808847669318</c:v>
                </c:pt>
                <c:pt idx="80">
                  <c:v>0.11049808847669318</c:v>
                </c:pt>
                <c:pt idx="81">
                  <c:v>0.11049808847669318</c:v>
                </c:pt>
                <c:pt idx="82">
                  <c:v>0.11049808847669318</c:v>
                </c:pt>
                <c:pt idx="83">
                  <c:v>0.11049808847669318</c:v>
                </c:pt>
                <c:pt idx="84">
                  <c:v>0.11049808847669318</c:v>
                </c:pt>
                <c:pt idx="85">
                  <c:v>0.11049808847669318</c:v>
                </c:pt>
                <c:pt idx="86">
                  <c:v>0.11049808847669318</c:v>
                </c:pt>
                <c:pt idx="87">
                  <c:v>0.11049808847669318</c:v>
                </c:pt>
                <c:pt idx="88">
                  <c:v>0.11049808847669318</c:v>
                </c:pt>
                <c:pt idx="89">
                  <c:v>0.11049808847669318</c:v>
                </c:pt>
                <c:pt idx="90">
                  <c:v>0.11049808847669318</c:v>
                </c:pt>
                <c:pt idx="91">
                  <c:v>0.11049808847669318</c:v>
                </c:pt>
                <c:pt idx="92">
                  <c:v>0.11049808847669318</c:v>
                </c:pt>
                <c:pt idx="93">
                  <c:v>0.11049808847669318</c:v>
                </c:pt>
                <c:pt idx="94">
                  <c:v>0.11049808847669318</c:v>
                </c:pt>
                <c:pt idx="95">
                  <c:v>0.11049808847669318</c:v>
                </c:pt>
                <c:pt idx="96">
                  <c:v>0.11049808847669318</c:v>
                </c:pt>
                <c:pt idx="97">
                  <c:v>0.11049808847669318</c:v>
                </c:pt>
                <c:pt idx="98">
                  <c:v>0.11049808847669318</c:v>
                </c:pt>
                <c:pt idx="99">
                  <c:v>0.11049808847669318</c:v>
                </c:pt>
                <c:pt idx="100">
                  <c:v>0.11049808847669318</c:v>
                </c:pt>
                <c:pt idx="101">
                  <c:v>0.11049808847669318</c:v>
                </c:pt>
                <c:pt idx="102">
                  <c:v>0.11049808847669318</c:v>
                </c:pt>
                <c:pt idx="103">
                  <c:v>0.11049808847669318</c:v>
                </c:pt>
                <c:pt idx="104">
                  <c:v>0.11049808847669318</c:v>
                </c:pt>
                <c:pt idx="105">
                  <c:v>0.11049808847669318</c:v>
                </c:pt>
                <c:pt idx="106">
                  <c:v>0.11049808847669318</c:v>
                </c:pt>
                <c:pt idx="107">
                  <c:v>0.11049808847669318</c:v>
                </c:pt>
                <c:pt idx="108">
                  <c:v>0.11049808847669318</c:v>
                </c:pt>
                <c:pt idx="109">
                  <c:v>0.11049808847669318</c:v>
                </c:pt>
                <c:pt idx="110">
                  <c:v>0.11049808847669318</c:v>
                </c:pt>
                <c:pt idx="111">
                  <c:v>0.11049808847669318</c:v>
                </c:pt>
                <c:pt idx="112">
                  <c:v>0.11049808847669318</c:v>
                </c:pt>
                <c:pt idx="113">
                  <c:v>0.11049808847669318</c:v>
                </c:pt>
                <c:pt idx="114">
                  <c:v>0.11049808847669318</c:v>
                </c:pt>
                <c:pt idx="115">
                  <c:v>0.11049808847669318</c:v>
                </c:pt>
                <c:pt idx="116">
                  <c:v>0.11049808847669318</c:v>
                </c:pt>
                <c:pt idx="117">
                  <c:v>0.11049808847669318</c:v>
                </c:pt>
                <c:pt idx="118">
                  <c:v>0.11049808847669318</c:v>
                </c:pt>
                <c:pt idx="119">
                  <c:v>0.11049808847669318</c:v>
                </c:pt>
                <c:pt idx="120">
                  <c:v>0.11049808847669318</c:v>
                </c:pt>
                <c:pt idx="121">
                  <c:v>0.11049808847669318</c:v>
                </c:pt>
                <c:pt idx="122">
                  <c:v>0.11049808847669318</c:v>
                </c:pt>
                <c:pt idx="123">
                  <c:v>0.11049808847669318</c:v>
                </c:pt>
                <c:pt idx="124">
                  <c:v>0.11049808847669318</c:v>
                </c:pt>
                <c:pt idx="125">
                  <c:v>0.11049808847669318</c:v>
                </c:pt>
                <c:pt idx="126">
                  <c:v>0.11049808847669318</c:v>
                </c:pt>
                <c:pt idx="127">
                  <c:v>0.11049808847669318</c:v>
                </c:pt>
                <c:pt idx="128">
                  <c:v>0.11049808847669318</c:v>
                </c:pt>
                <c:pt idx="129">
                  <c:v>0.11049808847669318</c:v>
                </c:pt>
                <c:pt idx="130">
                  <c:v>0.11049808847669318</c:v>
                </c:pt>
                <c:pt idx="131">
                  <c:v>0.11049808847669318</c:v>
                </c:pt>
                <c:pt idx="132">
                  <c:v>0.11049808847669318</c:v>
                </c:pt>
                <c:pt idx="133">
                  <c:v>0.11049808847669318</c:v>
                </c:pt>
                <c:pt idx="134">
                  <c:v>0.11049808847669318</c:v>
                </c:pt>
                <c:pt idx="135">
                  <c:v>0.11049808847669318</c:v>
                </c:pt>
                <c:pt idx="136">
                  <c:v>0.11049808847669318</c:v>
                </c:pt>
                <c:pt idx="137">
                  <c:v>0.11049808847669318</c:v>
                </c:pt>
                <c:pt idx="138">
                  <c:v>0.11049808847669318</c:v>
                </c:pt>
                <c:pt idx="139">
                  <c:v>0.11049808847669318</c:v>
                </c:pt>
                <c:pt idx="140">
                  <c:v>0.11049808847669318</c:v>
                </c:pt>
                <c:pt idx="141">
                  <c:v>0.11049808847669318</c:v>
                </c:pt>
                <c:pt idx="142">
                  <c:v>0.11049808847669318</c:v>
                </c:pt>
                <c:pt idx="143">
                  <c:v>0.11049808847669318</c:v>
                </c:pt>
                <c:pt idx="144">
                  <c:v>0.11049808847669318</c:v>
                </c:pt>
                <c:pt idx="145">
                  <c:v>0.11049808847669318</c:v>
                </c:pt>
                <c:pt idx="146">
                  <c:v>0.11049808847669318</c:v>
                </c:pt>
                <c:pt idx="147">
                  <c:v>0.11049808847669318</c:v>
                </c:pt>
                <c:pt idx="148">
                  <c:v>0.11049808847669318</c:v>
                </c:pt>
                <c:pt idx="149">
                  <c:v>0.11049808847669318</c:v>
                </c:pt>
                <c:pt idx="150">
                  <c:v>0.11049808847669318</c:v>
                </c:pt>
                <c:pt idx="151">
                  <c:v>0.11049808847669318</c:v>
                </c:pt>
                <c:pt idx="152">
                  <c:v>0.11049808847669318</c:v>
                </c:pt>
                <c:pt idx="153">
                  <c:v>0.11049808847669318</c:v>
                </c:pt>
                <c:pt idx="154">
                  <c:v>0.11049808847669318</c:v>
                </c:pt>
                <c:pt idx="155">
                  <c:v>0.11049808847669318</c:v>
                </c:pt>
                <c:pt idx="156">
                  <c:v>0.11049808847669318</c:v>
                </c:pt>
                <c:pt idx="157">
                  <c:v>0.11049808847669318</c:v>
                </c:pt>
                <c:pt idx="158">
                  <c:v>0.11049808847669318</c:v>
                </c:pt>
                <c:pt idx="159">
                  <c:v>0.11049808847669318</c:v>
                </c:pt>
                <c:pt idx="160">
                  <c:v>0.11049808847669318</c:v>
                </c:pt>
                <c:pt idx="161">
                  <c:v>0.11049808847669318</c:v>
                </c:pt>
                <c:pt idx="162">
                  <c:v>0.11049808847669318</c:v>
                </c:pt>
                <c:pt idx="163">
                  <c:v>0.11049808847669318</c:v>
                </c:pt>
                <c:pt idx="164">
                  <c:v>0.11049808847669318</c:v>
                </c:pt>
                <c:pt idx="165">
                  <c:v>0.11049808847669318</c:v>
                </c:pt>
                <c:pt idx="166">
                  <c:v>0.11049808847669318</c:v>
                </c:pt>
                <c:pt idx="167">
                  <c:v>0.11049808847669318</c:v>
                </c:pt>
                <c:pt idx="168">
                  <c:v>0.11049808847669318</c:v>
                </c:pt>
                <c:pt idx="169">
                  <c:v>0.11049808847669318</c:v>
                </c:pt>
                <c:pt idx="170">
                  <c:v>0.11049808847669318</c:v>
                </c:pt>
                <c:pt idx="171">
                  <c:v>0.11049808847669318</c:v>
                </c:pt>
                <c:pt idx="172">
                  <c:v>0.11049808847669318</c:v>
                </c:pt>
                <c:pt idx="173">
                  <c:v>0.11049808847669318</c:v>
                </c:pt>
                <c:pt idx="174">
                  <c:v>0.11049808847669318</c:v>
                </c:pt>
                <c:pt idx="175">
                  <c:v>0.11049808847669318</c:v>
                </c:pt>
                <c:pt idx="176">
                  <c:v>0.11049808847669318</c:v>
                </c:pt>
                <c:pt idx="177">
                  <c:v>0.11049808847669318</c:v>
                </c:pt>
                <c:pt idx="178">
                  <c:v>0.11049808847669318</c:v>
                </c:pt>
                <c:pt idx="179">
                  <c:v>0.11049808847669318</c:v>
                </c:pt>
                <c:pt idx="180">
                  <c:v>0.11049808847669318</c:v>
                </c:pt>
                <c:pt idx="181">
                  <c:v>0.11049808847669318</c:v>
                </c:pt>
                <c:pt idx="182">
                  <c:v>0.11049808847669318</c:v>
                </c:pt>
                <c:pt idx="183">
                  <c:v>0.11049808847669318</c:v>
                </c:pt>
                <c:pt idx="184">
                  <c:v>0.11049808847669318</c:v>
                </c:pt>
                <c:pt idx="185">
                  <c:v>0.11049808847669318</c:v>
                </c:pt>
                <c:pt idx="186">
                  <c:v>0.11049808847669318</c:v>
                </c:pt>
                <c:pt idx="187">
                  <c:v>0.11049808847669318</c:v>
                </c:pt>
                <c:pt idx="188">
                  <c:v>0.11049808847669318</c:v>
                </c:pt>
                <c:pt idx="189">
                  <c:v>0.11049808847669318</c:v>
                </c:pt>
                <c:pt idx="190">
                  <c:v>0.11049808847669318</c:v>
                </c:pt>
                <c:pt idx="191">
                  <c:v>0.11049808847669318</c:v>
                </c:pt>
                <c:pt idx="192">
                  <c:v>0.11049808847669318</c:v>
                </c:pt>
                <c:pt idx="193">
                  <c:v>0.11049808847669318</c:v>
                </c:pt>
                <c:pt idx="194">
                  <c:v>0.11049808847669318</c:v>
                </c:pt>
                <c:pt idx="195">
                  <c:v>0.11049808847669318</c:v>
                </c:pt>
                <c:pt idx="196">
                  <c:v>0.11049808847669318</c:v>
                </c:pt>
                <c:pt idx="197">
                  <c:v>0.11049808847669318</c:v>
                </c:pt>
                <c:pt idx="198">
                  <c:v>0.11049808847669318</c:v>
                </c:pt>
                <c:pt idx="199">
                  <c:v>0.11049808847669318</c:v>
                </c:pt>
                <c:pt idx="200">
                  <c:v>0.11049808847669318</c:v>
                </c:pt>
                <c:pt idx="201">
                  <c:v>0.11049808847669318</c:v>
                </c:pt>
                <c:pt idx="202">
                  <c:v>0.11049808847669318</c:v>
                </c:pt>
                <c:pt idx="203">
                  <c:v>0.11049808847669318</c:v>
                </c:pt>
                <c:pt idx="204">
                  <c:v>0.11049808847669318</c:v>
                </c:pt>
                <c:pt idx="205">
                  <c:v>0.11049808847669318</c:v>
                </c:pt>
                <c:pt idx="206">
                  <c:v>0.11049808847669318</c:v>
                </c:pt>
                <c:pt idx="207">
                  <c:v>0.11049808847669318</c:v>
                </c:pt>
                <c:pt idx="208">
                  <c:v>0.11049808847669318</c:v>
                </c:pt>
                <c:pt idx="209">
                  <c:v>0.11049808847669318</c:v>
                </c:pt>
                <c:pt idx="210">
                  <c:v>0.11049808847669318</c:v>
                </c:pt>
                <c:pt idx="211">
                  <c:v>0.11049808847669318</c:v>
                </c:pt>
                <c:pt idx="212">
                  <c:v>0.11049808847669318</c:v>
                </c:pt>
                <c:pt idx="213">
                  <c:v>0.11049808847669318</c:v>
                </c:pt>
                <c:pt idx="214">
                  <c:v>0.11049808847669318</c:v>
                </c:pt>
                <c:pt idx="215">
                  <c:v>0.11049808847669318</c:v>
                </c:pt>
                <c:pt idx="216">
                  <c:v>0.11049808847669318</c:v>
                </c:pt>
                <c:pt idx="217">
                  <c:v>0.11049808847669318</c:v>
                </c:pt>
                <c:pt idx="218">
                  <c:v>0.11049808847669318</c:v>
                </c:pt>
                <c:pt idx="219">
                  <c:v>0.11049808847669318</c:v>
                </c:pt>
                <c:pt idx="220">
                  <c:v>0.11049808847669318</c:v>
                </c:pt>
                <c:pt idx="221">
                  <c:v>0.11049808847669318</c:v>
                </c:pt>
                <c:pt idx="222">
                  <c:v>0.11049808847669318</c:v>
                </c:pt>
                <c:pt idx="223">
                  <c:v>0.11049808847669318</c:v>
                </c:pt>
                <c:pt idx="224">
                  <c:v>0.11049808847669318</c:v>
                </c:pt>
                <c:pt idx="225">
                  <c:v>0.11049808847669318</c:v>
                </c:pt>
                <c:pt idx="226">
                  <c:v>0.11049808847669318</c:v>
                </c:pt>
                <c:pt idx="227">
                  <c:v>0.11049808847669318</c:v>
                </c:pt>
                <c:pt idx="228">
                  <c:v>0.11049808847669318</c:v>
                </c:pt>
                <c:pt idx="229">
                  <c:v>0.11049808847669318</c:v>
                </c:pt>
                <c:pt idx="230">
                  <c:v>0.11049808847669318</c:v>
                </c:pt>
                <c:pt idx="231">
                  <c:v>0.11049808847669318</c:v>
                </c:pt>
                <c:pt idx="232">
                  <c:v>0.11049808847669318</c:v>
                </c:pt>
                <c:pt idx="233">
                  <c:v>0.11049808847669318</c:v>
                </c:pt>
                <c:pt idx="234">
                  <c:v>0.11049808847669318</c:v>
                </c:pt>
                <c:pt idx="235">
                  <c:v>0.11049808847669318</c:v>
                </c:pt>
                <c:pt idx="236">
                  <c:v>0.11049808847669318</c:v>
                </c:pt>
                <c:pt idx="237">
                  <c:v>0.11049808847669318</c:v>
                </c:pt>
                <c:pt idx="238">
                  <c:v>0.11049808847669318</c:v>
                </c:pt>
                <c:pt idx="239">
                  <c:v>0.11049808847669318</c:v>
                </c:pt>
                <c:pt idx="240">
                  <c:v>0.11049808847669318</c:v>
                </c:pt>
                <c:pt idx="241">
                  <c:v>0.11049808847669318</c:v>
                </c:pt>
                <c:pt idx="242">
                  <c:v>0.11049808847669318</c:v>
                </c:pt>
                <c:pt idx="243">
                  <c:v>0.11049808847669318</c:v>
                </c:pt>
                <c:pt idx="244">
                  <c:v>0.11049808847669318</c:v>
                </c:pt>
                <c:pt idx="245">
                  <c:v>0.11049808847669318</c:v>
                </c:pt>
                <c:pt idx="246">
                  <c:v>0.11049808847669318</c:v>
                </c:pt>
                <c:pt idx="247">
                  <c:v>0.11049808847669318</c:v>
                </c:pt>
                <c:pt idx="248">
                  <c:v>0.11049808847669318</c:v>
                </c:pt>
                <c:pt idx="249">
                  <c:v>0.11049808847669318</c:v>
                </c:pt>
                <c:pt idx="250">
                  <c:v>0.11049808847669318</c:v>
                </c:pt>
                <c:pt idx="251">
                  <c:v>0.11049808847669318</c:v>
                </c:pt>
                <c:pt idx="252">
                  <c:v>0.11049808847669318</c:v>
                </c:pt>
                <c:pt idx="253">
                  <c:v>0.11049808847669318</c:v>
                </c:pt>
                <c:pt idx="254">
                  <c:v>0.11049808847669318</c:v>
                </c:pt>
                <c:pt idx="255">
                  <c:v>0.11049808847669318</c:v>
                </c:pt>
                <c:pt idx="256">
                  <c:v>0.11049808847669318</c:v>
                </c:pt>
                <c:pt idx="257">
                  <c:v>0.11049808847669318</c:v>
                </c:pt>
                <c:pt idx="258">
                  <c:v>0.11049808847669318</c:v>
                </c:pt>
                <c:pt idx="259">
                  <c:v>0.11049808847669318</c:v>
                </c:pt>
                <c:pt idx="260">
                  <c:v>0.11049808847669318</c:v>
                </c:pt>
                <c:pt idx="261">
                  <c:v>0.11049808847669318</c:v>
                </c:pt>
                <c:pt idx="262">
                  <c:v>0.11049808847669318</c:v>
                </c:pt>
                <c:pt idx="263">
                  <c:v>0.11049808847669318</c:v>
                </c:pt>
                <c:pt idx="264">
                  <c:v>0.11049808847669318</c:v>
                </c:pt>
                <c:pt idx="265">
                  <c:v>0.11049808847669318</c:v>
                </c:pt>
                <c:pt idx="266">
                  <c:v>0.11049808847669318</c:v>
                </c:pt>
                <c:pt idx="267">
                  <c:v>0.11049808847669318</c:v>
                </c:pt>
                <c:pt idx="268">
                  <c:v>0.11049808847669318</c:v>
                </c:pt>
                <c:pt idx="269">
                  <c:v>0.11049808847669318</c:v>
                </c:pt>
                <c:pt idx="270">
                  <c:v>0.11049808847669318</c:v>
                </c:pt>
                <c:pt idx="271">
                  <c:v>0.11049808847669318</c:v>
                </c:pt>
                <c:pt idx="272">
                  <c:v>0.11049808847669318</c:v>
                </c:pt>
                <c:pt idx="273">
                  <c:v>0.11049808847669318</c:v>
                </c:pt>
                <c:pt idx="274">
                  <c:v>0.11049808847669318</c:v>
                </c:pt>
                <c:pt idx="275">
                  <c:v>0.11049808847669318</c:v>
                </c:pt>
                <c:pt idx="276">
                  <c:v>0.11049808847669318</c:v>
                </c:pt>
                <c:pt idx="277">
                  <c:v>0.11049808847669318</c:v>
                </c:pt>
                <c:pt idx="278">
                  <c:v>0.11049808847669318</c:v>
                </c:pt>
                <c:pt idx="279">
                  <c:v>0.11049808847669318</c:v>
                </c:pt>
                <c:pt idx="280">
                  <c:v>0.11049808847669318</c:v>
                </c:pt>
                <c:pt idx="281">
                  <c:v>0.11049808847669318</c:v>
                </c:pt>
                <c:pt idx="282">
                  <c:v>0.11049808847669318</c:v>
                </c:pt>
                <c:pt idx="283">
                  <c:v>0.11049808847669318</c:v>
                </c:pt>
                <c:pt idx="284">
                  <c:v>0.11049808847669318</c:v>
                </c:pt>
                <c:pt idx="285">
                  <c:v>0.11049808847669318</c:v>
                </c:pt>
                <c:pt idx="286">
                  <c:v>0.11049808847669318</c:v>
                </c:pt>
                <c:pt idx="287">
                  <c:v>0.11049808847669318</c:v>
                </c:pt>
                <c:pt idx="288">
                  <c:v>0.11049808847669318</c:v>
                </c:pt>
                <c:pt idx="289">
                  <c:v>0.11049808847669318</c:v>
                </c:pt>
                <c:pt idx="290">
                  <c:v>0.11049808847669318</c:v>
                </c:pt>
                <c:pt idx="291">
                  <c:v>0.11049808847669318</c:v>
                </c:pt>
                <c:pt idx="292">
                  <c:v>0.11049808847669318</c:v>
                </c:pt>
                <c:pt idx="293">
                  <c:v>0.11049808847669318</c:v>
                </c:pt>
                <c:pt idx="294">
                  <c:v>0.11049808847669318</c:v>
                </c:pt>
                <c:pt idx="295">
                  <c:v>0.11049808847669318</c:v>
                </c:pt>
                <c:pt idx="296">
                  <c:v>0.11049808847669318</c:v>
                </c:pt>
                <c:pt idx="297">
                  <c:v>0.11049808847669318</c:v>
                </c:pt>
                <c:pt idx="298">
                  <c:v>0.11049808847669318</c:v>
                </c:pt>
                <c:pt idx="299">
                  <c:v>0.11049808847669318</c:v>
                </c:pt>
                <c:pt idx="300">
                  <c:v>0.11049808847669318</c:v>
                </c:pt>
                <c:pt idx="301">
                  <c:v>0.11049808847669318</c:v>
                </c:pt>
                <c:pt idx="302">
                  <c:v>0.11049808847669318</c:v>
                </c:pt>
                <c:pt idx="303">
                  <c:v>0.11049808847669318</c:v>
                </c:pt>
                <c:pt idx="304">
                  <c:v>0.11049808847669318</c:v>
                </c:pt>
                <c:pt idx="305">
                  <c:v>0.11049808847669318</c:v>
                </c:pt>
                <c:pt idx="306">
                  <c:v>0.11049808847669318</c:v>
                </c:pt>
                <c:pt idx="307">
                  <c:v>0.11049808847669318</c:v>
                </c:pt>
                <c:pt idx="308">
                  <c:v>0.11049808847669318</c:v>
                </c:pt>
                <c:pt idx="309">
                  <c:v>0.11049808847669318</c:v>
                </c:pt>
                <c:pt idx="310">
                  <c:v>0.11049808847669318</c:v>
                </c:pt>
                <c:pt idx="311">
                  <c:v>0.11049808847669318</c:v>
                </c:pt>
                <c:pt idx="312">
                  <c:v>0.11049808847669318</c:v>
                </c:pt>
                <c:pt idx="313">
                  <c:v>0.11049808847669318</c:v>
                </c:pt>
                <c:pt idx="314">
                  <c:v>0.11049808847669318</c:v>
                </c:pt>
                <c:pt idx="315">
                  <c:v>0.11049808847669318</c:v>
                </c:pt>
                <c:pt idx="316">
                  <c:v>0.11049808847669318</c:v>
                </c:pt>
                <c:pt idx="317">
                  <c:v>0.11049808847669318</c:v>
                </c:pt>
                <c:pt idx="318">
                  <c:v>0.11049808847669318</c:v>
                </c:pt>
                <c:pt idx="319">
                  <c:v>0.11049808847669318</c:v>
                </c:pt>
                <c:pt idx="320">
                  <c:v>0.11049808847669318</c:v>
                </c:pt>
                <c:pt idx="321">
                  <c:v>0.11049808847669318</c:v>
                </c:pt>
                <c:pt idx="322">
                  <c:v>0.11049808847669318</c:v>
                </c:pt>
                <c:pt idx="323">
                  <c:v>0.11049808847669318</c:v>
                </c:pt>
                <c:pt idx="324">
                  <c:v>0.11049808847669318</c:v>
                </c:pt>
                <c:pt idx="325">
                  <c:v>0.11049808847669318</c:v>
                </c:pt>
                <c:pt idx="326">
                  <c:v>0.11049808847669318</c:v>
                </c:pt>
                <c:pt idx="327">
                  <c:v>0.11049808847669318</c:v>
                </c:pt>
                <c:pt idx="328">
                  <c:v>0.11049808847669318</c:v>
                </c:pt>
                <c:pt idx="329">
                  <c:v>0.11049808847669318</c:v>
                </c:pt>
                <c:pt idx="330">
                  <c:v>0.11049808847669318</c:v>
                </c:pt>
                <c:pt idx="331">
                  <c:v>0.11049808847669318</c:v>
                </c:pt>
                <c:pt idx="332">
                  <c:v>0.11049808847669318</c:v>
                </c:pt>
                <c:pt idx="333">
                  <c:v>0.11049808847669318</c:v>
                </c:pt>
                <c:pt idx="334">
                  <c:v>0.11049808847669318</c:v>
                </c:pt>
                <c:pt idx="335">
                  <c:v>0.11049808847669318</c:v>
                </c:pt>
                <c:pt idx="336">
                  <c:v>0.11049808847669318</c:v>
                </c:pt>
                <c:pt idx="337">
                  <c:v>0.11049808847669318</c:v>
                </c:pt>
                <c:pt idx="338">
                  <c:v>0.11049808847669318</c:v>
                </c:pt>
                <c:pt idx="339">
                  <c:v>0.11049808847669318</c:v>
                </c:pt>
                <c:pt idx="340">
                  <c:v>0.11049808847669318</c:v>
                </c:pt>
                <c:pt idx="341">
                  <c:v>0.11049808847669318</c:v>
                </c:pt>
                <c:pt idx="342">
                  <c:v>0.11049808847669318</c:v>
                </c:pt>
                <c:pt idx="343">
                  <c:v>0.11049808847669318</c:v>
                </c:pt>
                <c:pt idx="344">
                  <c:v>0.11049808847669318</c:v>
                </c:pt>
                <c:pt idx="345">
                  <c:v>0.11049808847669318</c:v>
                </c:pt>
                <c:pt idx="346">
                  <c:v>0.11049808847669318</c:v>
                </c:pt>
                <c:pt idx="347">
                  <c:v>0.11049808847669318</c:v>
                </c:pt>
                <c:pt idx="348">
                  <c:v>0.11049808847669318</c:v>
                </c:pt>
                <c:pt idx="349">
                  <c:v>0.11049808847669318</c:v>
                </c:pt>
                <c:pt idx="350">
                  <c:v>0.11049808847669318</c:v>
                </c:pt>
                <c:pt idx="351">
                  <c:v>0.11049808847669318</c:v>
                </c:pt>
                <c:pt idx="352">
                  <c:v>0.11049808847669318</c:v>
                </c:pt>
                <c:pt idx="353">
                  <c:v>0.11049808847669318</c:v>
                </c:pt>
                <c:pt idx="354">
                  <c:v>0.11049808847669318</c:v>
                </c:pt>
                <c:pt idx="355">
                  <c:v>0.11049808847669318</c:v>
                </c:pt>
                <c:pt idx="356">
                  <c:v>0.11049808847669318</c:v>
                </c:pt>
                <c:pt idx="357">
                  <c:v>0.11049808847669318</c:v>
                </c:pt>
                <c:pt idx="358">
                  <c:v>0.11049808847669318</c:v>
                </c:pt>
                <c:pt idx="359">
                  <c:v>0.11049808847669318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91472"/>
        <c:axId val="410190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'Fuel Cost Risk Sim'!$D$201</c15:sqref>
                        </c15:formulaRef>
                      </c:ext>
                    </c:extLst>
                    <c:strCache>
                      <c:ptCount val="1"/>
                      <c:pt idx="0">
                        <c:v>Oil/Diesel Blend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'Fuel Cost Risk Sim'!$E$200:$MZ$200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'Fuel Cost Risk Sim'!$E$201:$MZ$201</c15:sqref>
                        </c15:formulaRef>
                      </c:ext>
                    </c:extLst>
                    <c:numCache>
                      <c:formatCode>_("$"* #,##0.000_);_("$"* \(#,##0.000\);_("$"* "-"??_);_(@_)</c:formatCode>
                      <c:ptCount val="360"/>
                      <c:pt idx="0">
                        <c:v>0.13587162714636139</c:v>
                      </c:pt>
                      <c:pt idx="1">
                        <c:v>0.13631185139018212</c:v>
                      </c:pt>
                      <c:pt idx="2">
                        <c:v>0.13675350196110969</c:v>
                      </c:pt>
                      <c:pt idx="3">
                        <c:v>0.13719658348044569</c:v>
                      </c:pt>
                      <c:pt idx="4">
                        <c:v>0.13764110058446483</c:v>
                      </c:pt>
                      <c:pt idx="5">
                        <c:v>0.13808705792446327</c:v>
                      </c:pt>
                      <c:pt idx="6">
                        <c:v>0.13853446016680734</c:v>
                      </c:pt>
                      <c:pt idx="7">
                        <c:v>0.13898331199298258</c:v>
                      </c:pt>
                      <c:pt idx="8">
                        <c:v>0.13943361809964236</c:v>
                      </c:pt>
                      <c:pt idx="9">
                        <c:v>0.13988538319865737</c:v>
                      </c:pt>
                      <c:pt idx="10">
                        <c:v>0.14033861201716458</c:v>
                      </c:pt>
                      <c:pt idx="11">
                        <c:v>0.14079330929761705</c:v>
                      </c:pt>
                      <c:pt idx="12">
                        <c:v>0.14124947979783337</c:v>
                      </c:pt>
                      <c:pt idx="13">
                        <c:v>0.14170712829104742</c:v>
                      </c:pt>
                      <c:pt idx="14">
                        <c:v>0.14216625956595833</c:v>
                      </c:pt>
                      <c:pt idx="15">
                        <c:v>0.14262687842678076</c:v>
                      </c:pt>
                      <c:pt idx="16">
                        <c:v>0.14308898969329487</c:v>
                      </c:pt>
                      <c:pt idx="17">
                        <c:v>0.143552598200897</c:v>
                      </c:pt>
                      <c:pt idx="18">
                        <c:v>0.14401770880065021</c:v>
                      </c:pt>
                      <c:pt idx="19">
                        <c:v>0.14448432635933495</c:v>
                      </c:pt>
                      <c:pt idx="20">
                        <c:v>0.14495245575950005</c:v>
                      </c:pt>
                      <c:pt idx="21">
                        <c:v>0.14542210189951388</c:v>
                      </c:pt>
                      <c:pt idx="22">
                        <c:v>0.14589326969361538</c:v>
                      </c:pt>
                      <c:pt idx="23">
                        <c:v>0.14636596407196578</c:v>
                      </c:pt>
                      <c:pt idx="24">
                        <c:v>0.14684018998069995</c:v>
                      </c:pt>
                      <c:pt idx="25">
                        <c:v>0.14731595238197825</c:v>
                      </c:pt>
                      <c:pt idx="26">
                        <c:v>0.14779325625403852</c:v>
                      </c:pt>
                      <c:pt idx="27">
                        <c:v>0.14827210659124801</c:v>
                      </c:pt>
                      <c:pt idx="28">
                        <c:v>0.14875250840415571</c:v>
                      </c:pt>
                      <c:pt idx="29">
                        <c:v>0.14923446671954496</c:v>
                      </c:pt>
                      <c:pt idx="30">
                        <c:v>0.14971798658048571</c:v>
                      </c:pt>
                      <c:pt idx="31">
                        <c:v>0.15020307304638753</c:v>
                      </c:pt>
                      <c:pt idx="32">
                        <c:v>0.15068973119305243</c:v>
                      </c:pt>
                      <c:pt idx="33">
                        <c:v>0.1511779661127281</c:v>
                      </c:pt>
                      <c:pt idx="34">
                        <c:v>0.15166778291416114</c:v>
                      </c:pt>
                      <c:pt idx="35">
                        <c:v>0.15215918672265036</c:v>
                      </c:pt>
                      <c:pt idx="36">
                        <c:v>0.1526521826801007</c:v>
                      </c:pt>
                      <c:pt idx="37">
                        <c:v>0.15314677594507675</c:v>
                      </c:pt>
                      <c:pt idx="38">
                        <c:v>0.15364297169285696</c:v>
                      </c:pt>
                      <c:pt idx="39">
                        <c:v>0.15414077511548763</c:v>
                      </c:pt>
                      <c:pt idx="40">
                        <c:v>0.15464019142183724</c:v>
                      </c:pt>
                      <c:pt idx="41">
                        <c:v>0.15514122583765122</c:v>
                      </c:pt>
                      <c:pt idx="42">
                        <c:v>0.15564388360560621</c:v>
                      </c:pt>
                      <c:pt idx="43">
                        <c:v>0.15614816998536518</c:v>
                      </c:pt>
                      <c:pt idx="44">
                        <c:v>0.15665409025363242</c:v>
                      </c:pt>
                      <c:pt idx="45">
                        <c:v>0.15716164970420882</c:v>
                      </c:pt>
                      <c:pt idx="46">
                        <c:v>0.15767085364804712</c:v>
                      </c:pt>
                      <c:pt idx="47">
                        <c:v>0.15818170741330753</c:v>
                      </c:pt>
                      <c:pt idx="48">
                        <c:v>0.15869421634541359</c:v>
                      </c:pt>
                      <c:pt idx="49">
                        <c:v>0.15920838580710797</c:v>
                      </c:pt>
                      <c:pt idx="50">
                        <c:v>0.1597242211785086</c:v>
                      </c:pt>
                      <c:pt idx="51">
                        <c:v>0.16024172785716506</c:v>
                      </c:pt>
                      <c:pt idx="52">
                        <c:v>0.16076091125811492</c:v>
                      </c:pt>
                      <c:pt idx="53">
                        <c:v>0.16128177681394065</c:v>
                      </c:pt>
                      <c:pt idx="54">
                        <c:v>0.16180432997482611</c:v>
                      </c:pt>
                      <c:pt idx="55">
                        <c:v>0.16232857620861382</c:v>
                      </c:pt>
                      <c:pt idx="56">
                        <c:v>0.16285452100086212</c:v>
                      </c:pt>
                      <c:pt idx="57">
                        <c:v>0.16338216985490259</c:v>
                      </c:pt>
                      <c:pt idx="58">
                        <c:v>0.16391152829189756</c:v>
                      </c:pt>
                      <c:pt idx="59">
                        <c:v>0.16444260185089801</c:v>
                      </c:pt>
                      <c:pt idx="60">
                        <c:v>0.16497539608890135</c:v>
                      </c:pt>
                      <c:pt idx="61">
                        <c:v>0.16550991658090983</c:v>
                      </c:pt>
                      <c:pt idx="62">
                        <c:v>0.16604616891998847</c:v>
                      </c:pt>
                      <c:pt idx="63">
                        <c:v>0.16658415871732407</c:v>
                      </c:pt>
                      <c:pt idx="64">
                        <c:v>0.16712389160228358</c:v>
                      </c:pt>
                      <c:pt idx="65">
                        <c:v>0.16766537322247302</c:v>
                      </c:pt>
                      <c:pt idx="66">
                        <c:v>0.16820860924379685</c:v>
                      </c:pt>
                      <c:pt idx="67">
                        <c:v>0.16875360535051692</c:v>
                      </c:pt>
                      <c:pt idx="68">
                        <c:v>0.16930036724531211</c:v>
                      </c:pt>
                      <c:pt idx="69">
                        <c:v>0.16984890064933805</c:v>
                      </c:pt>
                      <c:pt idx="70">
                        <c:v>0.17039921130228688</c:v>
                      </c:pt>
                      <c:pt idx="71">
                        <c:v>0.17095130496244737</c:v>
                      </c:pt>
                      <c:pt idx="72">
                        <c:v>0.17150518740676515</c:v>
                      </c:pt>
                      <c:pt idx="73">
                        <c:v>0.17206086443090313</c:v>
                      </c:pt>
                      <c:pt idx="74">
                        <c:v>0.17261834184930216</c:v>
                      </c:pt>
                      <c:pt idx="75">
                        <c:v>0.17317762549524202</c:v>
                      </c:pt>
                      <c:pt idx="76">
                        <c:v>0.17373872122090217</c:v>
                      </c:pt>
                      <c:pt idx="77">
                        <c:v>0.17430163489742317</c:v>
                      </c:pt>
                      <c:pt idx="78">
                        <c:v>0.17486637241496819</c:v>
                      </c:pt>
                      <c:pt idx="79">
                        <c:v>0.17543293968278428</c:v>
                      </c:pt>
                      <c:pt idx="80">
                        <c:v>0.17600134262926487</c:v>
                      </c:pt>
                      <c:pt idx="81">
                        <c:v>0.17657158720201102</c:v>
                      </c:pt>
                      <c:pt idx="82">
                        <c:v>0.17714367936789416</c:v>
                      </c:pt>
                      <c:pt idx="83">
                        <c:v>0.17771762511311842</c:v>
                      </c:pt>
                      <c:pt idx="84">
                        <c:v>0.17829343044328319</c:v>
                      </c:pt>
                      <c:pt idx="85">
                        <c:v>0.17887110138344606</c:v>
                      </c:pt>
                      <c:pt idx="86">
                        <c:v>0.17945064397818578</c:v>
                      </c:pt>
                      <c:pt idx="87">
                        <c:v>0.18003206429166552</c:v>
                      </c:pt>
                      <c:pt idx="88">
                        <c:v>0.18061536840769635</c:v>
                      </c:pt>
                      <c:pt idx="89">
                        <c:v>0.18120056242980095</c:v>
                      </c:pt>
                      <c:pt idx="90">
                        <c:v>0.18178765248127743</c:v>
                      </c:pt>
                      <c:pt idx="91">
                        <c:v>0.1823766447052633</c:v>
                      </c:pt>
                      <c:pt idx="92">
                        <c:v>0.18296754526479991</c:v>
                      </c:pt>
                      <c:pt idx="93">
                        <c:v>0.18356036034289683</c:v>
                      </c:pt>
                      <c:pt idx="94">
                        <c:v>0.18415509614259667</c:v>
                      </c:pt>
                      <c:pt idx="95">
                        <c:v>0.18475175888703985</c:v>
                      </c:pt>
                      <c:pt idx="96">
                        <c:v>0.18535035481952974</c:v>
                      </c:pt>
                      <c:pt idx="97">
                        <c:v>0.18595089020359809</c:v>
                      </c:pt>
                      <c:pt idx="98">
                        <c:v>0.18655337132307043</c:v>
                      </c:pt>
                      <c:pt idx="99">
                        <c:v>0.18715780448213196</c:v>
                      </c:pt>
                      <c:pt idx="100">
                        <c:v>0.1877641960053934</c:v>
                      </c:pt>
                      <c:pt idx="101">
                        <c:v>0.18837255223795718</c:v>
                      </c:pt>
                      <c:pt idx="102">
                        <c:v>0.18898287954548409</c:v>
                      </c:pt>
                      <c:pt idx="103">
                        <c:v>0.18959518431425937</c:v>
                      </c:pt>
                      <c:pt idx="104">
                        <c:v>0.19020947295125995</c:v>
                      </c:pt>
                      <c:pt idx="105">
                        <c:v>0.19082575188422152</c:v>
                      </c:pt>
                      <c:pt idx="106">
                        <c:v>0.19144402756170537</c:v>
                      </c:pt>
                      <c:pt idx="107">
                        <c:v>0.19206430645316636</c:v>
                      </c:pt>
                      <c:pt idx="108">
                        <c:v>0.19268659504902028</c:v>
                      </c:pt>
                      <c:pt idx="109">
                        <c:v>0.19331089986071187</c:v>
                      </c:pt>
                      <c:pt idx="110">
                        <c:v>0.19393722742078312</c:v>
                      </c:pt>
                      <c:pt idx="111">
                        <c:v>0.19456558428294118</c:v>
                      </c:pt>
                      <c:pt idx="112">
                        <c:v>0.19519597702212749</c:v>
                      </c:pt>
                      <c:pt idx="113">
                        <c:v>0.19582841223458614</c:v>
                      </c:pt>
                      <c:pt idx="114">
                        <c:v>0.19646289653793314</c:v>
                      </c:pt>
                      <c:pt idx="115">
                        <c:v>0.19709943657122553</c:v>
                      </c:pt>
                      <c:pt idx="116">
                        <c:v>0.19773803899503101</c:v>
                      </c:pt>
                      <c:pt idx="117">
                        <c:v>0.19837871049149738</c:v>
                      </c:pt>
                      <c:pt idx="118">
                        <c:v>0.1990214577644227</c:v>
                      </c:pt>
                      <c:pt idx="119">
                        <c:v>0.1996662875393253</c:v>
                      </c:pt>
                      <c:pt idx="120">
                        <c:v>0.20031320656351428</c:v>
                      </c:pt>
                      <c:pt idx="121">
                        <c:v>0.2009622216061599</c:v>
                      </c:pt>
                      <c:pt idx="122">
                        <c:v>0.20161333945836465</c:v>
                      </c:pt>
                      <c:pt idx="123">
                        <c:v>0.20226656693323417</c:v>
                      </c:pt>
                      <c:pt idx="124">
                        <c:v>0.20292191086594852</c:v>
                      </c:pt>
                      <c:pt idx="125">
                        <c:v>0.20357937811383384</c:v>
                      </c:pt>
                      <c:pt idx="126">
                        <c:v>0.20423897555643392</c:v>
                      </c:pt>
                      <c:pt idx="127">
                        <c:v>0.20490071009558242</c:v>
                      </c:pt>
                      <c:pt idx="128">
                        <c:v>0.20556458865547478</c:v>
                      </c:pt>
                      <c:pt idx="129">
                        <c:v>0.20623061818274091</c:v>
                      </c:pt>
                      <c:pt idx="130">
                        <c:v>0.20689880564651789</c:v>
                      </c:pt>
                      <c:pt idx="131">
                        <c:v>0.20756915803852266</c:v>
                      </c:pt>
                      <c:pt idx="132">
                        <c:v>0.20824168237312551</c:v>
                      </c:pt>
                      <c:pt idx="133">
                        <c:v>0.20891638568742318</c:v>
                      </c:pt>
                      <c:pt idx="134">
                        <c:v>0.20959327504131262</c:v>
                      </c:pt>
                      <c:pt idx="135">
                        <c:v>0.21027235751756479</c:v>
                      </c:pt>
                      <c:pt idx="136">
                        <c:v>0.21095364022189902</c:v>
                      </c:pt>
                      <c:pt idx="137">
                        <c:v>0.21163713028305714</c:v>
                      </c:pt>
                      <c:pt idx="138">
                        <c:v>0.21232283485287792</c:v>
                      </c:pt>
                      <c:pt idx="139">
                        <c:v>0.21301076110637229</c:v>
                      </c:pt>
                      <c:pt idx="140">
                        <c:v>0.2137009162417981</c:v>
                      </c:pt>
                      <c:pt idx="141">
                        <c:v>0.21439330748073576</c:v>
                      </c:pt>
                      <c:pt idx="142">
                        <c:v>0.21508794206816337</c:v>
                      </c:pt>
                      <c:pt idx="143">
                        <c:v>0.2157848272725329</c:v>
                      </c:pt>
                      <c:pt idx="144">
                        <c:v>0.21648397038584608</c:v>
                      </c:pt>
                      <c:pt idx="145">
                        <c:v>0.21718537872373078</c:v>
                      </c:pt>
                      <c:pt idx="146">
                        <c:v>0.21788905962551741</c:v>
                      </c:pt>
                      <c:pt idx="147">
                        <c:v>0.21859502045431595</c:v>
                      </c:pt>
                      <c:pt idx="148">
                        <c:v>0.21930326859709276</c:v>
                      </c:pt>
                      <c:pt idx="149">
                        <c:v>0.22001381146474805</c:v>
                      </c:pt>
                      <c:pt idx="150">
                        <c:v>0.22072665649219336</c:v>
                      </c:pt>
                      <c:pt idx="151">
                        <c:v>0.22144181113842923</c:v>
                      </c:pt>
                      <c:pt idx="152">
                        <c:v>0.22215928288662357</c:v>
                      </c:pt>
                      <c:pt idx="153">
                        <c:v>0.22287907924418957</c:v>
                      </c:pt>
                      <c:pt idx="154">
                        <c:v>0.22360120774286454</c:v>
                      </c:pt>
                      <c:pt idx="155">
                        <c:v>0.22432567593878872</c:v>
                      </c:pt>
                      <c:pt idx="156">
                        <c:v>0.22505249141258399</c:v>
                      </c:pt>
                      <c:pt idx="157">
                        <c:v>0.22578166176943379</c:v>
                      </c:pt>
                      <c:pt idx="158">
                        <c:v>0.22651319463916211</c:v>
                      </c:pt>
                      <c:pt idx="159">
                        <c:v>0.22724709767631363</c:v>
                      </c:pt>
                      <c:pt idx="160">
                        <c:v>0.22798337856023393</c:v>
                      </c:pt>
                      <c:pt idx="161">
                        <c:v>0.22872204499514942</c:v>
                      </c:pt>
                      <c:pt idx="162">
                        <c:v>0.22946310471024842</c:v>
                      </c:pt>
                      <c:pt idx="163">
                        <c:v>0.2302065654597617</c:v>
                      </c:pt>
                      <c:pt idx="164">
                        <c:v>0.23095243502304386</c:v>
                      </c:pt>
                      <c:pt idx="165">
                        <c:v>0.23170072120465451</c:v>
                      </c:pt>
                      <c:pt idx="166">
                        <c:v>0.23245143183444006</c:v>
                      </c:pt>
                      <c:pt idx="167">
                        <c:v>0.23320457476761569</c:v>
                      </c:pt>
                      <c:pt idx="168">
                        <c:v>0.2339601578848475</c:v>
                      </c:pt>
                      <c:pt idx="169">
                        <c:v>0.23471818909233488</c:v>
                      </c:pt>
                      <c:pt idx="170">
                        <c:v>0.23547867632189337</c:v>
                      </c:pt>
                      <c:pt idx="171">
                        <c:v>0.23624162753103764</c:v>
                      </c:pt>
                      <c:pt idx="172">
                        <c:v>0.23700705070306458</c:v>
                      </c:pt>
                      <c:pt idx="173">
                        <c:v>0.23777495384713704</c:v>
                      </c:pt>
                      <c:pt idx="174">
                        <c:v>0.23854534499836766</c:v>
                      </c:pt>
                      <c:pt idx="175">
                        <c:v>0.23931823221790274</c:v>
                      </c:pt>
                      <c:pt idx="176">
                        <c:v>0.24009362359300679</c:v>
                      </c:pt>
                      <c:pt idx="177">
                        <c:v>0.24087152723714694</c:v>
                      </c:pt>
                      <c:pt idx="178">
                        <c:v>0.2416519512900781</c:v>
                      </c:pt>
                      <c:pt idx="179">
                        <c:v>0.24243490391792796</c:v>
                      </c:pt>
                      <c:pt idx="180">
                        <c:v>0.24322039331328235</c:v>
                      </c:pt>
                      <c:pt idx="181">
                        <c:v>0.24400842769527131</c:v>
                      </c:pt>
                      <c:pt idx="182">
                        <c:v>0.2447990153096547</c:v>
                      </c:pt>
                      <c:pt idx="183">
                        <c:v>0.24559216442890872</c:v>
                      </c:pt>
                      <c:pt idx="184">
                        <c:v>0.24638788335231246</c:v>
                      </c:pt>
                      <c:pt idx="185">
                        <c:v>0.24718618040603446</c:v>
                      </c:pt>
                      <c:pt idx="186">
                        <c:v>0.24798706394322037</c:v>
                      </c:pt>
                      <c:pt idx="187">
                        <c:v>0.2487905423440798</c:v>
                      </c:pt>
                      <c:pt idx="188">
                        <c:v>0.24959662401597429</c:v>
                      </c:pt>
                      <c:pt idx="189">
                        <c:v>0.25040531739350541</c:v>
                      </c:pt>
                      <c:pt idx="190">
                        <c:v>0.25121663093860264</c:v>
                      </c:pt>
                      <c:pt idx="191">
                        <c:v>0.25203057314061222</c:v>
                      </c:pt>
                      <c:pt idx="192">
                        <c:v>0.2528471525163859</c:v>
                      </c:pt>
                      <c:pt idx="193">
                        <c:v>0.25366637761036998</c:v>
                      </c:pt>
                      <c:pt idx="194">
                        <c:v>0.25448825699469479</c:v>
                      </c:pt>
                      <c:pt idx="195">
                        <c:v>0.25531279926926448</c:v>
                      </c:pt>
                      <c:pt idx="196">
                        <c:v>0.25614001306184681</c:v>
                      </c:pt>
                      <c:pt idx="197">
                        <c:v>0.25696990702816336</c:v>
                      </c:pt>
                      <c:pt idx="198">
                        <c:v>0.25780248985198057</c:v>
                      </c:pt>
                      <c:pt idx="199">
                        <c:v>0.25863777024520007</c:v>
                      </c:pt>
                      <c:pt idx="200">
                        <c:v>0.25947575694795016</c:v>
                      </c:pt>
                      <c:pt idx="201">
                        <c:v>0.26031645872867715</c:v>
                      </c:pt>
                      <c:pt idx="202">
                        <c:v>0.2611598843842371</c:v>
                      </c:pt>
                      <c:pt idx="203">
                        <c:v>0.26200604273998795</c:v>
                      </c:pt>
                      <c:pt idx="204">
                        <c:v>0.2628549426498818</c:v>
                      </c:pt>
                      <c:pt idx="205">
                        <c:v>0.26370659299655741</c:v>
                      </c:pt>
                      <c:pt idx="206">
                        <c:v>0.26456100269143351</c:v>
                      </c:pt>
                      <c:pt idx="207">
                        <c:v>0.26541818067480183</c:v>
                      </c:pt>
                      <c:pt idx="208">
                        <c:v>0.26627813591592048</c:v>
                      </c:pt>
                      <c:pt idx="209">
                        <c:v>0.26714087741310821</c:v>
                      </c:pt>
                      <c:pt idx="210">
                        <c:v>0.26800641419383803</c:v>
                      </c:pt>
                      <c:pt idx="211">
                        <c:v>0.26887475531483224</c:v>
                      </c:pt>
                      <c:pt idx="212">
                        <c:v>0.26974590986215691</c:v>
                      </c:pt>
                      <c:pt idx="213">
                        <c:v>0.27061988695131678</c:v>
                      </c:pt>
                      <c:pt idx="214">
                        <c:v>0.27149669572735113</c:v>
                      </c:pt>
                      <c:pt idx="215">
                        <c:v>0.27237634536492883</c:v>
                      </c:pt>
                      <c:pt idx="216">
                        <c:v>0.273258845068445</c:v>
                      </c:pt>
                      <c:pt idx="217">
                        <c:v>0.27414420407211693</c:v>
                      </c:pt>
                      <c:pt idx="218">
                        <c:v>0.27503243164008057</c:v>
                      </c:pt>
                      <c:pt idx="219">
                        <c:v>0.27592353706648798</c:v>
                      </c:pt>
                      <c:pt idx="220">
                        <c:v>0.27681752967560413</c:v>
                      </c:pt>
                      <c:pt idx="221">
                        <c:v>0.27771441882190467</c:v>
                      </c:pt>
                      <c:pt idx="222">
                        <c:v>0.27861421389017366</c:v>
                      </c:pt>
                      <c:pt idx="223">
                        <c:v>0.27951692429560204</c:v>
                      </c:pt>
                      <c:pt idx="224">
                        <c:v>0.28042255948388589</c:v>
                      </c:pt>
                      <c:pt idx="225">
                        <c:v>0.28133112893132534</c:v>
                      </c:pt>
                      <c:pt idx="226">
                        <c:v>0.28224264214492373</c:v>
                      </c:pt>
                      <c:pt idx="227">
                        <c:v>0.28315710866248717</c:v>
                      </c:pt>
                      <c:pt idx="228">
                        <c:v>0.2840745380527242</c:v>
                      </c:pt>
                      <c:pt idx="229">
                        <c:v>0.28499493991534608</c:v>
                      </c:pt>
                      <c:pt idx="230">
                        <c:v>0.28591832388116711</c:v>
                      </c:pt>
                      <c:pt idx="231">
                        <c:v>0.28684469961220543</c:v>
                      </c:pt>
                      <c:pt idx="232">
                        <c:v>0.28777407680178402</c:v>
                      </c:pt>
                      <c:pt idx="233">
                        <c:v>0.28870646517463255</c:v>
                      </c:pt>
                      <c:pt idx="234">
                        <c:v>0.28964187448698842</c:v>
                      </c:pt>
                      <c:pt idx="235">
                        <c:v>0.29058031452669952</c:v>
                      </c:pt>
                      <c:pt idx="236">
                        <c:v>0.29152179511332643</c:v>
                      </c:pt>
                      <c:pt idx="237">
                        <c:v>0.29246632609824486</c:v>
                      </c:pt>
                      <c:pt idx="238">
                        <c:v>0.2934139173647492</c:v>
                      </c:pt>
                      <c:pt idx="239">
                        <c:v>0.29436457882815559</c:v>
                      </c:pt>
                      <c:pt idx="240">
                        <c:v>0.29531832043590595</c:v>
                      </c:pt>
                      <c:pt idx="241">
                        <c:v>0.29627515216767181</c:v>
                      </c:pt>
                      <c:pt idx="242">
                        <c:v>0.29723508403545895</c:v>
                      </c:pt>
                      <c:pt idx="243">
                        <c:v>0.29819812608371193</c:v>
                      </c:pt>
                      <c:pt idx="244">
                        <c:v>0.29916428838941944</c:v>
                      </c:pt>
                      <c:pt idx="245">
                        <c:v>0.30013358106221949</c:v>
                      </c:pt>
                      <c:pt idx="246">
                        <c:v>0.30110601424450562</c:v>
                      </c:pt>
                      <c:pt idx="247">
                        <c:v>0.30208159811153229</c:v>
                      </c:pt>
                      <c:pt idx="248">
                        <c:v>0.30306034287152223</c:v>
                      </c:pt>
                      <c:pt idx="249">
                        <c:v>0.30404225876577251</c:v>
                      </c:pt>
                      <c:pt idx="250">
                        <c:v>0.30502735606876225</c:v>
                      </c:pt>
                      <c:pt idx="251">
                        <c:v>0.30601564508825979</c:v>
                      </c:pt>
                      <c:pt idx="252">
                        <c:v>0.30700713616543052</c:v>
                      </c:pt>
                      <c:pt idx="253">
                        <c:v>0.30800183967494543</c:v>
                      </c:pt>
                      <c:pt idx="254">
                        <c:v>0.30899976602508938</c:v>
                      </c:pt>
                      <c:pt idx="255">
                        <c:v>0.31000092565787013</c:v>
                      </c:pt>
                      <c:pt idx="256">
                        <c:v>0.31100532904912748</c:v>
                      </c:pt>
                      <c:pt idx="257">
                        <c:v>0.31201298670864297</c:v>
                      </c:pt>
                      <c:pt idx="258">
                        <c:v>0.31302390918024992</c:v>
                      </c:pt>
                      <c:pt idx="259">
                        <c:v>0.31403810704194357</c:v>
                      </c:pt>
                      <c:pt idx="260">
                        <c:v>0.315055590905992</c:v>
                      </c:pt>
                      <c:pt idx="261">
                        <c:v>0.31607637141904699</c:v>
                      </c:pt>
                      <c:pt idx="262">
                        <c:v>0.31710045926225544</c:v>
                      </c:pt>
                      <c:pt idx="263">
                        <c:v>0.31812786515137131</c:v>
                      </c:pt>
                      <c:pt idx="264">
                        <c:v>0.31915859983686756</c:v>
                      </c:pt>
                      <c:pt idx="265">
                        <c:v>0.32019267410404856</c:v>
                      </c:pt>
                      <c:pt idx="266">
                        <c:v>0.32123009877316328</c:v>
                      </c:pt>
                      <c:pt idx="267">
                        <c:v>0.32227088469951809</c:v>
                      </c:pt>
                      <c:pt idx="268">
                        <c:v>0.32331504277359091</c:v>
                      </c:pt>
                      <c:pt idx="269">
                        <c:v>0.32436258392114442</c:v>
                      </c:pt>
                      <c:pt idx="270">
                        <c:v>0.3254135191033411</c:v>
                      </c:pt>
                      <c:pt idx="271">
                        <c:v>0.32646785931685746</c:v>
                      </c:pt>
                      <c:pt idx="272">
                        <c:v>0.32752561559399929</c:v>
                      </c:pt>
                      <c:pt idx="273">
                        <c:v>0.32858679900281695</c:v>
                      </c:pt>
                      <c:pt idx="274">
                        <c:v>0.32965142064722153</c:v>
                      </c:pt>
                      <c:pt idx="275">
                        <c:v>0.33071949166710063</c:v>
                      </c:pt>
                      <c:pt idx="276">
                        <c:v>0.33179102323843523</c:v>
                      </c:pt>
                      <c:pt idx="277">
                        <c:v>0.33286602657341624</c:v>
                      </c:pt>
                      <c:pt idx="278">
                        <c:v>0.33394451292056249</c:v>
                      </c:pt>
                      <c:pt idx="279">
                        <c:v>0.3350264935648376</c:v>
                      </c:pt>
                      <c:pt idx="280">
                        <c:v>0.3361119798277688</c:v>
                      </c:pt>
                      <c:pt idx="281">
                        <c:v>0.33720098306756502</c:v>
                      </c:pt>
                      <c:pt idx="282">
                        <c:v>0.33829351467923563</c:v>
                      </c:pt>
                      <c:pt idx="283">
                        <c:v>0.33938958609471004</c:v>
                      </c:pt>
                      <c:pt idx="284">
                        <c:v>0.34048920878295691</c:v>
                      </c:pt>
                      <c:pt idx="285">
                        <c:v>0.34159239425010474</c:v>
                      </c:pt>
                      <c:pt idx="286">
                        <c:v>0.34269915403956153</c:v>
                      </c:pt>
                      <c:pt idx="287">
                        <c:v>0.3438094997321362</c:v>
                      </c:pt>
                      <c:pt idx="288">
                        <c:v>0.34492344294615918</c:v>
                      </c:pt>
                      <c:pt idx="289">
                        <c:v>0.34604099533760474</c:v>
                      </c:pt>
                      <c:pt idx="290">
                        <c:v>0.34716216860021221</c:v>
                      </c:pt>
                      <c:pt idx="291">
                        <c:v>0.34828697446560863</c:v>
                      </c:pt>
                      <c:pt idx="292">
                        <c:v>0.34941542470343173</c:v>
                      </c:pt>
                      <c:pt idx="293">
                        <c:v>0.35054753112145287</c:v>
                      </c:pt>
                      <c:pt idx="294">
                        <c:v>0.35168330556570038</c:v>
                      </c:pt>
                      <c:pt idx="295">
                        <c:v>0.35282275992058393</c:v>
                      </c:pt>
                      <c:pt idx="296">
                        <c:v>0.35396590610901857</c:v>
                      </c:pt>
                      <c:pt idx="297">
                        <c:v>0.35511275609254978</c:v>
                      </c:pt>
                      <c:pt idx="298">
                        <c:v>0.35626332187147824</c:v>
                      </c:pt>
                      <c:pt idx="299">
                        <c:v>0.35741761548498574</c:v>
                      </c:pt>
                      <c:pt idx="300">
                        <c:v>0.35857564901126121</c:v>
                      </c:pt>
                      <c:pt idx="301">
                        <c:v>0.35973743456762669</c:v>
                      </c:pt>
                      <c:pt idx="302">
                        <c:v>0.3609029843106642</c:v>
                      </c:pt>
                      <c:pt idx="303">
                        <c:v>0.36207231043634353</c:v>
                      </c:pt>
                      <c:pt idx="304">
                        <c:v>0.36324542518014918</c:v>
                      </c:pt>
                      <c:pt idx="305">
                        <c:v>0.36442234081720865</c:v>
                      </c:pt>
                      <c:pt idx="306">
                        <c:v>0.3656030696624209</c:v>
                      </c:pt>
                      <c:pt idx="307">
                        <c:v>0.36678762407058507</c:v>
                      </c:pt>
                      <c:pt idx="308">
                        <c:v>0.36797601643653022</c:v>
                      </c:pt>
                      <c:pt idx="309">
                        <c:v>0.36916825919524415</c:v>
                      </c:pt>
                      <c:pt idx="310">
                        <c:v>0.37036436482200441</c:v>
                      </c:pt>
                      <c:pt idx="311">
                        <c:v>0.37156434583250847</c:v>
                      </c:pt>
                      <c:pt idx="312">
                        <c:v>0.37276821478300426</c:v>
                      </c:pt>
                      <c:pt idx="313">
                        <c:v>0.37397598427042256</c:v>
                      </c:pt>
                      <c:pt idx="314">
                        <c:v>0.37518766693250771</c:v>
                      </c:pt>
                      <c:pt idx="315">
                        <c:v>0.37640327544795082</c:v>
                      </c:pt>
                      <c:pt idx="316">
                        <c:v>0.37762282253652152</c:v>
                      </c:pt>
                      <c:pt idx="317">
                        <c:v>0.3788463209592019</c:v>
                      </c:pt>
                      <c:pt idx="318">
                        <c:v>0.38007378351831939</c:v>
                      </c:pt>
                      <c:pt idx="319">
                        <c:v>0.381305223057681</c:v>
                      </c:pt>
                      <c:pt idx="320">
                        <c:v>0.38254065246270791</c:v>
                      </c:pt>
                      <c:pt idx="321">
                        <c:v>0.38378008466056973</c:v>
                      </c:pt>
                      <c:pt idx="322">
                        <c:v>0.38502353262032041</c:v>
                      </c:pt>
                      <c:pt idx="323">
                        <c:v>0.3862710093530336</c:v>
                      </c:pt>
                      <c:pt idx="324">
                        <c:v>0.38752252791193875</c:v>
                      </c:pt>
                      <c:pt idx="325">
                        <c:v>0.38877810139255775</c:v>
                      </c:pt>
                      <c:pt idx="326">
                        <c:v>0.39003774293284216</c:v>
                      </c:pt>
                      <c:pt idx="327">
                        <c:v>0.39130146571331048</c:v>
                      </c:pt>
                      <c:pt idx="328">
                        <c:v>0.39256928295718591</c:v>
                      </c:pt>
                      <c:pt idx="329">
                        <c:v>0.39384120793053529</c:v>
                      </c:pt>
                      <c:pt idx="330">
                        <c:v>0.39511725394240715</c:v>
                      </c:pt>
                      <c:pt idx="331">
                        <c:v>0.3963974343449716</c:v>
                      </c:pt>
                      <c:pt idx="332">
                        <c:v>0.39768176253365972</c:v>
                      </c:pt>
                      <c:pt idx="333">
                        <c:v>0.39897025194730373</c:v>
                      </c:pt>
                      <c:pt idx="334">
                        <c:v>0.40026291606827774</c:v>
                      </c:pt>
                      <c:pt idx="335">
                        <c:v>0.40155976842263891</c:v>
                      </c:pt>
                      <c:pt idx="336">
                        <c:v>0.40286082258026856</c:v>
                      </c:pt>
                      <c:pt idx="337">
                        <c:v>0.40416609215501464</c:v>
                      </c:pt>
                      <c:pt idx="338">
                        <c:v>0.40547559080483397</c:v>
                      </c:pt>
                      <c:pt idx="339">
                        <c:v>0.40678933223193514</c:v>
                      </c:pt>
                      <c:pt idx="340">
                        <c:v>0.40810733018292183</c:v>
                      </c:pt>
                      <c:pt idx="341">
                        <c:v>0.409429598448937</c:v>
                      </c:pt>
                      <c:pt idx="342">
                        <c:v>0.41075615086580658</c:v>
                      </c:pt>
                      <c:pt idx="343">
                        <c:v>0.41208700131418469</c:v>
                      </c:pt>
                      <c:pt idx="344">
                        <c:v>0.41342216371969909</c:v>
                      </c:pt>
                      <c:pt idx="345">
                        <c:v>0.41476165205309617</c:v>
                      </c:pt>
                      <c:pt idx="346">
                        <c:v>0.41610548033038774</c:v>
                      </c:pt>
                      <c:pt idx="347">
                        <c:v>0.41745366261299771</c:v>
                      </c:pt>
                      <c:pt idx="348">
                        <c:v>0.41880621300790855</c:v>
                      </c:pt>
                      <c:pt idx="349">
                        <c:v>0.42016314566780982</c:v>
                      </c:pt>
                      <c:pt idx="350">
                        <c:v>0.42152447479124561</c:v>
                      </c:pt>
                      <c:pt idx="351">
                        <c:v>0.42289021462276322</c:v>
                      </c:pt>
                      <c:pt idx="352">
                        <c:v>0.42426037945306261</c:v>
                      </c:pt>
                      <c:pt idx="353">
                        <c:v>0.4256349836191452</c:v>
                      </c:pt>
                      <c:pt idx="354">
                        <c:v>0.42701404150446476</c:v>
                      </c:pt>
                      <c:pt idx="355">
                        <c:v>0.4283975675390771</c:v>
                      </c:pt>
                      <c:pt idx="356">
                        <c:v>0.42978557619979157</c:v>
                      </c:pt>
                      <c:pt idx="357">
                        <c:v>0.43117808201032254</c:v>
                      </c:pt>
                      <c:pt idx="358">
                        <c:v>0.43257509954144108</c:v>
                      </c:pt>
                      <c:pt idx="359">
                        <c:v>0.43397664341112752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10191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0688"/>
        <c:crosses val="autoZero"/>
        <c:auto val="1"/>
        <c:lblOffset val="100"/>
        <c:baseTimeUnit val="months"/>
      </c:dateAx>
      <c:valAx>
        <c:axId val="4101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0_);_(&quot;$&quot;* \(#,##0.0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Electric Bill (Fuel Costs by Fuel Type) -- 600 KWhr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'Fuel Cost Risk Sim'!$D$237</c:f>
              <c:strCache>
                <c:ptCount val="1"/>
                <c:pt idx="0">
                  <c:v>Oil/Diesel Blend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Sim'!$E$237:$MZ$237</c:f>
              <c:numCache>
                <c:formatCode>_("$"* #,##0.00_);_("$"* \(#,##0.00\);_("$"* "-"??_);_(@_)</c:formatCode>
                <c:ptCount val="360"/>
                <c:pt idx="0">
                  <c:v>81.522976287816832</c:v>
                </c:pt>
                <c:pt idx="1">
                  <c:v>81.787110834109271</c:v>
                </c:pt>
                <c:pt idx="2">
                  <c:v>82.052101176665815</c:v>
                </c:pt>
                <c:pt idx="3">
                  <c:v>82.317950088267423</c:v>
                </c:pt>
                <c:pt idx="4">
                  <c:v>82.584660350678902</c:v>
                </c:pt>
                <c:pt idx="5">
                  <c:v>82.852234754677966</c:v>
                </c:pt>
                <c:pt idx="6">
                  <c:v>83.12067610008441</c:v>
                </c:pt>
                <c:pt idx="7">
                  <c:v>83.389987195789544</c:v>
                </c:pt>
                <c:pt idx="8">
                  <c:v>83.66017085978541</c:v>
                </c:pt>
                <c:pt idx="9">
                  <c:v>83.931229919194422</c:v>
                </c:pt>
                <c:pt idx="10">
                  <c:v>84.203167210298744</c:v>
                </c:pt>
                <c:pt idx="11">
                  <c:v>84.475985578570231</c:v>
                </c:pt>
                <c:pt idx="12">
                  <c:v>84.749687878700016</c:v>
                </c:pt>
                <c:pt idx="13">
                  <c:v>85.024276974628449</c:v>
                </c:pt>
                <c:pt idx="14">
                  <c:v>85.299755739574991</c:v>
                </c:pt>
                <c:pt idx="15">
                  <c:v>85.576127056068458</c:v>
                </c:pt>
                <c:pt idx="16">
                  <c:v>85.853393815976915</c:v>
                </c:pt>
                <c:pt idx="17">
                  <c:v>86.131558920538197</c:v>
                </c:pt>
                <c:pt idx="18">
                  <c:v>86.410625280390121</c:v>
                </c:pt>
                <c:pt idx="19">
                  <c:v>86.690595815600972</c:v>
                </c:pt>
                <c:pt idx="20">
                  <c:v>86.971473455700036</c:v>
                </c:pt>
                <c:pt idx="21">
                  <c:v>87.253261139708329</c:v>
                </c:pt>
                <c:pt idx="22">
                  <c:v>87.535961816169234</c:v>
                </c:pt>
                <c:pt idx="23">
                  <c:v>87.819578443179466</c:v>
                </c:pt>
                <c:pt idx="24">
                  <c:v>88.104113988419968</c:v>
                </c:pt>
                <c:pt idx="25">
                  <c:v>88.389571429186958</c:v>
                </c:pt>
                <c:pt idx="26">
                  <c:v>88.675953752423112</c:v>
                </c:pt>
                <c:pt idx="27">
                  <c:v>88.963263954748811</c:v>
                </c:pt>
                <c:pt idx="28">
                  <c:v>89.251505042493434</c:v>
                </c:pt>
                <c:pt idx="29">
                  <c:v>89.540680031726978</c:v>
                </c:pt>
                <c:pt idx="30">
                  <c:v>89.830791948291434</c:v>
                </c:pt>
                <c:pt idx="31">
                  <c:v>90.121843827832521</c:v>
                </c:pt>
                <c:pt idx="32">
                  <c:v>90.41383871583146</c:v>
                </c:pt>
                <c:pt idx="33">
                  <c:v>90.706779667636866</c:v>
                </c:pt>
                <c:pt idx="34">
                  <c:v>91.000669748496676</c:v>
                </c:pt>
                <c:pt idx="35">
                  <c:v>91.295512033590214</c:v>
                </c:pt>
                <c:pt idx="36">
                  <c:v>91.591309608060413</c:v>
                </c:pt>
                <c:pt idx="37">
                  <c:v>91.888065567046056</c:v>
                </c:pt>
                <c:pt idx="38">
                  <c:v>92.185783015714179</c:v>
                </c:pt>
                <c:pt idx="39">
                  <c:v>92.484465069292582</c:v>
                </c:pt>
                <c:pt idx="40">
                  <c:v>92.784114853102352</c:v>
                </c:pt>
                <c:pt idx="41">
                  <c:v>93.084735502590732</c:v>
                </c:pt>
                <c:pt idx="42">
                  <c:v>93.386330163363723</c:v>
                </c:pt>
                <c:pt idx="43">
                  <c:v>93.688901991219112</c:v>
                </c:pt>
                <c:pt idx="44">
                  <c:v>93.992454152179448</c:v>
                </c:pt>
                <c:pt idx="45">
                  <c:v>94.29698982252529</c:v>
                </c:pt>
                <c:pt idx="46">
                  <c:v>94.602512188828271</c:v>
                </c:pt>
                <c:pt idx="47">
                  <c:v>94.909024447984521</c:v>
                </c:pt>
                <c:pt idx="48">
                  <c:v>95.216529807248151</c:v>
                </c:pt>
                <c:pt idx="49">
                  <c:v>95.525031484264787</c:v>
                </c:pt>
                <c:pt idx="50">
                  <c:v>95.834532707105154</c:v>
                </c:pt>
                <c:pt idx="51">
                  <c:v>96.145036714299039</c:v>
                </c:pt>
                <c:pt idx="52">
                  <c:v>96.456546754868953</c:v>
                </c:pt>
                <c:pt idx="53">
                  <c:v>96.769066088364397</c:v>
                </c:pt>
                <c:pt idx="54">
                  <c:v>97.082597984895656</c:v>
                </c:pt>
                <c:pt idx="55">
                  <c:v>97.397145725168301</c:v>
                </c:pt>
                <c:pt idx="56">
                  <c:v>97.712712600517264</c:v>
                </c:pt>
                <c:pt idx="57">
                  <c:v>98.029301912941548</c:v>
                </c:pt>
                <c:pt idx="58">
                  <c:v>98.346916975138541</c:v>
                </c:pt>
                <c:pt idx="59">
                  <c:v>98.665561110538803</c:v>
                </c:pt>
                <c:pt idx="60">
                  <c:v>98.985237653340818</c:v>
                </c:pt>
                <c:pt idx="61">
                  <c:v>99.305949948545901</c:v>
                </c:pt>
                <c:pt idx="62">
                  <c:v>99.627701351993082</c:v>
                </c:pt>
                <c:pt idx="63">
                  <c:v>99.950495230394438</c:v>
                </c:pt>
                <c:pt idx="64">
                  <c:v>100.27433496137014</c:v>
                </c:pt>
                <c:pt idx="65">
                  <c:v>100.59922393348381</c:v>
                </c:pt>
                <c:pt idx="66">
                  <c:v>100.92516554627811</c:v>
                </c:pt>
                <c:pt idx="67">
                  <c:v>101.25216321031016</c:v>
                </c:pt>
                <c:pt idx="68">
                  <c:v>101.58022034718726</c:v>
                </c:pt>
                <c:pt idx="69">
                  <c:v>101.90934038960283</c:v>
                </c:pt>
                <c:pt idx="70">
                  <c:v>102.23952678137213</c:v>
                </c:pt>
                <c:pt idx="71">
                  <c:v>102.57078297746843</c:v>
                </c:pt>
                <c:pt idx="72">
                  <c:v>102.90311244405909</c:v>
                </c:pt>
                <c:pt idx="73">
                  <c:v>103.23651865854188</c:v>
                </c:pt>
                <c:pt idx="74">
                  <c:v>103.57100510958129</c:v>
                </c:pt>
                <c:pt idx="75">
                  <c:v>103.90657529714521</c:v>
                </c:pt>
                <c:pt idx="76">
                  <c:v>104.2432327325413</c:v>
                </c:pt>
                <c:pt idx="77">
                  <c:v>104.58098093845391</c:v>
                </c:pt>
                <c:pt idx="78">
                  <c:v>104.91982344898092</c:v>
                </c:pt>
                <c:pt idx="79">
                  <c:v>105.25976380967057</c:v>
                </c:pt>
                <c:pt idx="80">
                  <c:v>105.60080557755892</c:v>
                </c:pt>
                <c:pt idx="81">
                  <c:v>105.94295232120662</c:v>
                </c:pt>
                <c:pt idx="82">
                  <c:v>106.28620762073649</c:v>
                </c:pt>
                <c:pt idx="83">
                  <c:v>106.63057506787105</c:v>
                </c:pt>
                <c:pt idx="84">
                  <c:v>106.97605826596991</c:v>
                </c:pt>
                <c:pt idx="85">
                  <c:v>107.32266083006763</c:v>
                </c:pt>
                <c:pt idx="86">
                  <c:v>107.67038638691146</c:v>
                </c:pt>
                <c:pt idx="87">
                  <c:v>108.01923857499931</c:v>
                </c:pt>
                <c:pt idx="88">
                  <c:v>108.3692210446178</c:v>
                </c:pt>
                <c:pt idx="89">
                  <c:v>108.72033745788058</c:v>
                </c:pt>
                <c:pt idx="90">
                  <c:v>109.07259148876646</c:v>
                </c:pt>
                <c:pt idx="91">
                  <c:v>109.42598682315798</c:v>
                </c:pt>
                <c:pt idx="92">
                  <c:v>109.78052715887995</c:v>
                </c:pt>
                <c:pt idx="93">
                  <c:v>110.13621620573809</c:v>
                </c:pt>
                <c:pt idx="94">
                  <c:v>110.493057685558</c:v>
                </c:pt>
                <c:pt idx="95">
                  <c:v>110.85105533222391</c:v>
                </c:pt>
                <c:pt idx="96">
                  <c:v>111.21021289171784</c:v>
                </c:pt>
                <c:pt idx="97">
                  <c:v>111.57053412215886</c:v>
                </c:pt>
                <c:pt idx="98">
                  <c:v>111.93202279384225</c:v>
                </c:pt>
                <c:pt idx="99">
                  <c:v>112.29468268927917</c:v>
                </c:pt>
                <c:pt idx="100">
                  <c:v>112.65851760323604</c:v>
                </c:pt>
                <c:pt idx="101">
                  <c:v>113.02353134277431</c:v>
                </c:pt>
                <c:pt idx="102">
                  <c:v>113.38972772729046</c:v>
                </c:pt>
                <c:pt idx="103">
                  <c:v>113.75711058855562</c:v>
                </c:pt>
                <c:pt idx="104">
                  <c:v>114.12568377075597</c:v>
                </c:pt>
                <c:pt idx="105">
                  <c:v>114.49545113053291</c:v>
                </c:pt>
                <c:pt idx="106">
                  <c:v>114.86641653702321</c:v>
                </c:pt>
                <c:pt idx="107">
                  <c:v>115.23858387189982</c:v>
                </c:pt>
                <c:pt idx="108">
                  <c:v>115.61195702941217</c:v>
                </c:pt>
                <c:pt idx="109">
                  <c:v>115.98653991642712</c:v>
                </c:pt>
                <c:pt idx="110">
                  <c:v>116.36233645246988</c:v>
                </c:pt>
                <c:pt idx="111">
                  <c:v>116.73935056976471</c:v>
                </c:pt>
                <c:pt idx="112">
                  <c:v>117.1175862132765</c:v>
                </c:pt>
                <c:pt idx="113">
                  <c:v>117.49704734075168</c:v>
                </c:pt>
                <c:pt idx="114">
                  <c:v>117.87773792275988</c:v>
                </c:pt>
                <c:pt idx="115">
                  <c:v>118.25966194273532</c:v>
                </c:pt>
                <c:pt idx="116">
                  <c:v>118.6428233970186</c:v>
                </c:pt>
                <c:pt idx="117">
                  <c:v>119.02722629489843</c:v>
                </c:pt>
                <c:pt idx="118">
                  <c:v>119.41287465865362</c:v>
                </c:pt>
                <c:pt idx="119">
                  <c:v>119.79977252359518</c:v>
                </c:pt>
                <c:pt idx="120">
                  <c:v>120.18792393810857</c:v>
                </c:pt>
                <c:pt idx="121">
                  <c:v>120.57733296369594</c:v>
                </c:pt>
                <c:pt idx="122">
                  <c:v>120.96800367501879</c:v>
                </c:pt>
                <c:pt idx="123">
                  <c:v>121.35994015994049</c:v>
                </c:pt>
                <c:pt idx="124">
                  <c:v>121.75314651956911</c:v>
                </c:pt>
                <c:pt idx="125">
                  <c:v>122.14762686830031</c:v>
                </c:pt>
                <c:pt idx="126">
                  <c:v>122.54338533386034</c:v>
                </c:pt>
                <c:pt idx="127">
                  <c:v>122.94042605734946</c:v>
                </c:pt>
                <c:pt idx="128">
                  <c:v>123.33875319328487</c:v>
                </c:pt>
                <c:pt idx="129">
                  <c:v>123.73837090964454</c:v>
                </c:pt>
                <c:pt idx="130">
                  <c:v>124.13928338791074</c:v>
                </c:pt>
                <c:pt idx="131">
                  <c:v>124.5414948231136</c:v>
                </c:pt>
                <c:pt idx="132">
                  <c:v>124.94500942387531</c:v>
                </c:pt>
                <c:pt idx="133">
                  <c:v>125.34983141245391</c:v>
                </c:pt>
                <c:pt idx="134">
                  <c:v>125.75596502478757</c:v>
                </c:pt>
                <c:pt idx="135">
                  <c:v>126.16341451053887</c:v>
                </c:pt>
                <c:pt idx="136">
                  <c:v>126.57218413313942</c:v>
                </c:pt>
                <c:pt idx="137">
                  <c:v>126.98227816983429</c:v>
                </c:pt>
                <c:pt idx="138">
                  <c:v>127.39370091172675</c:v>
                </c:pt>
                <c:pt idx="139">
                  <c:v>127.80645666382338</c:v>
                </c:pt>
                <c:pt idx="140">
                  <c:v>128.22054974507887</c:v>
                </c:pt>
                <c:pt idx="141">
                  <c:v>128.63598448844147</c:v>
                </c:pt>
                <c:pt idx="142">
                  <c:v>129.05276524089803</c:v>
                </c:pt>
                <c:pt idx="143">
                  <c:v>129.47089636351973</c:v>
                </c:pt>
                <c:pt idx="144">
                  <c:v>129.89038223150766</c:v>
                </c:pt>
                <c:pt idx="145">
                  <c:v>130.31122723423846</c:v>
                </c:pt>
                <c:pt idx="146">
                  <c:v>130.73343577531045</c:v>
                </c:pt>
                <c:pt idx="147">
                  <c:v>131.15701227258955</c:v>
                </c:pt>
                <c:pt idx="148">
                  <c:v>131.58196115825567</c:v>
                </c:pt>
                <c:pt idx="149">
                  <c:v>132.00828687884882</c:v>
                </c:pt>
                <c:pt idx="150">
                  <c:v>132.43599389531602</c:v>
                </c:pt>
                <c:pt idx="151">
                  <c:v>132.86508668305754</c:v>
                </c:pt>
                <c:pt idx="152">
                  <c:v>133.29556973197413</c:v>
                </c:pt>
                <c:pt idx="153">
                  <c:v>133.72744754651373</c:v>
                </c:pt>
                <c:pt idx="154">
                  <c:v>134.16072464571872</c:v>
                </c:pt>
                <c:pt idx="155">
                  <c:v>134.59540556327323</c:v>
                </c:pt>
                <c:pt idx="156">
                  <c:v>135.03149484755039</c:v>
                </c:pt>
                <c:pt idx="157">
                  <c:v>135.46899706166027</c:v>
                </c:pt>
                <c:pt idx="158">
                  <c:v>135.90791678349726</c:v>
                </c:pt>
                <c:pt idx="159">
                  <c:v>136.34825860578817</c:v>
                </c:pt>
                <c:pt idx="160">
                  <c:v>136.79002713614037</c:v>
                </c:pt>
                <c:pt idx="161">
                  <c:v>137.23322699708964</c:v>
                </c:pt>
                <c:pt idx="162">
                  <c:v>137.67786282614904</c:v>
                </c:pt>
                <c:pt idx="163">
                  <c:v>138.12393927585703</c:v>
                </c:pt>
                <c:pt idx="164">
                  <c:v>138.57146101382631</c:v>
                </c:pt>
                <c:pt idx="165">
                  <c:v>139.02043272279272</c:v>
                </c:pt>
                <c:pt idx="166">
                  <c:v>139.47085910066403</c:v>
                </c:pt>
                <c:pt idx="167">
                  <c:v>139.92274486056942</c:v>
                </c:pt>
                <c:pt idx="168">
                  <c:v>140.37609473090851</c:v>
                </c:pt>
                <c:pt idx="169">
                  <c:v>140.83091345540092</c:v>
                </c:pt>
                <c:pt idx="170">
                  <c:v>141.28720579313602</c:v>
                </c:pt>
                <c:pt idx="171">
                  <c:v>141.74497651862259</c:v>
                </c:pt>
                <c:pt idx="172">
                  <c:v>142.20423042183876</c:v>
                </c:pt>
                <c:pt idx="173">
                  <c:v>142.66497230828222</c:v>
                </c:pt>
                <c:pt idx="174">
                  <c:v>143.12720699902059</c:v>
                </c:pt>
                <c:pt idx="175">
                  <c:v>143.59093933074163</c:v>
                </c:pt>
                <c:pt idx="176">
                  <c:v>144.05617415580409</c:v>
                </c:pt>
                <c:pt idx="177">
                  <c:v>144.52291634228817</c:v>
                </c:pt>
                <c:pt idx="178">
                  <c:v>144.99117077404685</c:v>
                </c:pt>
                <c:pt idx="179">
                  <c:v>145.46094235075677</c:v>
                </c:pt>
                <c:pt idx="180">
                  <c:v>145.93223598796942</c:v>
                </c:pt>
                <c:pt idx="181">
                  <c:v>146.40505661716278</c:v>
                </c:pt>
                <c:pt idx="182">
                  <c:v>146.87940918579281</c:v>
                </c:pt>
                <c:pt idx="183">
                  <c:v>147.35529865734523</c:v>
                </c:pt>
                <c:pt idx="184">
                  <c:v>147.83273001138747</c:v>
                </c:pt>
                <c:pt idx="185">
                  <c:v>148.31170824362067</c:v>
                </c:pt>
                <c:pt idx="186">
                  <c:v>148.79223836593223</c:v>
                </c:pt>
                <c:pt idx="187">
                  <c:v>149.27432540644787</c:v>
                </c:pt>
                <c:pt idx="188">
                  <c:v>149.75797440958456</c:v>
                </c:pt>
                <c:pt idx="189">
                  <c:v>150.24319043610325</c:v>
                </c:pt>
                <c:pt idx="190">
                  <c:v>150.72997856316158</c:v>
                </c:pt>
                <c:pt idx="191">
                  <c:v>151.21834388436733</c:v>
                </c:pt>
                <c:pt idx="192">
                  <c:v>151.70829150983153</c:v>
                </c:pt>
                <c:pt idx="193">
                  <c:v>152.19982656622199</c:v>
                </c:pt>
                <c:pt idx="194">
                  <c:v>152.69295419681688</c:v>
                </c:pt>
                <c:pt idx="195">
                  <c:v>153.1876795615587</c:v>
                </c:pt>
                <c:pt idx="196">
                  <c:v>153.68400783710808</c:v>
                </c:pt>
                <c:pt idx="197">
                  <c:v>154.18194421689802</c:v>
                </c:pt>
                <c:pt idx="198">
                  <c:v>154.68149391118834</c:v>
                </c:pt>
                <c:pt idx="199">
                  <c:v>155.18266214712006</c:v>
                </c:pt>
                <c:pt idx="200">
                  <c:v>155.68545416877009</c:v>
                </c:pt>
                <c:pt idx="201">
                  <c:v>156.18987523720628</c:v>
                </c:pt>
                <c:pt idx="202">
                  <c:v>156.69593063054225</c:v>
                </c:pt>
                <c:pt idx="203">
                  <c:v>157.20362564399278</c:v>
                </c:pt>
                <c:pt idx="204">
                  <c:v>157.71296558992907</c:v>
                </c:pt>
                <c:pt idx="205">
                  <c:v>158.22395579793445</c:v>
                </c:pt>
                <c:pt idx="206">
                  <c:v>158.73660161486012</c:v>
                </c:pt>
                <c:pt idx="207">
                  <c:v>159.2509084048811</c:v>
                </c:pt>
                <c:pt idx="208">
                  <c:v>159.76688154955229</c:v>
                </c:pt>
                <c:pt idx="209">
                  <c:v>160.28452644786492</c:v>
                </c:pt>
                <c:pt idx="210">
                  <c:v>160.80384851630282</c:v>
                </c:pt>
                <c:pt idx="211">
                  <c:v>161.32485318889934</c:v>
                </c:pt>
                <c:pt idx="212">
                  <c:v>161.84754591729416</c:v>
                </c:pt>
                <c:pt idx="213">
                  <c:v>162.37193217079007</c:v>
                </c:pt>
                <c:pt idx="214">
                  <c:v>162.89801743641067</c:v>
                </c:pt>
                <c:pt idx="215">
                  <c:v>163.42580721895729</c:v>
                </c:pt>
                <c:pt idx="216">
                  <c:v>163.95530704106699</c:v>
                </c:pt>
                <c:pt idx="217">
                  <c:v>164.48652244327016</c:v>
                </c:pt>
                <c:pt idx="218">
                  <c:v>165.01945898404833</c:v>
                </c:pt>
                <c:pt idx="219">
                  <c:v>165.55412223989279</c:v>
                </c:pt>
                <c:pt idx="220">
                  <c:v>166.09051780536248</c:v>
                </c:pt>
                <c:pt idx="221">
                  <c:v>166.62865129314281</c:v>
                </c:pt>
                <c:pt idx="222">
                  <c:v>167.1685283341042</c:v>
                </c:pt>
                <c:pt idx="223">
                  <c:v>167.71015457736124</c:v>
                </c:pt>
                <c:pt idx="224">
                  <c:v>168.25353569033155</c:v>
                </c:pt>
                <c:pt idx="225">
                  <c:v>168.7986773587952</c:v>
                </c:pt>
                <c:pt idx="226">
                  <c:v>169.34558528695425</c:v>
                </c:pt>
                <c:pt idx="227">
                  <c:v>169.8942651974923</c:v>
                </c:pt>
                <c:pt idx="228">
                  <c:v>170.44472283163452</c:v>
                </c:pt>
                <c:pt idx="229">
                  <c:v>170.99696394920764</c:v>
                </c:pt>
                <c:pt idx="230">
                  <c:v>171.55099432870026</c:v>
                </c:pt>
                <c:pt idx="231">
                  <c:v>172.10681976732326</c:v>
                </c:pt>
                <c:pt idx="232">
                  <c:v>172.66444608107042</c:v>
                </c:pt>
                <c:pt idx="233">
                  <c:v>173.22387910477954</c:v>
                </c:pt>
                <c:pt idx="234">
                  <c:v>173.78512469219305</c:v>
                </c:pt>
                <c:pt idx="235">
                  <c:v>174.34818871601971</c:v>
                </c:pt>
                <c:pt idx="236">
                  <c:v>174.91307706799586</c:v>
                </c:pt>
                <c:pt idx="237">
                  <c:v>175.47979565894693</c:v>
                </c:pt>
                <c:pt idx="238">
                  <c:v>176.04835041884951</c:v>
                </c:pt>
                <c:pt idx="239">
                  <c:v>176.61874729689336</c:v>
                </c:pt>
                <c:pt idx="240">
                  <c:v>177.19099226154356</c:v>
                </c:pt>
                <c:pt idx="241">
                  <c:v>177.76509130060307</c:v>
                </c:pt>
                <c:pt idx="242">
                  <c:v>178.34105042127538</c:v>
                </c:pt>
                <c:pt idx="243">
                  <c:v>178.91887565022716</c:v>
                </c:pt>
                <c:pt idx="244">
                  <c:v>179.49857303365167</c:v>
                </c:pt>
                <c:pt idx="245">
                  <c:v>180.08014863733169</c:v>
                </c:pt>
                <c:pt idx="246">
                  <c:v>180.66360854670336</c:v>
                </c:pt>
                <c:pt idx="247">
                  <c:v>181.24895886691937</c:v>
                </c:pt>
                <c:pt idx="248">
                  <c:v>181.83620572291335</c:v>
                </c:pt>
                <c:pt idx="249">
                  <c:v>182.42535525946352</c:v>
                </c:pt>
                <c:pt idx="250">
                  <c:v>183.01641364125734</c:v>
                </c:pt>
                <c:pt idx="251">
                  <c:v>183.60938705295587</c:v>
                </c:pt>
                <c:pt idx="252">
                  <c:v>184.2042816992583</c:v>
                </c:pt>
                <c:pt idx="253">
                  <c:v>184.80110380496725</c:v>
                </c:pt>
                <c:pt idx="254">
                  <c:v>185.39985961505363</c:v>
                </c:pt>
                <c:pt idx="255">
                  <c:v>186.00055539472208</c:v>
                </c:pt>
                <c:pt idx="256">
                  <c:v>186.6031974294765</c:v>
                </c:pt>
                <c:pt idx="257">
                  <c:v>187.20779202518577</c:v>
                </c:pt>
                <c:pt idx="258">
                  <c:v>187.81434550814996</c:v>
                </c:pt>
                <c:pt idx="259">
                  <c:v>188.42286422516614</c:v>
                </c:pt>
                <c:pt idx="260">
                  <c:v>189.03335454359521</c:v>
                </c:pt>
                <c:pt idx="261">
                  <c:v>189.64582285142819</c:v>
                </c:pt>
                <c:pt idx="262">
                  <c:v>190.26027555735325</c:v>
                </c:pt>
                <c:pt idx="263">
                  <c:v>190.87671909082277</c:v>
                </c:pt>
                <c:pt idx="264">
                  <c:v>191.49515990212055</c:v>
                </c:pt>
                <c:pt idx="265">
                  <c:v>192.11560446242913</c:v>
                </c:pt>
                <c:pt idx="266">
                  <c:v>192.73805926389795</c:v>
                </c:pt>
                <c:pt idx="267">
                  <c:v>193.36253081971086</c:v>
                </c:pt>
                <c:pt idx="268">
                  <c:v>193.98902566415455</c:v>
                </c:pt>
                <c:pt idx="269">
                  <c:v>194.61755035268666</c:v>
                </c:pt>
                <c:pt idx="270">
                  <c:v>195.24811146200466</c:v>
                </c:pt>
                <c:pt idx="271">
                  <c:v>195.88071559011448</c:v>
                </c:pt>
                <c:pt idx="272">
                  <c:v>196.51536935639956</c:v>
                </c:pt>
                <c:pt idx="273">
                  <c:v>197.15207940169017</c:v>
                </c:pt>
                <c:pt idx="274">
                  <c:v>197.79085238833292</c:v>
                </c:pt>
                <c:pt idx="275">
                  <c:v>198.43169500026039</c:v>
                </c:pt>
                <c:pt idx="276">
                  <c:v>199.07461394306114</c:v>
                </c:pt>
                <c:pt idx="277">
                  <c:v>199.71961594404974</c:v>
                </c:pt>
                <c:pt idx="278">
                  <c:v>200.3667077523375</c:v>
                </c:pt>
                <c:pt idx="279">
                  <c:v>201.01589613890255</c:v>
                </c:pt>
                <c:pt idx="280">
                  <c:v>201.66718789666129</c:v>
                </c:pt>
                <c:pt idx="281">
                  <c:v>202.32058984053901</c:v>
                </c:pt>
                <c:pt idx="282">
                  <c:v>202.97610880754138</c:v>
                </c:pt>
                <c:pt idx="283">
                  <c:v>203.63375165682604</c:v>
                </c:pt>
                <c:pt idx="284">
                  <c:v>204.29352526977414</c:v>
                </c:pt>
                <c:pt idx="285">
                  <c:v>204.95543655006284</c:v>
                </c:pt>
                <c:pt idx="286">
                  <c:v>205.61949242373692</c:v>
                </c:pt>
                <c:pt idx="287">
                  <c:v>206.28569983928173</c:v>
                </c:pt>
                <c:pt idx="288">
                  <c:v>206.95406576769551</c:v>
                </c:pt>
                <c:pt idx="289">
                  <c:v>207.62459720256285</c:v>
                </c:pt>
                <c:pt idx="290">
                  <c:v>208.29730116012732</c:v>
                </c:pt>
                <c:pt idx="291">
                  <c:v>208.97218467936517</c:v>
                </c:pt>
                <c:pt idx="292">
                  <c:v>209.64925482205905</c:v>
                </c:pt>
                <c:pt idx="293">
                  <c:v>210.32851867287172</c:v>
                </c:pt>
                <c:pt idx="294">
                  <c:v>211.00998333942022</c:v>
                </c:pt>
                <c:pt idx="295">
                  <c:v>211.69365595235035</c:v>
                </c:pt>
                <c:pt idx="296">
                  <c:v>212.37954366541115</c:v>
                </c:pt>
                <c:pt idx="297">
                  <c:v>213.06765365552985</c:v>
                </c:pt>
                <c:pt idx="298">
                  <c:v>213.75799312288694</c:v>
                </c:pt>
                <c:pt idx="299">
                  <c:v>214.45056929099144</c:v>
                </c:pt>
                <c:pt idx="300">
                  <c:v>215.14538940675672</c:v>
                </c:pt>
                <c:pt idx="301">
                  <c:v>215.842460740576</c:v>
                </c:pt>
                <c:pt idx="302">
                  <c:v>216.54179058639852</c:v>
                </c:pt>
                <c:pt idx="303">
                  <c:v>217.24338626180611</c:v>
                </c:pt>
                <c:pt idx="304">
                  <c:v>217.94725510808951</c:v>
                </c:pt>
                <c:pt idx="305">
                  <c:v>218.65340449032519</c:v>
                </c:pt>
                <c:pt idx="306">
                  <c:v>219.36184179745254</c:v>
                </c:pt>
                <c:pt idx="307">
                  <c:v>220.07257444235105</c:v>
                </c:pt>
                <c:pt idx="308">
                  <c:v>220.78560986191812</c:v>
                </c:pt>
                <c:pt idx="309">
                  <c:v>221.50095551714648</c:v>
                </c:pt>
                <c:pt idx="310">
                  <c:v>222.21861889320266</c:v>
                </c:pt>
                <c:pt idx="311">
                  <c:v>222.93860749950508</c:v>
                </c:pt>
                <c:pt idx="312">
                  <c:v>223.66092886980255</c:v>
                </c:pt>
                <c:pt idx="313">
                  <c:v>224.38559056225353</c:v>
                </c:pt>
                <c:pt idx="314">
                  <c:v>225.11260015950464</c:v>
                </c:pt>
                <c:pt idx="315">
                  <c:v>225.84196526877051</c:v>
                </c:pt>
                <c:pt idx="316">
                  <c:v>226.5736935219129</c:v>
                </c:pt>
                <c:pt idx="317">
                  <c:v>227.30779257552115</c:v>
                </c:pt>
                <c:pt idx="318">
                  <c:v>228.04427011099162</c:v>
                </c:pt>
                <c:pt idx="319">
                  <c:v>228.78313383460861</c:v>
                </c:pt>
                <c:pt idx="320">
                  <c:v>229.52439147762473</c:v>
                </c:pt>
                <c:pt idx="321">
                  <c:v>230.26805079634184</c:v>
                </c:pt>
                <c:pt idx="322">
                  <c:v>231.01411957219224</c:v>
                </c:pt>
                <c:pt idx="323">
                  <c:v>231.76260561182016</c:v>
                </c:pt>
                <c:pt idx="324">
                  <c:v>232.51351674716324</c:v>
                </c:pt>
                <c:pt idx="325">
                  <c:v>233.26686083553466</c:v>
                </c:pt>
                <c:pt idx="326">
                  <c:v>234.02264575970528</c:v>
                </c:pt>
                <c:pt idx="327">
                  <c:v>234.78087942798629</c:v>
                </c:pt>
                <c:pt idx="328">
                  <c:v>235.54156977431154</c:v>
                </c:pt>
                <c:pt idx="329">
                  <c:v>236.30472475832119</c:v>
                </c:pt>
                <c:pt idx="330">
                  <c:v>237.07035236544428</c:v>
                </c:pt>
                <c:pt idx="331">
                  <c:v>237.83846060698295</c:v>
                </c:pt>
                <c:pt idx="332">
                  <c:v>238.60905752019585</c:v>
                </c:pt>
                <c:pt idx="333">
                  <c:v>239.38215116838225</c:v>
                </c:pt>
                <c:pt idx="334">
                  <c:v>240.15774964096664</c:v>
                </c:pt>
                <c:pt idx="335">
                  <c:v>240.93586105358335</c:v>
                </c:pt>
                <c:pt idx="336">
                  <c:v>241.71649354816114</c:v>
                </c:pt>
                <c:pt idx="337">
                  <c:v>242.4996552930088</c:v>
                </c:pt>
                <c:pt idx="338">
                  <c:v>243.28535448290037</c:v>
                </c:pt>
                <c:pt idx="339">
                  <c:v>244.07359933916109</c:v>
                </c:pt>
                <c:pt idx="340">
                  <c:v>244.8643981097531</c:v>
                </c:pt>
                <c:pt idx="341">
                  <c:v>245.65775906936221</c:v>
                </c:pt>
                <c:pt idx="342">
                  <c:v>246.45369051948396</c:v>
                </c:pt>
                <c:pt idx="343">
                  <c:v>247.25220078851081</c:v>
                </c:pt>
                <c:pt idx="344">
                  <c:v>248.05329823181944</c:v>
                </c:pt>
                <c:pt idx="345">
                  <c:v>248.85699123185771</c:v>
                </c:pt>
                <c:pt idx="346">
                  <c:v>249.66328819823264</c:v>
                </c:pt>
                <c:pt idx="347">
                  <c:v>250.47219756779862</c:v>
                </c:pt>
                <c:pt idx="348">
                  <c:v>251.28372780474513</c:v>
                </c:pt>
                <c:pt idx="349">
                  <c:v>252.09788740068589</c:v>
                </c:pt>
                <c:pt idx="350">
                  <c:v>252.91468487474737</c:v>
                </c:pt>
                <c:pt idx="351">
                  <c:v>253.73412877365794</c:v>
                </c:pt>
                <c:pt idx="352">
                  <c:v>254.55622767183758</c:v>
                </c:pt>
                <c:pt idx="353">
                  <c:v>255.38099017148713</c:v>
                </c:pt>
                <c:pt idx="354">
                  <c:v>256.20842490267887</c:v>
                </c:pt>
                <c:pt idx="355">
                  <c:v>257.03854052344627</c:v>
                </c:pt>
                <c:pt idx="356">
                  <c:v>257.87134571987497</c:v>
                </c:pt>
                <c:pt idx="357">
                  <c:v>258.70684920619351</c:v>
                </c:pt>
                <c:pt idx="358">
                  <c:v>259.54505972486464</c:v>
                </c:pt>
                <c:pt idx="359">
                  <c:v>260.38598604667652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'Fuel Cost Risk Sim'!$D$238</c:f>
              <c:strCache>
                <c:ptCount val="1"/>
                <c:pt idx="0">
                  <c:v>Oil/Diesel Linked Gas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Sim'!$E$238:$MZ$238</c:f>
              <c:numCache>
                <c:formatCode>_("$"* #,##0.00_);_("$"* \(#,##0.00\);_("$"* "-"??_);_(@_)</c:formatCode>
                <c:ptCount val="360"/>
                <c:pt idx="0">
                  <c:v>64.808869991823386</c:v>
                </c:pt>
                <c:pt idx="1">
                  <c:v>64.95574854793928</c:v>
                </c:pt>
                <c:pt idx="2">
                  <c:v>65.103102990762764</c:v>
                </c:pt>
                <c:pt idx="3">
                  <c:v>65.250934862167398</c:v>
                </c:pt>
                <c:pt idx="4">
                  <c:v>65.399245709022381</c:v>
                </c:pt>
                <c:pt idx="5">
                  <c:v>65.548037083208769</c:v>
                </c:pt>
                <c:pt idx="6">
                  <c:v>65.69731054163573</c:v>
                </c:pt>
                <c:pt idx="7">
                  <c:v>65.847067646256804</c:v>
                </c:pt>
                <c:pt idx="8">
                  <c:v>65.997309964086284</c:v>
                </c:pt>
                <c:pt idx="9">
                  <c:v>66.148039067215592</c:v>
                </c:pt>
                <c:pt idx="10">
                  <c:v>66.299256532829673</c:v>
                </c:pt>
                <c:pt idx="11">
                  <c:v>66.450963943223641</c:v>
                </c:pt>
                <c:pt idx="12">
                  <c:v>66.603162885819174</c:v>
                </c:pt>
                <c:pt idx="13">
                  <c:v>66.755854953181256</c:v>
                </c:pt>
                <c:pt idx="14">
                  <c:v>66.909041743034692</c:v>
                </c:pt>
                <c:pt idx="15">
                  <c:v>67.062724858281058</c:v>
                </c:pt>
                <c:pt idx="16">
                  <c:v>67.216905907015189</c:v>
                </c:pt>
                <c:pt idx="17">
                  <c:v>67.371586502542272</c:v>
                </c:pt>
                <c:pt idx="18">
                  <c:v>67.526768263394516</c:v>
                </c:pt>
                <c:pt idx="19">
                  <c:v>67.682452813348206</c:v>
                </c:pt>
                <c:pt idx="20">
                  <c:v>67.838641781440685</c:v>
                </c:pt>
                <c:pt idx="21">
                  <c:v>67.995336801987335</c:v>
                </c:pt>
                <c:pt idx="22">
                  <c:v>68.152539514598772</c:v>
                </c:pt>
                <c:pt idx="23">
                  <c:v>68.310251564197927</c:v>
                </c:pt>
                <c:pt idx="24">
                  <c:v>68.468474601037272</c:v>
                </c:pt>
                <c:pt idx="25">
                  <c:v>68.627210280716099</c:v>
                </c:pt>
                <c:pt idx="26">
                  <c:v>68.786460264197885</c:v>
                </c:pt>
                <c:pt idx="27">
                  <c:v>68.946226217827615</c:v>
                </c:pt>
                <c:pt idx="28">
                  <c:v>69.106509813349163</c:v>
                </c:pt>
                <c:pt idx="29">
                  <c:v>69.267312727922956</c:v>
                </c:pt>
                <c:pt idx="30">
                  <c:v>69.428636644143367</c:v>
                </c:pt>
                <c:pt idx="31">
                  <c:v>69.590483250056394</c:v>
                </c:pt>
                <c:pt idx="32">
                  <c:v>69.75285423917731</c:v>
                </c:pt>
                <c:pt idx="33">
                  <c:v>69.915751310508341</c:v>
                </c:pt>
                <c:pt idx="34">
                  <c:v>70.079176168556558</c:v>
                </c:pt>
                <c:pt idx="35">
                  <c:v>70.243130523351567</c:v>
                </c:pt>
                <c:pt idx="36">
                  <c:v>70.407616090463492</c:v>
                </c:pt>
                <c:pt idx="37">
                  <c:v>70.572634591020929</c:v>
                </c:pt>
                <c:pt idx="38">
                  <c:v>70.738187751728915</c:v>
                </c:pt>
                <c:pt idx="39">
                  <c:v>70.904277304886989</c:v>
                </c:pt>
                <c:pt idx="40">
                  <c:v>71.070904988407392</c:v>
                </c:pt>
                <c:pt idx="41">
                  <c:v>71.238072545833163</c:v>
                </c:pt>
                <c:pt idx="42">
                  <c:v>71.405781726356466</c:v>
                </c:pt>
                <c:pt idx="43">
                  <c:v>71.574034284836785</c:v>
                </c:pt>
                <c:pt idx="44">
                  <c:v>71.742831981819407</c:v>
                </c:pt>
                <c:pt idx="45">
                  <c:v>71.912176583553787</c:v>
                </c:pt>
                <c:pt idx="46">
                  <c:v>72.082069862011977</c:v>
                </c:pt>
                <c:pt idx="47">
                  <c:v>72.252513594907285</c:v>
                </c:pt>
                <c:pt idx="48">
                  <c:v>72.423509565712763</c:v>
                </c:pt>
                <c:pt idx="49">
                  <c:v>72.595059563679939</c:v>
                </c:pt>
                <c:pt idx="50">
                  <c:v>72.767165383857531</c:v>
                </c:pt>
                <c:pt idx="51">
                  <c:v>72.939828827110219</c:v>
                </c:pt>
                <c:pt idx="52">
                  <c:v>73.113051700137419</c:v>
                </c:pt>
                <c:pt idx="53">
                  <c:v>73.286835815492353</c:v>
                </c:pt>
                <c:pt idx="54">
                  <c:v>73.46118299160085</c:v>
                </c:pt>
                <c:pt idx="55">
                  <c:v>73.63609505278049</c:v>
                </c:pt>
                <c:pt idx="56">
                  <c:v>73.811573829259601</c:v>
                </c:pt>
                <c:pt idx="57">
                  <c:v>73.987621157196457</c:v>
                </c:pt>
                <c:pt idx="58">
                  <c:v>74.164238878698526</c:v>
                </c:pt>
                <c:pt idx="59">
                  <c:v>74.341428841841662</c:v>
                </c:pt>
                <c:pt idx="60">
                  <c:v>74.519192900689532</c:v>
                </c:pt>
                <c:pt idx="61">
                  <c:v>74.697532915312905</c:v>
                </c:pt>
                <c:pt idx="62">
                  <c:v>74.876450751809244</c:v>
                </c:pt>
                <c:pt idx="63">
                  <c:v>75.055948282322149</c:v>
                </c:pt>
                <c:pt idx="64">
                  <c:v>75.236027385060964</c:v>
                </c:pt>
                <c:pt idx="65">
                  <c:v>75.416689944320439</c:v>
                </c:pt>
                <c:pt idx="66">
                  <c:v>75.597937850500443</c:v>
                </c:pt>
                <c:pt idx="67">
                  <c:v>75.779773000125729</c:v>
                </c:pt>
                <c:pt idx="68">
                  <c:v>75.96219729586582</c:v>
                </c:pt>
                <c:pt idx="69">
                  <c:v>76.145212646554839</c:v>
                </c:pt>
                <c:pt idx="70">
                  <c:v>76.328820967211612</c:v>
                </c:pt>
                <c:pt idx="71">
                  <c:v>76.513024179059542</c:v>
                </c:pt>
                <c:pt idx="72">
                  <c:v>76.697824209546866</c:v>
                </c:pt>
                <c:pt idx="73">
                  <c:v>76.88322299236674</c:v>
                </c:pt>
                <c:pt idx="74">
                  <c:v>77.069222467477459</c:v>
                </c:pt>
                <c:pt idx="75">
                  <c:v>77.255824581122795</c:v>
                </c:pt>
                <c:pt idx="76">
                  <c:v>77.443031285852399</c:v>
                </c:pt>
                <c:pt idx="77">
                  <c:v>77.630844540542128</c:v>
                </c:pt>
                <c:pt idx="78">
                  <c:v>77.819266310414605</c:v>
                </c:pt>
                <c:pt idx="79">
                  <c:v>78.008298567059796</c:v>
                </c:pt>
                <c:pt idx="80">
                  <c:v>78.197943288455676</c:v>
                </c:pt>
                <c:pt idx="81">
                  <c:v>78.388202458988715</c:v>
                </c:pt>
                <c:pt idx="82">
                  <c:v>78.579078069474988</c:v>
                </c:pt>
                <c:pt idx="83">
                  <c:v>78.770572117180635</c:v>
                </c:pt>
                <c:pt idx="84">
                  <c:v>78.962686605843089</c:v>
                </c:pt>
                <c:pt idx="85">
                  <c:v>79.155423545691818</c:v>
                </c:pt>
                <c:pt idx="86">
                  <c:v>79.348784953469462</c:v>
                </c:pt>
                <c:pt idx="87">
                  <c:v>79.542772852452885</c:v>
                </c:pt>
                <c:pt idx="88">
                  <c:v>79.737389272474374</c:v>
                </c:pt>
                <c:pt idx="89">
                  <c:v>79.932636249942931</c:v>
                </c:pt>
                <c:pt idx="90">
                  <c:v>80.128515827865456</c:v>
                </c:pt>
                <c:pt idx="91">
                  <c:v>80.325030055868211</c:v>
                </c:pt>
                <c:pt idx="92">
                  <c:v>80.522180990218288</c:v>
                </c:pt>
                <c:pt idx="93">
                  <c:v>80.719970693845028</c:v>
                </c:pt>
                <c:pt idx="94">
                  <c:v>80.918401236361703</c:v>
                </c:pt>
                <c:pt idx="95">
                  <c:v>81.117474694087122</c:v>
                </c:pt>
                <c:pt idx="96">
                  <c:v>81.317193150067411</c:v>
                </c:pt>
                <c:pt idx="97">
                  <c:v>81.517558694097687</c:v>
                </c:pt>
                <c:pt idx="98">
                  <c:v>81.718573422744072</c:v>
                </c:pt>
                <c:pt idx="99">
                  <c:v>81.920239439365517</c:v>
                </c:pt>
                <c:pt idx="100">
                  <c:v>82.122558854135917</c:v>
                </c:pt>
                <c:pt idx="101">
                  <c:v>82.325533784066096</c:v>
                </c:pt>
                <c:pt idx="102">
                  <c:v>82.529166353026</c:v>
                </c:pt>
                <c:pt idx="103">
                  <c:v>82.733458691766899</c:v>
                </c:pt>
                <c:pt idx="104">
                  <c:v>82.938412937943752</c:v>
                </c:pt>
                <c:pt idx="105">
                  <c:v>83.144031236137451</c:v>
                </c:pt>
                <c:pt idx="106">
                  <c:v>83.350315737877409</c:v>
                </c:pt>
                <c:pt idx="107">
                  <c:v>83.557268601663921</c:v>
                </c:pt>
                <c:pt idx="108">
                  <c:v>83.764891992990883</c:v>
                </c:pt>
                <c:pt idx="109">
                  <c:v>83.97318808436836</c:v>
                </c:pt>
                <c:pt idx="110">
                  <c:v>84.182159055345394</c:v>
                </c:pt>
                <c:pt idx="111">
                  <c:v>84.39180709253273</c:v>
                </c:pt>
                <c:pt idx="112">
                  <c:v>84.602134389625718</c:v>
                </c:pt>
                <c:pt idx="113">
                  <c:v>84.81314314742734</c:v>
                </c:pt>
                <c:pt idx="114">
                  <c:v>85.024835573871144</c:v>
                </c:pt>
                <c:pt idx="115">
                  <c:v>85.237213884044408</c:v>
                </c:pt>
                <c:pt idx="116">
                  <c:v>85.45028030021129</c:v>
                </c:pt>
                <c:pt idx="117">
                  <c:v>85.664037051836047</c:v>
                </c:pt>
                <c:pt idx="118">
                  <c:v>85.878486375606442</c:v>
                </c:pt>
                <c:pt idx="119">
                  <c:v>86.093630515457136</c:v>
                </c:pt>
                <c:pt idx="120">
                  <c:v>86.309471722593088</c:v>
                </c:pt>
                <c:pt idx="121">
                  <c:v>86.52601225551318</c:v>
                </c:pt>
                <c:pt idx="122">
                  <c:v>86.74325438003379</c:v>
                </c:pt>
                <c:pt idx="123">
                  <c:v>86.961200369312692</c:v>
                </c:pt>
                <c:pt idx="124">
                  <c:v>87.179852503872553</c:v>
                </c:pt>
                <c:pt idx="125">
                  <c:v>87.399213071624942</c:v>
                </c:pt>
                <c:pt idx="126">
                  <c:v>87.619284367894295</c:v>
                </c:pt>
                <c:pt idx="127">
                  <c:v>87.840068695441971</c:v>
                </c:pt>
                <c:pt idx="128">
                  <c:v>88.061568364490171</c:v>
                </c:pt>
                <c:pt idx="129">
                  <c:v>88.28378569274625</c:v>
                </c:pt>
                <c:pt idx="130">
                  <c:v>88.506723005426977</c:v>
                </c:pt>
                <c:pt idx="131">
                  <c:v>88.730382635282794</c:v>
                </c:pt>
                <c:pt idx="132">
                  <c:v>88.954766922622269</c:v>
                </c:pt>
                <c:pt idx="133">
                  <c:v>89.179878215336515</c:v>
                </c:pt>
                <c:pt idx="134">
                  <c:v>89.405718868923913</c:v>
                </c:pt>
                <c:pt idx="135">
                  <c:v>89.632291246514612</c:v>
                </c:pt>
                <c:pt idx="136">
                  <c:v>89.859597718895301</c:v>
                </c:pt>
                <c:pt idx="137">
                  <c:v>90.087640664534021</c:v>
                </c:pt>
                <c:pt idx="138">
                  <c:v>90.316422469605044</c:v>
                </c:pt>
                <c:pt idx="139">
                  <c:v>90.545945528013931</c:v>
                </c:pt>
                <c:pt idx="140">
                  <c:v>90.776212241422357</c:v>
                </c:pt>
                <c:pt idx="141">
                  <c:v>91.007225019273534</c:v>
                </c:pt>
                <c:pt idx="142">
                  <c:v>91.238986278817137</c:v>
                </c:pt>
                <c:pt idx="143">
                  <c:v>91.471498445134785</c:v>
                </c:pt>
                <c:pt idx="144">
                  <c:v>91.704763951165475</c:v>
                </c:pt>
                <c:pt idx="145">
                  <c:v>91.938785237730727</c:v>
                </c:pt>
                <c:pt idx="146">
                  <c:v>92.173564753560484</c:v>
                </c:pt>
                <c:pt idx="147">
                  <c:v>92.409104955318512</c:v>
                </c:pt>
                <c:pt idx="148">
                  <c:v>92.645408307628159</c:v>
                </c:pt>
                <c:pt idx="149">
                  <c:v>92.882477283098183</c:v>
                </c:pt>
                <c:pt idx="150">
                  <c:v>93.120314362348623</c:v>
                </c:pt>
                <c:pt idx="151">
                  <c:v>93.358922034036681</c:v>
                </c:pt>
                <c:pt idx="152">
                  <c:v>93.598302794882798</c:v>
                </c:pt>
                <c:pt idx="153">
                  <c:v>93.838459149696902</c:v>
                </c:pt>
                <c:pt idx="154">
                  <c:v>94.079393611404342</c:v>
                </c:pt>
                <c:pt idx="155">
                  <c:v>94.32110870107249</c:v>
                </c:pt>
                <c:pt idx="156">
                  <c:v>94.563606947936904</c:v>
                </c:pt>
                <c:pt idx="157">
                  <c:v>94.806890889427919</c:v>
                </c:pt>
                <c:pt idx="158">
                  <c:v>95.050963071197074</c:v>
                </c:pt>
                <c:pt idx="159">
                  <c:v>95.29582604714389</c:v>
                </c:pt>
                <c:pt idx="160">
                  <c:v>95.541482379442527</c:v>
                </c:pt>
                <c:pt idx="161">
                  <c:v>95.78793463856853</c:v>
                </c:pt>
                <c:pt idx="162">
                  <c:v>96.035185403325869</c:v>
                </c:pt>
                <c:pt idx="163">
                  <c:v>96.283237260873761</c:v>
                </c:pt>
                <c:pt idx="164">
                  <c:v>96.532092806753894</c:v>
                </c:pt>
                <c:pt idx="165">
                  <c:v>96.781754644917427</c:v>
                </c:pt>
                <c:pt idx="166">
                  <c:v>97.032225387752447</c:v>
                </c:pt>
                <c:pt idx="167">
                  <c:v>97.283507656111041</c:v>
                </c:pt>
                <c:pt idx="168">
                  <c:v>97.535604079336963</c:v>
                </c:pt>
                <c:pt idx="169">
                  <c:v>97.788517295293047</c:v>
                </c:pt>
                <c:pt idx="170">
                  <c:v>98.042249950388722</c:v>
                </c:pt>
                <c:pt idx="171">
                  <c:v>98.29680469960789</c:v>
                </c:pt>
                <c:pt idx="172">
                  <c:v>98.552184206536481</c:v>
                </c:pt>
                <c:pt idx="173">
                  <c:v>98.808391143390566</c:v>
                </c:pt>
                <c:pt idx="174">
                  <c:v>99.065428191044163</c:v>
                </c:pt>
                <c:pt idx="175">
                  <c:v>99.323298039057278</c:v>
                </c:pt>
                <c:pt idx="176">
                  <c:v>99.582003385704127</c:v>
                </c:pt>
                <c:pt idx="177">
                  <c:v>99.841546938001358</c:v>
                </c:pt>
                <c:pt idx="178">
                  <c:v>100.10193141173635</c:v>
                </c:pt>
                <c:pt idx="179">
                  <c:v>100.36315953149561</c:v>
                </c:pt>
                <c:pt idx="180">
                  <c:v>100.62523403069326</c:v>
                </c:pt>
                <c:pt idx="181">
                  <c:v>100.88815765159987</c:v>
                </c:pt>
                <c:pt idx="182">
                  <c:v>101.15193314537076</c:v>
                </c:pt>
                <c:pt idx="183">
                  <c:v>101.41656327207514</c:v>
                </c:pt>
                <c:pt idx="184">
                  <c:v>101.6820508007248</c:v>
                </c:pt>
                <c:pt idx="185">
                  <c:v>101.9483985093031</c:v>
                </c:pt>
                <c:pt idx="186">
                  <c:v>102.21560918479408</c:v>
                </c:pt>
                <c:pt idx="187">
                  <c:v>102.48368562321166</c:v>
                </c:pt>
                <c:pt idx="188">
                  <c:v>102.75263062962877</c:v>
                </c:pt>
                <c:pt idx="189">
                  <c:v>103.02244701820695</c:v>
                </c:pt>
                <c:pt idx="190">
                  <c:v>103.29313761222538</c:v>
                </c:pt>
                <c:pt idx="191">
                  <c:v>103.56470524411083</c:v>
                </c:pt>
                <c:pt idx="192">
                  <c:v>103.83715275546705</c:v>
                </c:pt>
                <c:pt idx="193">
                  <c:v>104.11048299710477</c:v>
                </c:pt>
                <c:pt idx="194">
                  <c:v>104.3846988290711</c:v>
                </c:pt>
                <c:pt idx="195">
                  <c:v>104.65980312067985</c:v>
                </c:pt>
                <c:pt idx="196">
                  <c:v>104.93579875054138</c:v>
                </c:pt>
                <c:pt idx="197">
                  <c:v>105.21268860659279</c:v>
                </c:pt>
                <c:pt idx="198">
                  <c:v>105.49047558612808</c:v>
                </c:pt>
                <c:pt idx="199">
                  <c:v>105.7691625958284</c:v>
                </c:pt>
                <c:pt idx="200">
                  <c:v>106.04875255179272</c:v>
                </c:pt>
                <c:pt idx="201">
                  <c:v>106.32924837956799</c:v>
                </c:pt>
                <c:pt idx="202">
                  <c:v>106.61065301418004</c:v>
                </c:pt>
                <c:pt idx="203">
                  <c:v>106.8929694001642</c:v>
                </c:pt>
                <c:pt idx="204">
                  <c:v>107.17620049159609</c:v>
                </c:pt>
                <c:pt idx="205">
                  <c:v>107.46034925212241</c:v>
                </c:pt>
                <c:pt idx="206">
                  <c:v>107.74541865499229</c:v>
                </c:pt>
                <c:pt idx="207">
                  <c:v>108.03141168308808</c:v>
                </c:pt>
                <c:pt idx="208">
                  <c:v>108.31833132895665</c:v>
                </c:pt>
                <c:pt idx="209">
                  <c:v>108.60618059484075</c:v>
                </c:pt>
                <c:pt idx="210">
                  <c:v>108.89496249271042</c:v>
                </c:pt>
                <c:pt idx="211">
                  <c:v>109.1846800442945</c:v>
                </c:pt>
                <c:pt idx="212">
                  <c:v>109.47533628111216</c:v>
                </c:pt>
                <c:pt idx="213">
                  <c:v>109.76693424450477</c:v>
                </c:pt>
                <c:pt idx="214">
                  <c:v>110.05947698566763</c:v>
                </c:pt>
                <c:pt idx="215">
                  <c:v>110.35296756568187</c:v>
                </c:pt>
                <c:pt idx="216">
                  <c:v>110.64740905554662</c:v>
                </c:pt>
                <c:pt idx="217">
                  <c:v>110.94280453621097</c:v>
                </c:pt>
                <c:pt idx="218">
                  <c:v>111.23915709860633</c:v>
                </c:pt>
                <c:pt idx="219">
                  <c:v>111.5364698436787</c:v>
                </c:pt>
                <c:pt idx="220">
                  <c:v>111.83474588242119</c:v>
                </c:pt>
                <c:pt idx="221">
                  <c:v>112.13398833590651</c:v>
                </c:pt>
                <c:pt idx="222">
                  <c:v>112.43420033531963</c:v>
                </c:pt>
                <c:pt idx="223">
                  <c:v>112.73538502199057</c:v>
                </c:pt>
                <c:pt idx="224">
                  <c:v>113.03754554742736</c:v>
                </c:pt>
                <c:pt idx="225">
                  <c:v>113.34068507334875</c:v>
                </c:pt>
                <c:pt idx="226">
                  <c:v>113.64480677171753</c:v>
                </c:pt>
                <c:pt idx="227">
                  <c:v>113.94991382477374</c:v>
                </c:pt>
                <c:pt idx="228">
                  <c:v>114.2560094250678</c:v>
                </c:pt>
                <c:pt idx="229">
                  <c:v>114.56309677549397</c:v>
                </c:pt>
                <c:pt idx="230">
                  <c:v>114.87117908932402</c:v>
                </c:pt>
                <c:pt idx="231">
                  <c:v>115.18025959024051</c:v>
                </c:pt>
                <c:pt idx="232">
                  <c:v>115.49034151237095</c:v>
                </c:pt>
                <c:pt idx="233">
                  <c:v>115.80142810032133</c:v>
                </c:pt>
                <c:pt idx="234">
                  <c:v>116.11352260921016</c:v>
                </c:pt>
                <c:pt idx="235">
                  <c:v>116.42662830470258</c:v>
                </c:pt>
                <c:pt idx="236">
                  <c:v>116.74074846304444</c:v>
                </c:pt>
                <c:pt idx="237">
                  <c:v>117.05588637109665</c:v>
                </c:pt>
                <c:pt idx="238">
                  <c:v>117.3720453263696</c:v>
                </c:pt>
                <c:pt idx="239">
                  <c:v>117.68922863705751</c:v>
                </c:pt>
                <c:pt idx="240">
                  <c:v>118.00743962207332</c:v>
                </c:pt>
                <c:pt idx="241">
                  <c:v>118.32668161108305</c:v>
                </c:pt>
                <c:pt idx="242">
                  <c:v>118.64695794454099</c:v>
                </c:pt>
                <c:pt idx="243">
                  <c:v>118.96827197372446</c:v>
                </c:pt>
                <c:pt idx="244">
                  <c:v>119.2906270607689</c:v>
                </c:pt>
                <c:pt idx="245">
                  <c:v>119.61402657870315</c:v>
                </c:pt>
                <c:pt idx="246">
                  <c:v>119.93847391148455</c:v>
                </c:pt>
                <c:pt idx="247">
                  <c:v>120.2639724540346</c:v>
                </c:pt>
                <c:pt idx="248">
                  <c:v>120.59052561227425</c:v>
                </c:pt>
                <c:pt idx="249">
                  <c:v>120.91813680315963</c:v>
                </c:pt>
                <c:pt idx="250">
                  <c:v>121.24680945471786</c:v>
                </c:pt>
                <c:pt idx="251">
                  <c:v>121.57654700608293</c:v>
                </c:pt>
                <c:pt idx="252">
                  <c:v>121.90735290753148</c:v>
                </c:pt>
                <c:pt idx="253">
                  <c:v>122.23923062051917</c:v>
                </c:pt>
                <c:pt idx="254">
                  <c:v>122.57218361771673</c:v>
                </c:pt>
                <c:pt idx="255">
                  <c:v>122.90621538304639</c:v>
                </c:pt>
                <c:pt idx="256">
                  <c:v>123.24132941171825</c:v>
                </c:pt>
                <c:pt idx="257">
                  <c:v>123.57752921026687</c:v>
                </c:pt>
                <c:pt idx="258">
                  <c:v>123.91481829658805</c:v>
                </c:pt>
                <c:pt idx="259">
                  <c:v>124.25320019997555</c:v>
                </c:pt>
                <c:pt idx="260">
                  <c:v>124.59267846115807</c:v>
                </c:pt>
                <c:pt idx="261">
                  <c:v>124.93325663233627</c:v>
                </c:pt>
                <c:pt idx="262">
                  <c:v>125.2749382772198</c:v>
                </c:pt>
                <c:pt idx="263">
                  <c:v>125.61772697106501</c:v>
                </c:pt>
                <c:pt idx="264">
                  <c:v>125.96162630071188</c:v>
                </c:pt>
                <c:pt idx="265">
                  <c:v>126.3066398646218</c:v>
                </c:pt>
                <c:pt idx="266">
                  <c:v>126.65277127291522</c:v>
                </c:pt>
                <c:pt idx="267">
                  <c:v>127.00002414740931</c:v>
                </c:pt>
                <c:pt idx="268">
                  <c:v>127.34840212165602</c:v>
                </c:pt>
                <c:pt idx="269">
                  <c:v>127.69790884097998</c:v>
                </c:pt>
                <c:pt idx="270">
                  <c:v>128.04854796251664</c:v>
                </c:pt>
                <c:pt idx="271">
                  <c:v>128.40032315525053</c:v>
                </c:pt>
                <c:pt idx="272">
                  <c:v>128.75323810005398</c:v>
                </c:pt>
                <c:pt idx="273">
                  <c:v>129.10729648972492</c:v>
                </c:pt>
                <c:pt idx="274">
                  <c:v>129.46250202902627</c:v>
                </c:pt>
                <c:pt idx="275">
                  <c:v>129.81885843472426</c:v>
                </c:pt>
                <c:pt idx="276">
                  <c:v>130.17636943562741</c:v>
                </c:pt>
                <c:pt idx="277">
                  <c:v>130.5350387726258</c:v>
                </c:pt>
                <c:pt idx="278">
                  <c:v>130.89487019872971</c:v>
                </c:pt>
                <c:pt idx="279">
                  <c:v>131.25586747910938</c:v>
                </c:pt>
                <c:pt idx="280">
                  <c:v>131.61803439113407</c:v>
                </c:pt>
                <c:pt idx="281">
                  <c:v>131.98137472441186</c:v>
                </c:pt>
                <c:pt idx="282">
                  <c:v>132.34589228082908</c:v>
                </c:pt>
                <c:pt idx="283">
                  <c:v>132.71159087459017</c:v>
                </c:pt>
                <c:pt idx="284">
                  <c:v>133.07847433225763</c:v>
                </c:pt>
                <c:pt idx="285">
                  <c:v>133.44654649279195</c:v>
                </c:pt>
                <c:pt idx="286">
                  <c:v>133.81581120759205</c:v>
                </c:pt>
                <c:pt idx="287">
                  <c:v>134.18627234053514</c:v>
                </c:pt>
                <c:pt idx="288">
                  <c:v>134.55793376801762</c:v>
                </c:pt>
                <c:pt idx="289">
                  <c:v>134.93079937899523</c:v>
                </c:pt>
                <c:pt idx="290">
                  <c:v>135.30487307502406</c:v>
                </c:pt>
                <c:pt idx="291">
                  <c:v>135.6801587703012</c:v>
                </c:pt>
                <c:pt idx="292">
                  <c:v>136.05666039170572</c:v>
                </c:pt>
                <c:pt idx="293">
                  <c:v>136.43438187883987</c:v>
                </c:pt>
                <c:pt idx="294">
                  <c:v>136.81332718407012</c:v>
                </c:pt>
                <c:pt idx="295">
                  <c:v>137.19350027256866</c:v>
                </c:pt>
                <c:pt idx="296">
                  <c:v>137.57490512235481</c:v>
                </c:pt>
                <c:pt idx="297">
                  <c:v>137.95754572433665</c:v>
                </c:pt>
                <c:pt idx="298">
                  <c:v>138.341426082353</c:v>
                </c:pt>
                <c:pt idx="299">
                  <c:v>138.72655021321486</c:v>
                </c:pt>
                <c:pt idx="300">
                  <c:v>139.11292214674791</c:v>
                </c:pt>
                <c:pt idx="301">
                  <c:v>139.5005459258343</c:v>
                </c:pt>
                <c:pt idx="302">
                  <c:v>139.88942560645526</c:v>
                </c:pt>
                <c:pt idx="303">
                  <c:v>140.27956525773331</c:v>
                </c:pt>
                <c:pt idx="304">
                  <c:v>140.67096896197498</c:v>
                </c:pt>
                <c:pt idx="305">
                  <c:v>141.06364081471352</c:v>
                </c:pt>
                <c:pt idx="306">
                  <c:v>141.45758492475161</c:v>
                </c:pt>
                <c:pt idx="307">
                  <c:v>141.85280541420457</c:v>
                </c:pt>
                <c:pt idx="308">
                  <c:v>142.24930641854326</c:v>
                </c:pt>
                <c:pt idx="309">
                  <c:v>142.64709208663754</c:v>
                </c:pt>
                <c:pt idx="310">
                  <c:v>143.04616658079959</c:v>
                </c:pt>
                <c:pt idx="311">
                  <c:v>143.44653407682756</c:v>
                </c:pt>
                <c:pt idx="312">
                  <c:v>143.84819876404907</c:v>
                </c:pt>
                <c:pt idx="313">
                  <c:v>144.25116484536525</c:v>
                </c:pt>
                <c:pt idx="314">
                  <c:v>144.65543653729463</c:v>
                </c:pt>
                <c:pt idx="315">
                  <c:v>145.06101807001724</c:v>
                </c:pt>
                <c:pt idx="316">
                  <c:v>145.46791368741887</c:v>
                </c:pt>
                <c:pt idx="317">
                  <c:v>145.87612764713558</c:v>
                </c:pt>
                <c:pt idx="318">
                  <c:v>146.28566422059814</c:v>
                </c:pt>
                <c:pt idx="319">
                  <c:v>146.69652769307675</c:v>
                </c:pt>
                <c:pt idx="320">
                  <c:v>147.10872236372592</c:v>
                </c:pt>
                <c:pt idx="321">
                  <c:v>147.52225254562933</c:v>
                </c:pt>
                <c:pt idx="322">
                  <c:v>147.93712256584521</c:v>
                </c:pt>
                <c:pt idx="323">
                  <c:v>148.35333676545136</c:v>
                </c:pt>
                <c:pt idx="324">
                  <c:v>148.77089949959077</c:v>
                </c:pt>
                <c:pt idx="325">
                  <c:v>149.18981513751694</c:v>
                </c:pt>
                <c:pt idx="326">
                  <c:v>149.61008806263985</c:v>
                </c:pt>
                <c:pt idx="327">
                  <c:v>150.03172267257182</c:v>
                </c:pt>
                <c:pt idx="328">
                  <c:v>150.45472337917326</c:v>
                </c:pt>
                <c:pt idx="329">
                  <c:v>150.87909460859916</c:v>
                </c:pt>
                <c:pt idx="330">
                  <c:v>151.30484080134519</c:v>
                </c:pt>
                <c:pt idx="331">
                  <c:v>151.73196641229427</c:v>
                </c:pt>
                <c:pt idx="332">
                  <c:v>152.1604759107631</c:v>
                </c:pt>
                <c:pt idx="333">
                  <c:v>152.59037378054899</c:v>
                </c:pt>
                <c:pt idx="334">
                  <c:v>153.02166451997678</c:v>
                </c:pt>
                <c:pt idx="335">
                  <c:v>153.45435264194586</c:v>
                </c:pt>
                <c:pt idx="336">
                  <c:v>153.88844267397744</c:v>
                </c:pt>
                <c:pt idx="337">
                  <c:v>154.32393915826191</c:v>
                </c:pt>
                <c:pt idx="338">
                  <c:v>154.76084665170629</c:v>
                </c:pt>
                <c:pt idx="339">
                  <c:v>155.1991697259821</c:v>
                </c:pt>
                <c:pt idx="340">
                  <c:v>155.63891296757302</c:v>
                </c:pt>
                <c:pt idx="341">
                  <c:v>156.08008097782292</c:v>
                </c:pt>
                <c:pt idx="342">
                  <c:v>156.52267837298405</c:v>
                </c:pt>
                <c:pt idx="343">
                  <c:v>156.96670978426536</c:v>
                </c:pt>
                <c:pt idx="344">
                  <c:v>157.41217985788091</c:v>
                </c:pt>
                <c:pt idx="345">
                  <c:v>157.85909325509843</c:v>
                </c:pt>
                <c:pt idx="346">
                  <c:v>158.30745465228827</c:v>
                </c:pt>
                <c:pt idx="347">
                  <c:v>158.75726874097214</c:v>
                </c:pt>
                <c:pt idx="348">
                  <c:v>159.20854022787231</c:v>
                </c:pt>
                <c:pt idx="349">
                  <c:v>159.66127383496084</c:v>
                </c:pt>
                <c:pt idx="350">
                  <c:v>160.11547429950903</c:v>
                </c:pt>
                <c:pt idx="351">
                  <c:v>160.57114637413687</c:v>
                </c:pt>
                <c:pt idx="352">
                  <c:v>161.02829482686289</c:v>
                </c:pt>
                <c:pt idx="353">
                  <c:v>161.48692444115403</c:v>
                </c:pt>
                <c:pt idx="354">
                  <c:v>161.9470400159756</c:v>
                </c:pt>
                <c:pt idx="355">
                  <c:v>162.40864636584161</c:v>
                </c:pt>
                <c:pt idx="356">
                  <c:v>162.87174832086504</c:v>
                </c:pt>
                <c:pt idx="357">
                  <c:v>163.33635072680858</c:v>
                </c:pt>
                <c:pt idx="358">
                  <c:v>163.80245844513502</c:v>
                </c:pt>
                <c:pt idx="359">
                  <c:v>164.27007635305841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'Fuel Cost Risk Sim'!$D$239</c:f>
              <c:strCache>
                <c:ptCount val="1"/>
                <c:pt idx="0">
                  <c:v>Henry Hub Linked Gas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Sim'!$E$239:$MZ$239</c:f>
              <c:numCache>
                <c:formatCode>_("$"* #,##0.00_);_("$"* \(#,##0.00\);_("$"* "-"??_);_(@_)</c:formatCode>
                <c:ptCount val="360"/>
                <c:pt idx="0">
                  <c:v>57.396960000000007</c:v>
                </c:pt>
                <c:pt idx="1">
                  <c:v>57.438169055055404</c:v>
                </c:pt>
                <c:pt idx="2">
                  <c:v>57.479511605241555</c:v>
                </c:pt>
                <c:pt idx="3">
                  <c:v>57.520988083010756</c:v>
                </c:pt>
                <c:pt idx="4">
                  <c:v>57.562598922216189</c:v>
                </c:pt>
                <c:pt idx="5">
                  <c:v>57.604344558116509</c:v>
                </c:pt>
                <c:pt idx="6">
                  <c:v>57.646225427380351</c:v>
                </c:pt>
                <c:pt idx="7">
                  <c:v>57.688241968090949</c:v>
                </c:pt>
                <c:pt idx="8">
                  <c:v>57.730394619750662</c:v>
                </c:pt>
                <c:pt idx="9">
                  <c:v>57.772683823285639</c:v>
                </c:pt>
                <c:pt idx="10">
                  <c:v>57.815110021050344</c:v>
                </c:pt>
                <c:pt idx="11">
                  <c:v>57.857673656832269</c:v>
                </c:pt>
                <c:pt idx="12">
                  <c:v>57.900375175856524</c:v>
                </c:pt>
                <c:pt idx="13">
                  <c:v>57.94321502479049</c:v>
                </c:pt>
                <c:pt idx="14">
                  <c:v>57.98619365174855</c:v>
                </c:pt>
                <c:pt idx="15">
                  <c:v>58.029311506296715</c:v>
                </c:pt>
                <c:pt idx="16">
                  <c:v>58.072569039457342</c:v>
                </c:pt>
                <c:pt idx="17">
                  <c:v>58.115966703713838</c:v>
                </c:pt>
                <c:pt idx="18">
                  <c:v>58.159504953015464</c:v>
                </c:pt>
                <c:pt idx="19">
                  <c:v>58.203184242782008</c:v>
                </c:pt>
                <c:pt idx="20">
                  <c:v>58.247005029908557</c:v>
                </c:pt>
                <c:pt idx="21">
                  <c:v>58.290967772770315</c:v>
                </c:pt>
                <c:pt idx="22">
                  <c:v>58.335072931227344</c:v>
                </c:pt>
                <c:pt idx="23">
                  <c:v>58.379320966629443</c:v>
                </c:pt>
                <c:pt idx="24">
                  <c:v>58.423712341820902</c:v>
                </c:pt>
                <c:pt idx="25">
                  <c:v>58.468247521145422</c:v>
                </c:pt>
                <c:pt idx="26">
                  <c:v>58.512926970450863</c:v>
                </c:pt>
                <c:pt idx="27">
                  <c:v>58.557751157094238</c:v>
                </c:pt>
                <c:pt idx="28">
                  <c:v>58.602720549946504</c:v>
                </c:pt>
                <c:pt idx="29">
                  <c:v>58.647835619397554</c:v>
                </c:pt>
                <c:pt idx="30">
                  <c:v>58.693096837361033</c:v>
                </c:pt>
                <c:pt idx="31">
                  <c:v>58.738504677279373</c:v>
                </c:pt>
                <c:pt idx="32">
                  <c:v>58.784059614128708</c:v>
                </c:pt>
                <c:pt idx="33">
                  <c:v>58.829762124423802</c:v>
                </c:pt>
                <c:pt idx="34">
                  <c:v>58.8756126862231</c:v>
                </c:pt>
                <c:pt idx="35">
                  <c:v>58.921611779133691</c:v>
                </c:pt>
                <c:pt idx="36">
                  <c:v>58.967759884316337</c:v>
                </c:pt>
                <c:pt idx="37">
                  <c:v>59.014057484490479</c:v>
                </c:pt>
                <c:pt idx="38">
                  <c:v>59.060505063939345</c:v>
                </c:pt>
                <c:pt idx="39">
                  <c:v>59.107103108514956</c:v>
                </c:pt>
                <c:pt idx="40">
                  <c:v>59.153852105643239</c:v>
                </c:pt>
                <c:pt idx="41">
                  <c:v>59.200752544329113</c:v>
                </c:pt>
                <c:pt idx="42">
                  <c:v>59.247804915161609</c:v>
                </c:pt>
                <c:pt idx="43">
                  <c:v>59.295009710319007</c:v>
                </c:pt>
                <c:pt idx="44">
                  <c:v>59.342367423573975</c:v>
                </c:pt>
                <c:pt idx="45">
                  <c:v>59.389878550298739</c:v>
                </c:pt>
                <c:pt idx="46">
                  <c:v>59.437543587470287</c:v>
                </c:pt>
                <c:pt idx="47">
                  <c:v>59.485363033675505</c:v>
                </c:pt>
                <c:pt idx="48">
                  <c:v>59.533337389116454</c:v>
                </c:pt>
                <c:pt idx="49">
                  <c:v>59.581467155615591</c:v>
                </c:pt>
                <c:pt idx="50">
                  <c:v>59.629752836620973</c:v>
                </c:pt>
                <c:pt idx="51">
                  <c:v>59.678194937211579</c:v>
                </c:pt>
                <c:pt idx="52">
                  <c:v>59.726793964102583</c:v>
                </c:pt>
                <c:pt idx="53">
                  <c:v>59.775550425650628</c:v>
                </c:pt>
                <c:pt idx="54">
                  <c:v>59.824464831859153</c:v>
                </c:pt>
                <c:pt idx="55">
                  <c:v>59.873537694383757</c:v>
                </c:pt>
                <c:pt idx="56">
                  <c:v>59.922769526537486</c:v>
                </c:pt>
                <c:pt idx="57">
                  <c:v>59.972160843296294</c:v>
                </c:pt>
                <c:pt idx="58">
                  <c:v>60.021712161304343</c:v>
                </c:pt>
                <c:pt idx="59">
                  <c:v>60.071423998879439</c:v>
                </c:pt>
                <c:pt idx="60">
                  <c:v>60.121296876018533</c:v>
                </c:pt>
                <c:pt idx="61">
                  <c:v>60.171331314402963</c:v>
                </c:pt>
                <c:pt idx="62">
                  <c:v>60.221527837404111</c:v>
                </c:pt>
                <c:pt idx="63">
                  <c:v>60.271886970088822</c:v>
                </c:pt>
                <c:pt idx="64">
                  <c:v>60.322409239224811</c:v>
                </c:pt>
                <c:pt idx="65">
                  <c:v>60.373095173286288</c:v>
                </c:pt>
                <c:pt idx="66">
                  <c:v>60.423945302459387</c:v>
                </c:pt>
                <c:pt idx="67">
                  <c:v>60.474960158647782</c:v>
                </c:pt>
                <c:pt idx="68">
                  <c:v>60.526140275478269</c:v>
                </c:pt>
                <c:pt idx="69">
                  <c:v>60.577486188306224</c:v>
                </c:pt>
                <c:pt idx="70">
                  <c:v>60.628998434221366</c:v>
                </c:pt>
                <c:pt idx="71">
                  <c:v>60.680677552053233</c:v>
                </c:pt>
                <c:pt idx="72">
                  <c:v>60.732524082376933</c:v>
                </c:pt>
                <c:pt idx="73">
                  <c:v>60.784538567518702</c:v>
                </c:pt>
                <c:pt idx="74">
                  <c:v>60.836721551561645</c:v>
                </c:pt>
                <c:pt idx="75">
                  <c:v>60.889073580351386</c:v>
                </c:pt>
                <c:pt idx="76">
                  <c:v>60.941595201501833</c:v>
                </c:pt>
                <c:pt idx="77">
                  <c:v>60.994286964400821</c:v>
                </c:pt>
                <c:pt idx="78">
                  <c:v>61.047149420215938</c:v>
                </c:pt>
                <c:pt idx="79">
                  <c:v>61.100183121900237</c:v>
                </c:pt>
                <c:pt idx="80">
                  <c:v>61.153388624198037</c:v>
                </c:pt>
                <c:pt idx="81">
                  <c:v>61.206766483650767</c:v>
                </c:pt>
                <c:pt idx="82">
                  <c:v>61.260317258602711</c:v>
                </c:pt>
                <c:pt idx="83">
                  <c:v>61.314041509206923</c:v>
                </c:pt>
                <c:pt idx="84">
                  <c:v>61.367939797430992</c:v>
                </c:pt>
                <c:pt idx="85">
                  <c:v>61.422012687063038</c:v>
                </c:pt>
                <c:pt idx="86">
                  <c:v>61.476260743717539</c:v>
                </c:pt>
                <c:pt idx="87">
                  <c:v>61.530684534841235</c:v>
                </c:pt>
                <c:pt idx="88">
                  <c:v>61.585284629719112</c:v>
                </c:pt>
                <c:pt idx="89">
                  <c:v>61.640061599480319</c:v>
                </c:pt>
                <c:pt idx="90">
                  <c:v>61.695016017104159</c:v>
                </c:pt>
                <c:pt idx="91">
                  <c:v>61.750148457426086</c:v>
                </c:pt>
                <c:pt idx="92">
                  <c:v>61.805459497143708</c:v>
                </c:pt>
                <c:pt idx="93">
                  <c:v>61.860949714822802</c:v>
                </c:pt>
                <c:pt idx="94">
                  <c:v>61.91661969090341</c:v>
                </c:pt>
                <c:pt idx="95">
                  <c:v>61.972470007705887</c:v>
                </c:pt>
                <c:pt idx="96">
                  <c:v>62.028501249436985</c:v>
                </c:pt>
                <c:pt idx="97">
                  <c:v>62.084714002195959</c:v>
                </c:pt>
                <c:pt idx="98">
                  <c:v>62.141108853980754</c:v>
                </c:pt>
                <c:pt idx="99">
                  <c:v>62.197686394694045</c:v>
                </c:pt>
                <c:pt idx="100">
                  <c:v>62.254447216149543</c:v>
                </c:pt>
                <c:pt idx="101">
                  <c:v>62.311391912078051</c:v>
                </c:pt>
                <c:pt idx="102">
                  <c:v>62.368521078133789</c:v>
                </c:pt>
                <c:pt idx="103">
                  <c:v>62.425835311900542</c:v>
                </c:pt>
                <c:pt idx="104">
                  <c:v>62.483335212897991</c:v>
                </c:pt>
                <c:pt idx="105">
                  <c:v>62.541021382587878</c:v>
                </c:pt>
                <c:pt idx="106">
                  <c:v>62.598894424380404</c:v>
                </c:pt>
                <c:pt idx="107">
                  <c:v>62.656954943640457</c:v>
                </c:pt>
                <c:pt idx="108">
                  <c:v>62.71520354769401</c:v>
                </c:pt>
                <c:pt idx="109">
                  <c:v>62.773640845834443</c:v>
                </c:pt>
                <c:pt idx="110">
                  <c:v>62.832267449328896</c:v>
                </c:pt>
                <c:pt idx="111">
                  <c:v>62.89108397142472</c:v>
                </c:pt>
                <c:pt idx="112">
                  <c:v>62.950091027355796</c:v>
                </c:pt>
                <c:pt idx="113">
                  <c:v>63.009289234349119</c:v>
                </c:pt>
                <c:pt idx="114">
                  <c:v>63.068679211631093</c:v>
                </c:pt>
                <c:pt idx="115">
                  <c:v>63.128261580434106</c:v>
                </c:pt>
                <c:pt idx="116">
                  <c:v>63.188036964003025</c:v>
                </c:pt>
                <c:pt idx="117">
                  <c:v>63.248005987601637</c:v>
                </c:pt>
                <c:pt idx="118">
                  <c:v>63.308169278519337</c:v>
                </c:pt>
                <c:pt idx="119">
                  <c:v>63.368527466077509</c:v>
                </c:pt>
                <c:pt idx="120">
                  <c:v>63.429081181636256</c:v>
                </c:pt>
                <c:pt idx="121">
                  <c:v>63.48983105860092</c:v>
                </c:pt>
                <c:pt idx="122">
                  <c:v>63.550777732428735</c:v>
                </c:pt>
                <c:pt idx="123">
                  <c:v>63.611921840635532</c:v>
                </c:pt>
                <c:pt idx="124">
                  <c:v>63.673264022802236</c:v>
                </c:pt>
                <c:pt idx="125">
                  <c:v>63.734804920581773</c:v>
                </c:pt>
                <c:pt idx="126">
                  <c:v>63.796545177705646</c:v>
                </c:pt>
                <c:pt idx="127">
                  <c:v>63.858485439990673</c:v>
                </c:pt>
                <c:pt idx="128">
                  <c:v>63.920626355345803</c:v>
                </c:pt>
                <c:pt idx="129">
                  <c:v>63.982968573778848</c:v>
                </c:pt>
                <c:pt idx="130">
                  <c:v>64.045512747403308</c:v>
                </c:pt>
                <c:pt idx="131">
                  <c:v>64.108259530445153</c:v>
                </c:pt>
                <c:pt idx="132">
                  <c:v>64.171209579249719</c:v>
                </c:pt>
                <c:pt idx="133">
                  <c:v>64.234363552288542</c:v>
                </c:pt>
                <c:pt idx="134">
                  <c:v>64.29772211016622</c:v>
                </c:pt>
                <c:pt idx="135">
                  <c:v>64.361285915627406</c:v>
                </c:pt>
                <c:pt idx="136">
                  <c:v>64.425055633563673</c:v>
                </c:pt>
                <c:pt idx="137">
                  <c:v>64.489031931020435</c:v>
                </c:pt>
                <c:pt idx="138">
                  <c:v>64.553215477204049</c:v>
                </c:pt>
                <c:pt idx="139">
                  <c:v>64.617606943488681</c:v>
                </c:pt>
                <c:pt idx="140">
                  <c:v>64.682207003423414</c:v>
                </c:pt>
                <c:pt idx="141">
                  <c:v>64.747016332739264</c:v>
                </c:pt>
                <c:pt idx="142">
                  <c:v>64.812035609356258</c:v>
                </c:pt>
                <c:pt idx="143">
                  <c:v>64.877265513390498</c:v>
                </c:pt>
                <c:pt idx="144">
                  <c:v>64.942706727161337</c:v>
                </c:pt>
                <c:pt idx="145">
                  <c:v>65.008359935198399</c:v>
                </c:pt>
                <c:pt idx="146">
                  <c:v>65.074225824248899</c:v>
                </c:pt>
                <c:pt idx="147">
                  <c:v>65.140305083284687</c:v>
                </c:pt>
                <c:pt idx="148">
                  <c:v>65.206598403509545</c:v>
                </c:pt>
                <c:pt idx="149">
                  <c:v>65.273106478366373</c:v>
                </c:pt>
                <c:pt idx="150">
                  <c:v>65.339830003544407</c:v>
                </c:pt>
                <c:pt idx="151">
                  <c:v>65.406769676986613</c:v>
                </c:pt>
                <c:pt idx="152">
                  <c:v>65.473926198896905</c:v>
                </c:pt>
                <c:pt idx="153">
                  <c:v>65.541300271747417</c:v>
                </c:pt>
                <c:pt idx="154">
                  <c:v>65.608892600285969</c:v>
                </c:pt>
                <c:pt idx="155">
                  <c:v>65.676703891543397</c:v>
                </c:pt>
                <c:pt idx="156">
                  <c:v>65.744734854840871</c:v>
                </c:pt>
                <c:pt idx="157">
                  <c:v>65.812986201797457</c:v>
                </c:pt>
                <c:pt idx="158">
                  <c:v>65.881458646337421</c:v>
                </c:pt>
                <c:pt idx="159">
                  <c:v>65.950152904697802</c:v>
                </c:pt>
                <c:pt idx="160">
                  <c:v>66.019069695435803</c:v>
                </c:pt>
                <c:pt idx="161">
                  <c:v>66.088209739436451</c:v>
                </c:pt>
                <c:pt idx="162">
                  <c:v>66.157573759919984</c:v>
                </c:pt>
                <c:pt idx="163">
                  <c:v>66.227162482449515</c:v>
                </c:pt>
                <c:pt idx="164">
                  <c:v>66.296976634938559</c:v>
                </c:pt>
                <c:pt idx="165">
                  <c:v>66.367016947658726</c:v>
                </c:pt>
                <c:pt idx="166">
                  <c:v>66.437284153247276</c:v>
                </c:pt>
                <c:pt idx="167">
                  <c:v>66.507778986714825</c:v>
                </c:pt>
                <c:pt idx="168">
                  <c:v>66.578502185453047</c:v>
                </c:pt>
                <c:pt idx="169">
                  <c:v>66.649454489242316</c:v>
                </c:pt>
                <c:pt idx="170">
                  <c:v>66.720636640259585</c:v>
                </c:pt>
                <c:pt idx="171">
                  <c:v>66.792049383085967</c:v>
                </c:pt>
                <c:pt idx="172">
                  <c:v>66.863693464714686</c:v>
                </c:pt>
                <c:pt idx="173">
                  <c:v>66.93556963455876</c:v>
                </c:pt>
                <c:pt idx="174">
                  <c:v>67.007678644458963</c:v>
                </c:pt>
                <c:pt idx="175">
                  <c:v>67.080021248691594</c:v>
                </c:pt>
                <c:pt idx="176">
                  <c:v>67.152598203976382</c:v>
                </c:pt>
                <c:pt idx="177">
                  <c:v>67.22541026948447</c:v>
                </c:pt>
                <c:pt idx="178">
                  <c:v>67.298458206846263</c:v>
                </c:pt>
                <c:pt idx="179">
                  <c:v>67.371742780159479</c:v>
                </c:pt>
                <c:pt idx="180">
                  <c:v>67.445264755997044</c:v>
                </c:pt>
                <c:pt idx="181">
                  <c:v>67.519024903415243</c:v>
                </c:pt>
                <c:pt idx="182">
                  <c:v>67.593023993961609</c:v>
                </c:pt>
                <c:pt idx="183">
                  <c:v>67.667262801683123</c:v>
                </c:pt>
                <c:pt idx="184">
                  <c:v>67.741742103134257</c:v>
                </c:pt>
                <c:pt idx="185">
                  <c:v>67.816462677385076</c:v>
                </c:pt>
                <c:pt idx="186">
                  <c:v>67.891425306029433</c:v>
                </c:pt>
                <c:pt idx="187">
                  <c:v>67.966630773193131</c:v>
                </c:pt>
                <c:pt idx="188">
                  <c:v>68.042079865542092</c:v>
                </c:pt>
                <c:pt idx="189">
                  <c:v>68.117773372290642</c:v>
                </c:pt>
                <c:pt idx="190">
                  <c:v>68.193712085209711</c:v>
                </c:pt>
                <c:pt idx="191">
                  <c:v>68.269896798635159</c:v>
                </c:pt>
                <c:pt idx="192">
                  <c:v>68.346328309476036</c:v>
                </c:pt>
                <c:pt idx="193">
                  <c:v>68.423007417222976</c:v>
                </c:pt>
                <c:pt idx="194">
                  <c:v>68.499934923956516</c:v>
                </c:pt>
                <c:pt idx="195">
                  <c:v>68.57711163435556</c:v>
                </c:pt>
                <c:pt idx="196">
                  <c:v>68.654538355705625</c:v>
                </c:pt>
                <c:pt idx="197">
                  <c:v>68.732215897907494</c:v>
                </c:pt>
                <c:pt idx="198">
                  <c:v>68.810145073485543</c:v>
                </c:pt>
                <c:pt idx="199">
                  <c:v>68.888326697596341</c:v>
                </c:pt>
                <c:pt idx="200">
                  <c:v>68.966761588037045</c:v>
                </c:pt>
                <c:pt idx="201">
                  <c:v>69.045450565254086</c:v>
                </c:pt>
                <c:pt idx="202">
                  <c:v>69.124394452351723</c:v>
                </c:pt>
                <c:pt idx="203">
                  <c:v>69.203594075100554</c:v>
                </c:pt>
                <c:pt idx="204">
                  <c:v>69.2830502619463</c:v>
                </c:pt>
                <c:pt idx="205">
                  <c:v>69.362763844018374</c:v>
                </c:pt>
                <c:pt idx="206">
                  <c:v>69.442735655138605</c:v>
                </c:pt>
                <c:pt idx="207">
                  <c:v>69.522966531829908</c:v>
                </c:pt>
                <c:pt idx="208">
                  <c:v>69.603457313325151</c:v>
                </c:pt>
                <c:pt idx="209">
                  <c:v>69.684208841575852</c:v>
                </c:pt>
                <c:pt idx="210">
                  <c:v>69.765221961260963</c:v>
                </c:pt>
                <c:pt idx="211">
                  <c:v>69.846497519795747</c:v>
                </c:pt>
                <c:pt idx="212">
                  <c:v>69.928036367340667</c:v>
                </c:pt>
                <c:pt idx="213">
                  <c:v>70.009839356810218</c:v>
                </c:pt>
                <c:pt idx="214">
                  <c:v>70.091907343881914</c:v>
                </c:pt>
                <c:pt idx="215">
                  <c:v>70.174241187005151</c:v>
                </c:pt>
                <c:pt idx="216">
                  <c:v>70.256841747410277</c:v>
                </c:pt>
                <c:pt idx="217">
                  <c:v>70.339709889117543</c:v>
                </c:pt>
                <c:pt idx="218">
                  <c:v>70.422846478946184</c:v>
                </c:pt>
                <c:pt idx="219">
                  <c:v>70.506252386523414</c:v>
                </c:pt>
                <c:pt idx="220">
                  <c:v>70.589928484293651</c:v>
                </c:pt>
                <c:pt idx="221">
                  <c:v>70.673875647527481</c:v>
                </c:pt>
                <c:pt idx="222">
                  <c:v>70.758094754330926</c:v>
                </c:pt>
                <c:pt idx="223">
                  <c:v>70.842586685654609</c:v>
                </c:pt>
                <c:pt idx="224">
                  <c:v>70.927352325302948</c:v>
                </c:pt>
                <c:pt idx="225">
                  <c:v>71.012392559943436</c:v>
                </c:pt>
                <c:pt idx="226">
                  <c:v>71.097708279115821</c:v>
                </c:pt>
                <c:pt idx="227">
                  <c:v>71.183300375241572</c:v>
                </c:pt>
                <c:pt idx="228">
                  <c:v>71.269169743633057</c:v>
                </c:pt>
                <c:pt idx="229">
                  <c:v>71.355317282503009</c:v>
                </c:pt>
                <c:pt idx="230">
                  <c:v>71.441743892973847</c:v>
                </c:pt>
                <c:pt idx="231">
                  <c:v>71.528450479087184</c:v>
                </c:pt>
                <c:pt idx="232">
                  <c:v>71.61543794781322</c:v>
                </c:pt>
                <c:pt idx="233">
                  <c:v>71.70270720906025</c:v>
                </c:pt>
                <c:pt idx="234">
                  <c:v>71.79025917568417</c:v>
                </c:pt>
                <c:pt idx="235">
                  <c:v>71.878094763498083</c:v>
                </c:pt>
                <c:pt idx="236">
                  <c:v>71.966214891281766</c:v>
                </c:pt>
                <c:pt idx="237">
                  <c:v>72.054620480791399</c:v>
                </c:pt>
                <c:pt idx="238">
                  <c:v>72.143312456769152</c:v>
                </c:pt>
                <c:pt idx="239">
                  <c:v>72.232291746952811</c:v>
                </c:pt>
                <c:pt idx="240">
                  <c:v>72.321559282085616</c:v>
                </c:pt>
                <c:pt idx="241">
                  <c:v>72.411115995925826</c:v>
                </c:pt>
                <c:pt idx="242">
                  <c:v>72.500962825256636</c:v>
                </c:pt>
                <c:pt idx="243">
                  <c:v>72.591100709895883</c:v>
                </c:pt>
                <c:pt idx="244">
                  <c:v>72.681530592705911</c:v>
                </c:pt>
                <c:pt idx="245">
                  <c:v>72.772253419603459</c:v>
                </c:pt>
                <c:pt idx="246">
                  <c:v>72.863270139569465</c:v>
                </c:pt>
                <c:pt idx="247">
                  <c:v>72.95458170465912</c:v>
                </c:pt>
                <c:pt idx="248">
                  <c:v>73.046189070011735</c:v>
                </c:pt>
                <c:pt idx="249">
                  <c:v>73.138093193860726</c:v>
                </c:pt>
                <c:pt idx="250">
                  <c:v>73.230295037543726</c:v>
                </c:pt>
                <c:pt idx="251">
                  <c:v>73.322795565512578</c:v>
                </c:pt>
                <c:pt idx="252">
                  <c:v>73.415595745343325</c:v>
                </c:pt>
                <c:pt idx="253">
                  <c:v>73.508696547746595</c:v>
                </c:pt>
                <c:pt idx="254">
                  <c:v>73.60209894657747</c:v>
                </c:pt>
                <c:pt idx="255">
                  <c:v>73.695803918845883</c:v>
                </c:pt>
                <c:pt idx="256">
                  <c:v>73.789812444726692</c:v>
                </c:pt>
                <c:pt idx="257">
                  <c:v>73.884125507570005</c:v>
                </c:pt>
                <c:pt idx="258">
                  <c:v>73.978744093911473</c:v>
                </c:pt>
                <c:pt idx="259">
                  <c:v>74.073669193482601</c:v>
                </c:pt>
                <c:pt idx="260">
                  <c:v>74.168901799221061</c:v>
                </c:pt>
                <c:pt idx="261">
                  <c:v>74.264442907281122</c:v>
                </c:pt>
                <c:pt idx="262">
                  <c:v>74.360293517044028</c:v>
                </c:pt>
                <c:pt idx="263">
                  <c:v>74.456454631128551</c:v>
                </c:pt>
                <c:pt idx="264">
                  <c:v>74.552927255401315</c:v>
                </c:pt>
                <c:pt idx="265">
                  <c:v>74.649712398987504</c:v>
                </c:pt>
                <c:pt idx="266">
                  <c:v>74.74681107428124</c:v>
                </c:pt>
                <c:pt idx="267">
                  <c:v>74.844224296956298</c:v>
                </c:pt>
                <c:pt idx="268">
                  <c:v>74.941953085976692</c:v>
                </c:pt>
                <c:pt idx="269">
                  <c:v>75.039998463607319</c:v>
                </c:pt>
                <c:pt idx="270">
                  <c:v>75.138361455424686</c:v>
                </c:pt>
                <c:pt idx="271">
                  <c:v>75.23704309032756</c:v>
                </c:pt>
                <c:pt idx="272">
                  <c:v>75.336044400547848</c:v>
                </c:pt>
                <c:pt idx="273">
                  <c:v>75.435366421661271</c:v>
                </c:pt>
                <c:pt idx="274">
                  <c:v>75.535010192598321</c:v>
                </c:pt>
                <c:pt idx="275">
                  <c:v>75.634976755655032</c:v>
                </c:pt>
                <c:pt idx="276">
                  <c:v>75.735267156503909</c:v>
                </c:pt>
                <c:pt idx="277">
                  <c:v>75.835882444204913</c:v>
                </c:pt>
                <c:pt idx="278">
                  <c:v>75.936823671216317</c:v>
                </c:pt>
                <c:pt idx="279">
                  <c:v>76.038091893405863</c:v>
                </c:pt>
                <c:pt idx="280">
                  <c:v>76.139688170061703</c:v>
                </c:pt>
                <c:pt idx="281">
                  <c:v>76.241613563903528</c:v>
                </c:pt>
                <c:pt idx="282">
                  <c:v>76.343869141093634</c:v>
                </c:pt>
                <c:pt idx="283">
                  <c:v>76.44645597124817</c:v>
                </c:pt>
                <c:pt idx="284">
                  <c:v>76.549375127448201</c:v>
                </c:pt>
                <c:pt idx="285">
                  <c:v>76.652627686251023</c:v>
                </c:pt>
                <c:pt idx="286">
                  <c:v>76.756214727701405</c:v>
                </c:pt>
                <c:pt idx="287">
                  <c:v>76.860137335342898</c:v>
                </c:pt>
                <c:pt idx="288">
                  <c:v>76.964396596229065</c:v>
                </c:pt>
                <c:pt idx="289">
                  <c:v>77.068993600935059</c:v>
                </c:pt>
                <c:pt idx="290">
                  <c:v>77.173929443568795</c:v>
                </c:pt>
                <c:pt idx="291">
                  <c:v>77.279205221782576</c:v>
                </c:pt>
                <c:pt idx="292">
                  <c:v>77.384822036784527</c:v>
                </c:pt>
                <c:pt idx="293">
                  <c:v>77.490780993349986</c:v>
                </c:pt>
                <c:pt idx="294">
                  <c:v>77.597083199833278</c:v>
                </c:pt>
                <c:pt idx="295">
                  <c:v>77.703729768179173</c:v>
                </c:pt>
                <c:pt idx="296">
                  <c:v>77.810721813934521</c:v>
                </c:pt>
                <c:pt idx="297">
                  <c:v>77.918060456259909</c:v>
                </c:pt>
                <c:pt idx="298">
                  <c:v>78.025746817941481</c:v>
                </c:pt>
                <c:pt idx="299">
                  <c:v>78.133782025402581</c:v>
                </c:pt>
                <c:pt idx="300">
                  <c:v>78.242167208715514</c:v>
                </c:pt>
                <c:pt idx="301">
                  <c:v>78.350903501613416</c:v>
                </c:pt>
                <c:pt idx="302">
                  <c:v>78.45999204150219</c:v>
                </c:pt>
                <c:pt idx="303">
                  <c:v>78.569433969472215</c:v>
                </c:pt>
                <c:pt idx="304">
                  <c:v>78.679230430310426</c:v>
                </c:pt>
                <c:pt idx="305">
                  <c:v>78.789382572512281</c:v>
                </c:pt>
                <c:pt idx="306">
                  <c:v>78.899891548293709</c:v>
                </c:pt>
                <c:pt idx="307">
                  <c:v>79.010758513603221</c:v>
                </c:pt>
                <c:pt idx="308">
                  <c:v>79.121984628133958</c:v>
                </c:pt>
                <c:pt idx="309">
                  <c:v>79.233571055335858</c:v>
                </c:pt>
                <c:pt idx="310">
                  <c:v>79.345518962427789</c:v>
                </c:pt>
                <c:pt idx="311">
                  <c:v>79.457829520409817</c:v>
                </c:pt>
                <c:pt idx="312">
                  <c:v>79.570503904075366</c:v>
                </c:pt>
                <c:pt idx="313">
                  <c:v>79.6835432920236</c:v>
                </c:pt>
                <c:pt idx="314">
                  <c:v>79.796948866671684</c:v>
                </c:pt>
                <c:pt idx="315">
                  <c:v>79.910721814267177</c:v>
                </c:pt>
                <c:pt idx="316">
                  <c:v>80.02486332490048</c:v>
                </c:pt>
                <c:pt idx="317">
                  <c:v>80.1393745925172</c:v>
                </c:pt>
                <c:pt idx="318">
                  <c:v>80.254256814930741</c:v>
                </c:pt>
                <c:pt idx="319">
                  <c:v>80.369511193834626</c:v>
                </c:pt>
                <c:pt idx="320">
                  <c:v>80.485138934815453</c:v>
                </c:pt>
                <c:pt idx="321">
                  <c:v>80.601141247365078</c:v>
                </c:pt>
                <c:pt idx="322">
                  <c:v>80.717519344893546</c:v>
                </c:pt>
                <c:pt idx="323">
                  <c:v>80.834274444741666</c:v>
                </c:pt>
                <c:pt idx="324">
                  <c:v>80.951407768193789</c:v>
                </c:pt>
                <c:pt idx="325">
                  <c:v>81.068920540490581</c:v>
                </c:pt>
                <c:pt idx="326">
                  <c:v>81.186813990841799</c:v>
                </c:pt>
                <c:pt idx="327">
                  <c:v>81.305089352439225</c:v>
                </c:pt>
                <c:pt idx="328">
                  <c:v>81.423747862469412</c:v>
                </c:pt>
                <c:pt idx="329">
                  <c:v>81.54279076212687</c:v>
                </c:pt>
                <c:pt idx="330">
                  <c:v>81.662219296626802</c:v>
                </c:pt>
                <c:pt idx="331">
                  <c:v>81.782034715218316</c:v>
                </c:pt>
                <c:pt idx="332">
                  <c:v>81.902238271197362</c:v>
                </c:pt>
                <c:pt idx="333">
                  <c:v>82.022831221919873</c:v>
                </c:pt>
                <c:pt idx="334">
                  <c:v>82.143814828815024</c:v>
                </c:pt>
                <c:pt idx="335">
                  <c:v>82.265190357398239</c:v>
                </c:pt>
                <c:pt idx="336">
                  <c:v>82.386959077284644</c:v>
                </c:pt>
                <c:pt idx="337">
                  <c:v>82.509122262202098</c:v>
                </c:pt>
                <c:pt idx="338">
                  <c:v>82.631681190004798</c:v>
                </c:pt>
                <c:pt idx="339">
                  <c:v>82.754637142686363</c:v>
                </c:pt>
                <c:pt idx="340">
                  <c:v>82.877991406393463</c:v>
                </c:pt>
                <c:pt idx="341">
                  <c:v>83.001745271439191</c:v>
                </c:pt>
                <c:pt idx="342">
                  <c:v>83.125900032316508</c:v>
                </c:pt>
                <c:pt idx="343">
                  <c:v>83.250456987711885</c:v>
                </c:pt>
                <c:pt idx="344">
                  <c:v>83.375417440518817</c:v>
                </c:pt>
                <c:pt idx="345">
                  <c:v>83.500782697851463</c:v>
                </c:pt>
                <c:pt idx="346">
                  <c:v>83.626554071058322</c:v>
                </c:pt>
                <c:pt idx="347">
                  <c:v>83.752732875736015</c:v>
                </c:pt>
                <c:pt idx="348">
                  <c:v>83.879320431742883</c:v>
                </c:pt>
                <c:pt idx="349">
                  <c:v>84.006318063213016</c:v>
                </c:pt>
                <c:pt idx="350">
                  <c:v>84.133727098569864</c:v>
                </c:pt>
                <c:pt idx="351">
                  <c:v>84.261548870540381</c:v>
                </c:pt>
                <c:pt idx="352">
                  <c:v>84.389784716168734</c:v>
                </c:pt>
                <c:pt idx="353">
                  <c:v>84.518435976830403</c:v>
                </c:pt>
                <c:pt idx="354">
                  <c:v>84.647503998246293</c:v>
                </c:pt>
                <c:pt idx="355">
                  <c:v>84.776990130496586</c:v>
                </c:pt>
                <c:pt idx="356">
                  <c:v>84.90689572803511</c:v>
                </c:pt>
                <c:pt idx="357">
                  <c:v>85.037222149703339</c:v>
                </c:pt>
                <c:pt idx="358">
                  <c:v>85.167970758744659</c:v>
                </c:pt>
                <c:pt idx="359">
                  <c:v>85.299142922818675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'Fuel Cost Risk Sim'!$D$240</c:f>
              <c:strCache>
                <c:ptCount val="1"/>
                <c:pt idx="0">
                  <c:v>RE PPA Weighted Avg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Sim'!$E$240:$MZ$240</c:f>
              <c:numCache>
                <c:formatCode>_("$"* #,##0.00_);_("$"* \(#,##0.00\);_("$"* "-"??_);_(@_)</c:formatCode>
                <c:ptCount val="360"/>
                <c:pt idx="0">
                  <c:v>78.248627568402384</c:v>
                </c:pt>
                <c:pt idx="1">
                  <c:v>78.248627568402384</c:v>
                </c:pt>
                <c:pt idx="2">
                  <c:v>78.248627568402384</c:v>
                </c:pt>
                <c:pt idx="3">
                  <c:v>78.248627568402384</c:v>
                </c:pt>
                <c:pt idx="4">
                  <c:v>78.248627568402384</c:v>
                </c:pt>
                <c:pt idx="5">
                  <c:v>78.248627568402384</c:v>
                </c:pt>
                <c:pt idx="6">
                  <c:v>78.248627568402384</c:v>
                </c:pt>
                <c:pt idx="7">
                  <c:v>78.248627568402384</c:v>
                </c:pt>
                <c:pt idx="8">
                  <c:v>78.248627568402384</c:v>
                </c:pt>
                <c:pt idx="9">
                  <c:v>78.248627568402384</c:v>
                </c:pt>
                <c:pt idx="10">
                  <c:v>78.248627568402384</c:v>
                </c:pt>
                <c:pt idx="11">
                  <c:v>78.248627568402384</c:v>
                </c:pt>
                <c:pt idx="12">
                  <c:v>78.248627568402384</c:v>
                </c:pt>
                <c:pt idx="13">
                  <c:v>78.248627568402384</c:v>
                </c:pt>
                <c:pt idx="14">
                  <c:v>78.248627568402384</c:v>
                </c:pt>
                <c:pt idx="15">
                  <c:v>78.248627568402384</c:v>
                </c:pt>
                <c:pt idx="16">
                  <c:v>78.248627568402384</c:v>
                </c:pt>
                <c:pt idx="17">
                  <c:v>78.248627568402384</c:v>
                </c:pt>
                <c:pt idx="18">
                  <c:v>78.248627568402384</c:v>
                </c:pt>
                <c:pt idx="19">
                  <c:v>78.248627568402384</c:v>
                </c:pt>
                <c:pt idx="20">
                  <c:v>78.248627568402384</c:v>
                </c:pt>
                <c:pt idx="21">
                  <c:v>78.248627568402384</c:v>
                </c:pt>
                <c:pt idx="22">
                  <c:v>78.248627568402384</c:v>
                </c:pt>
                <c:pt idx="23">
                  <c:v>78.248627568402384</c:v>
                </c:pt>
                <c:pt idx="24">
                  <c:v>78.248627568402384</c:v>
                </c:pt>
                <c:pt idx="25">
                  <c:v>78.248627568402384</c:v>
                </c:pt>
                <c:pt idx="26">
                  <c:v>78.248627568402384</c:v>
                </c:pt>
                <c:pt idx="27">
                  <c:v>78.248627568402384</c:v>
                </c:pt>
                <c:pt idx="28">
                  <c:v>78.248627568402384</c:v>
                </c:pt>
                <c:pt idx="29">
                  <c:v>78.248627568402384</c:v>
                </c:pt>
                <c:pt idx="30">
                  <c:v>78.248627568402384</c:v>
                </c:pt>
                <c:pt idx="31">
                  <c:v>78.248627568402384</c:v>
                </c:pt>
                <c:pt idx="32">
                  <c:v>78.248627568402384</c:v>
                </c:pt>
                <c:pt idx="33">
                  <c:v>78.248627568402384</c:v>
                </c:pt>
                <c:pt idx="34">
                  <c:v>78.248627568402384</c:v>
                </c:pt>
                <c:pt idx="35">
                  <c:v>78.248627568402384</c:v>
                </c:pt>
                <c:pt idx="36">
                  <c:v>78.248627568402384</c:v>
                </c:pt>
                <c:pt idx="37">
                  <c:v>78.248627568402384</c:v>
                </c:pt>
                <c:pt idx="38">
                  <c:v>78.248627568402384</c:v>
                </c:pt>
                <c:pt idx="39">
                  <c:v>78.248627568402384</c:v>
                </c:pt>
                <c:pt idx="40">
                  <c:v>78.248627568402384</c:v>
                </c:pt>
                <c:pt idx="41">
                  <c:v>78.248627568402384</c:v>
                </c:pt>
                <c:pt idx="42">
                  <c:v>78.248627568402384</c:v>
                </c:pt>
                <c:pt idx="43">
                  <c:v>78.248627568402384</c:v>
                </c:pt>
                <c:pt idx="44">
                  <c:v>78.248627568402384</c:v>
                </c:pt>
                <c:pt idx="45">
                  <c:v>78.248627568402384</c:v>
                </c:pt>
                <c:pt idx="46">
                  <c:v>78.248627568402384</c:v>
                </c:pt>
                <c:pt idx="47">
                  <c:v>78.248627568402384</c:v>
                </c:pt>
                <c:pt idx="48">
                  <c:v>78.248627568402384</c:v>
                </c:pt>
                <c:pt idx="49">
                  <c:v>78.248627568402384</c:v>
                </c:pt>
                <c:pt idx="50">
                  <c:v>78.248627568402384</c:v>
                </c:pt>
                <c:pt idx="51">
                  <c:v>78.248627568402384</c:v>
                </c:pt>
                <c:pt idx="52">
                  <c:v>78.248627568402384</c:v>
                </c:pt>
                <c:pt idx="53">
                  <c:v>78.248627568402384</c:v>
                </c:pt>
                <c:pt idx="54">
                  <c:v>78.248627568402384</c:v>
                </c:pt>
                <c:pt idx="55">
                  <c:v>78.248627568402384</c:v>
                </c:pt>
                <c:pt idx="56">
                  <c:v>78.248627568402384</c:v>
                </c:pt>
                <c:pt idx="57">
                  <c:v>78.248627568402384</c:v>
                </c:pt>
                <c:pt idx="58">
                  <c:v>78.248627568402384</c:v>
                </c:pt>
                <c:pt idx="59">
                  <c:v>78.248627568402384</c:v>
                </c:pt>
                <c:pt idx="60">
                  <c:v>78.248627568402384</c:v>
                </c:pt>
                <c:pt idx="61">
                  <c:v>78.248627568402384</c:v>
                </c:pt>
                <c:pt idx="62">
                  <c:v>78.248627568402384</c:v>
                </c:pt>
                <c:pt idx="63">
                  <c:v>78.248627568402384</c:v>
                </c:pt>
                <c:pt idx="64">
                  <c:v>78.248627568402384</c:v>
                </c:pt>
                <c:pt idx="65">
                  <c:v>78.248627568402384</c:v>
                </c:pt>
                <c:pt idx="66">
                  <c:v>78.248627568402384</c:v>
                </c:pt>
                <c:pt idx="67">
                  <c:v>78.248627568402384</c:v>
                </c:pt>
                <c:pt idx="68">
                  <c:v>78.248627568402384</c:v>
                </c:pt>
                <c:pt idx="69">
                  <c:v>78.248627568402384</c:v>
                </c:pt>
                <c:pt idx="70">
                  <c:v>78.248627568402384</c:v>
                </c:pt>
                <c:pt idx="71">
                  <c:v>78.248627568402384</c:v>
                </c:pt>
                <c:pt idx="72">
                  <c:v>78.248627568402384</c:v>
                </c:pt>
                <c:pt idx="73">
                  <c:v>78.248627568402384</c:v>
                </c:pt>
                <c:pt idx="74">
                  <c:v>78.248627568402384</c:v>
                </c:pt>
                <c:pt idx="75">
                  <c:v>78.248627568402384</c:v>
                </c:pt>
                <c:pt idx="76">
                  <c:v>78.248627568402384</c:v>
                </c:pt>
                <c:pt idx="77">
                  <c:v>78.248627568402384</c:v>
                </c:pt>
                <c:pt idx="78">
                  <c:v>78.248627568402384</c:v>
                </c:pt>
                <c:pt idx="79">
                  <c:v>78.248627568402384</c:v>
                </c:pt>
                <c:pt idx="80">
                  <c:v>78.248627568402384</c:v>
                </c:pt>
                <c:pt idx="81">
                  <c:v>78.248627568402384</c:v>
                </c:pt>
                <c:pt idx="82">
                  <c:v>78.248627568402384</c:v>
                </c:pt>
                <c:pt idx="83">
                  <c:v>78.248627568402384</c:v>
                </c:pt>
                <c:pt idx="84">
                  <c:v>78.248627568402384</c:v>
                </c:pt>
                <c:pt idx="85">
                  <c:v>78.248627568402384</c:v>
                </c:pt>
                <c:pt idx="86">
                  <c:v>78.248627568402384</c:v>
                </c:pt>
                <c:pt idx="87">
                  <c:v>78.248627568402384</c:v>
                </c:pt>
                <c:pt idx="88">
                  <c:v>78.248627568402384</c:v>
                </c:pt>
                <c:pt idx="89">
                  <c:v>78.248627568402384</c:v>
                </c:pt>
                <c:pt idx="90">
                  <c:v>78.248627568402384</c:v>
                </c:pt>
                <c:pt idx="91">
                  <c:v>78.248627568402384</c:v>
                </c:pt>
                <c:pt idx="92">
                  <c:v>78.248627568402384</c:v>
                </c:pt>
                <c:pt idx="93">
                  <c:v>78.248627568402384</c:v>
                </c:pt>
                <c:pt idx="94">
                  <c:v>78.248627568402384</c:v>
                </c:pt>
                <c:pt idx="95">
                  <c:v>78.248627568402384</c:v>
                </c:pt>
                <c:pt idx="96">
                  <c:v>78.248627568402384</c:v>
                </c:pt>
                <c:pt idx="97">
                  <c:v>78.248627568402384</c:v>
                </c:pt>
                <c:pt idx="98">
                  <c:v>78.248627568402384</c:v>
                </c:pt>
                <c:pt idx="99">
                  <c:v>78.248627568402384</c:v>
                </c:pt>
                <c:pt idx="100">
                  <c:v>78.248627568402384</c:v>
                </c:pt>
                <c:pt idx="101">
                  <c:v>78.248627568402384</c:v>
                </c:pt>
                <c:pt idx="102">
                  <c:v>78.248627568402384</c:v>
                </c:pt>
                <c:pt idx="103">
                  <c:v>78.248627568402384</c:v>
                </c:pt>
                <c:pt idx="104">
                  <c:v>78.248627568402384</c:v>
                </c:pt>
                <c:pt idx="105">
                  <c:v>78.248627568402384</c:v>
                </c:pt>
                <c:pt idx="106">
                  <c:v>78.248627568402384</c:v>
                </c:pt>
                <c:pt idx="107">
                  <c:v>78.248627568402384</c:v>
                </c:pt>
                <c:pt idx="108">
                  <c:v>78.248627568402384</c:v>
                </c:pt>
                <c:pt idx="109">
                  <c:v>78.248627568402384</c:v>
                </c:pt>
                <c:pt idx="110">
                  <c:v>78.248627568402384</c:v>
                </c:pt>
                <c:pt idx="111">
                  <c:v>78.248627568402384</c:v>
                </c:pt>
                <c:pt idx="112">
                  <c:v>78.248627568402384</c:v>
                </c:pt>
                <c:pt idx="113">
                  <c:v>78.248627568402384</c:v>
                </c:pt>
                <c:pt idx="114">
                  <c:v>78.248627568402384</c:v>
                </c:pt>
                <c:pt idx="115">
                  <c:v>78.248627568402384</c:v>
                </c:pt>
                <c:pt idx="116">
                  <c:v>78.248627568402384</c:v>
                </c:pt>
                <c:pt idx="117">
                  <c:v>78.248627568402384</c:v>
                </c:pt>
                <c:pt idx="118">
                  <c:v>78.248627568402384</c:v>
                </c:pt>
                <c:pt idx="119">
                  <c:v>78.248627568402384</c:v>
                </c:pt>
                <c:pt idx="120">
                  <c:v>78.248627568402384</c:v>
                </c:pt>
                <c:pt idx="121">
                  <c:v>78.248627568402384</c:v>
                </c:pt>
                <c:pt idx="122">
                  <c:v>78.248627568402384</c:v>
                </c:pt>
                <c:pt idx="123">
                  <c:v>78.248627568402384</c:v>
                </c:pt>
                <c:pt idx="124">
                  <c:v>78.248627568402384</c:v>
                </c:pt>
                <c:pt idx="125">
                  <c:v>78.248627568402384</c:v>
                </c:pt>
                <c:pt idx="126">
                  <c:v>78.248627568402384</c:v>
                </c:pt>
                <c:pt idx="127">
                  <c:v>78.248627568402384</c:v>
                </c:pt>
                <c:pt idx="128">
                  <c:v>78.248627568402384</c:v>
                </c:pt>
                <c:pt idx="129">
                  <c:v>78.248627568402384</c:v>
                </c:pt>
                <c:pt idx="130">
                  <c:v>78.248627568402384</c:v>
                </c:pt>
                <c:pt idx="131">
                  <c:v>78.248627568402384</c:v>
                </c:pt>
                <c:pt idx="132">
                  <c:v>78.248627568402384</c:v>
                </c:pt>
                <c:pt idx="133">
                  <c:v>78.248627568402384</c:v>
                </c:pt>
                <c:pt idx="134">
                  <c:v>78.248627568402384</c:v>
                </c:pt>
                <c:pt idx="135">
                  <c:v>78.248627568402384</c:v>
                </c:pt>
                <c:pt idx="136">
                  <c:v>78.248627568402384</c:v>
                </c:pt>
                <c:pt idx="137">
                  <c:v>78.248627568402384</c:v>
                </c:pt>
                <c:pt idx="138">
                  <c:v>78.248627568402384</c:v>
                </c:pt>
                <c:pt idx="139">
                  <c:v>78.248627568402384</c:v>
                </c:pt>
                <c:pt idx="140">
                  <c:v>78.248627568402384</c:v>
                </c:pt>
                <c:pt idx="141">
                  <c:v>78.248627568402384</c:v>
                </c:pt>
                <c:pt idx="142">
                  <c:v>78.248627568402384</c:v>
                </c:pt>
                <c:pt idx="143">
                  <c:v>78.248627568402384</c:v>
                </c:pt>
                <c:pt idx="144">
                  <c:v>78.248627568402384</c:v>
                </c:pt>
                <c:pt idx="145">
                  <c:v>78.248627568402384</c:v>
                </c:pt>
                <c:pt idx="146">
                  <c:v>78.248627568402384</c:v>
                </c:pt>
                <c:pt idx="147">
                  <c:v>78.248627568402384</c:v>
                </c:pt>
                <c:pt idx="148">
                  <c:v>78.248627568402384</c:v>
                </c:pt>
                <c:pt idx="149">
                  <c:v>78.248627568402384</c:v>
                </c:pt>
                <c:pt idx="150">
                  <c:v>78.248627568402384</c:v>
                </c:pt>
                <c:pt idx="151">
                  <c:v>78.248627568402384</c:v>
                </c:pt>
                <c:pt idx="152">
                  <c:v>78.248627568402384</c:v>
                </c:pt>
                <c:pt idx="153">
                  <c:v>78.248627568402384</c:v>
                </c:pt>
                <c:pt idx="154">
                  <c:v>78.248627568402384</c:v>
                </c:pt>
                <c:pt idx="155">
                  <c:v>78.248627568402384</c:v>
                </c:pt>
                <c:pt idx="156">
                  <c:v>78.248627568402384</c:v>
                </c:pt>
                <c:pt idx="157">
                  <c:v>78.248627568402384</c:v>
                </c:pt>
                <c:pt idx="158">
                  <c:v>78.248627568402384</c:v>
                </c:pt>
                <c:pt idx="159">
                  <c:v>78.248627568402384</c:v>
                </c:pt>
                <c:pt idx="160">
                  <c:v>78.248627568402384</c:v>
                </c:pt>
                <c:pt idx="161">
                  <c:v>78.248627568402384</c:v>
                </c:pt>
                <c:pt idx="162">
                  <c:v>78.248627568402384</c:v>
                </c:pt>
                <c:pt idx="163">
                  <c:v>78.248627568402384</c:v>
                </c:pt>
                <c:pt idx="164">
                  <c:v>78.248627568402384</c:v>
                </c:pt>
                <c:pt idx="165">
                  <c:v>78.248627568402384</c:v>
                </c:pt>
                <c:pt idx="166">
                  <c:v>78.248627568402384</c:v>
                </c:pt>
                <c:pt idx="167">
                  <c:v>78.248627568402384</c:v>
                </c:pt>
                <c:pt idx="168">
                  <c:v>78.248627568402384</c:v>
                </c:pt>
                <c:pt idx="169">
                  <c:v>78.248627568402384</c:v>
                </c:pt>
                <c:pt idx="170">
                  <c:v>78.248627568402384</c:v>
                </c:pt>
                <c:pt idx="171">
                  <c:v>78.248627568402384</c:v>
                </c:pt>
                <c:pt idx="172">
                  <c:v>78.248627568402384</c:v>
                </c:pt>
                <c:pt idx="173">
                  <c:v>78.248627568402384</c:v>
                </c:pt>
                <c:pt idx="174">
                  <c:v>78.248627568402384</c:v>
                </c:pt>
                <c:pt idx="175">
                  <c:v>78.248627568402384</c:v>
                </c:pt>
                <c:pt idx="176">
                  <c:v>78.248627568402384</c:v>
                </c:pt>
                <c:pt idx="177">
                  <c:v>78.248627568402384</c:v>
                </c:pt>
                <c:pt idx="178">
                  <c:v>78.248627568402384</c:v>
                </c:pt>
                <c:pt idx="179">
                  <c:v>78.248627568402384</c:v>
                </c:pt>
                <c:pt idx="180">
                  <c:v>78.248627568402384</c:v>
                </c:pt>
                <c:pt idx="181">
                  <c:v>78.248627568402384</c:v>
                </c:pt>
                <c:pt idx="182">
                  <c:v>78.248627568402384</c:v>
                </c:pt>
                <c:pt idx="183">
                  <c:v>78.248627568402384</c:v>
                </c:pt>
                <c:pt idx="184">
                  <c:v>78.248627568402384</c:v>
                </c:pt>
                <c:pt idx="185">
                  <c:v>78.248627568402384</c:v>
                </c:pt>
                <c:pt idx="186">
                  <c:v>78.248627568402384</c:v>
                </c:pt>
                <c:pt idx="187">
                  <c:v>78.248627568402384</c:v>
                </c:pt>
                <c:pt idx="188">
                  <c:v>78.248627568402384</c:v>
                </c:pt>
                <c:pt idx="189">
                  <c:v>78.248627568402384</c:v>
                </c:pt>
                <c:pt idx="190">
                  <c:v>78.248627568402384</c:v>
                </c:pt>
                <c:pt idx="191">
                  <c:v>78.248627568402384</c:v>
                </c:pt>
                <c:pt idx="192">
                  <c:v>78.248627568402384</c:v>
                </c:pt>
                <c:pt idx="193">
                  <c:v>78.248627568402384</c:v>
                </c:pt>
                <c:pt idx="194">
                  <c:v>78.248627568402384</c:v>
                </c:pt>
                <c:pt idx="195">
                  <c:v>78.248627568402384</c:v>
                </c:pt>
                <c:pt idx="196">
                  <c:v>78.248627568402384</c:v>
                </c:pt>
                <c:pt idx="197">
                  <c:v>78.248627568402384</c:v>
                </c:pt>
                <c:pt idx="198">
                  <c:v>78.248627568402384</c:v>
                </c:pt>
                <c:pt idx="199">
                  <c:v>78.248627568402384</c:v>
                </c:pt>
                <c:pt idx="200">
                  <c:v>78.248627568402384</c:v>
                </c:pt>
                <c:pt idx="201">
                  <c:v>78.248627568402384</c:v>
                </c:pt>
                <c:pt idx="202">
                  <c:v>78.248627568402384</c:v>
                </c:pt>
                <c:pt idx="203">
                  <c:v>78.248627568402384</c:v>
                </c:pt>
                <c:pt idx="204">
                  <c:v>78.248627568402384</c:v>
                </c:pt>
                <c:pt idx="205">
                  <c:v>78.248627568402384</c:v>
                </c:pt>
                <c:pt idx="206">
                  <c:v>78.248627568402384</c:v>
                </c:pt>
                <c:pt idx="207">
                  <c:v>78.248627568402384</c:v>
                </c:pt>
                <c:pt idx="208">
                  <c:v>78.248627568402384</c:v>
                </c:pt>
                <c:pt idx="209">
                  <c:v>78.248627568402384</c:v>
                </c:pt>
                <c:pt idx="210">
                  <c:v>78.248627568402384</c:v>
                </c:pt>
                <c:pt idx="211">
                  <c:v>78.248627568402384</c:v>
                </c:pt>
                <c:pt idx="212">
                  <c:v>78.248627568402384</c:v>
                </c:pt>
                <c:pt idx="213">
                  <c:v>78.248627568402384</c:v>
                </c:pt>
                <c:pt idx="214">
                  <c:v>78.248627568402384</c:v>
                </c:pt>
                <c:pt idx="215">
                  <c:v>78.248627568402384</c:v>
                </c:pt>
                <c:pt idx="216">
                  <c:v>78.248627568402384</c:v>
                </c:pt>
                <c:pt idx="217">
                  <c:v>78.248627568402384</c:v>
                </c:pt>
                <c:pt idx="218">
                  <c:v>78.248627568402384</c:v>
                </c:pt>
                <c:pt idx="219">
                  <c:v>78.248627568402384</c:v>
                </c:pt>
                <c:pt idx="220">
                  <c:v>78.248627568402384</c:v>
                </c:pt>
                <c:pt idx="221">
                  <c:v>78.248627568402384</c:v>
                </c:pt>
                <c:pt idx="222">
                  <c:v>78.248627568402384</c:v>
                </c:pt>
                <c:pt idx="223">
                  <c:v>78.248627568402384</c:v>
                </c:pt>
                <c:pt idx="224">
                  <c:v>78.248627568402384</c:v>
                </c:pt>
                <c:pt idx="225">
                  <c:v>78.248627568402384</c:v>
                </c:pt>
                <c:pt idx="226">
                  <c:v>78.248627568402384</c:v>
                </c:pt>
                <c:pt idx="227">
                  <c:v>78.248627568402384</c:v>
                </c:pt>
                <c:pt idx="228">
                  <c:v>78.248627568402384</c:v>
                </c:pt>
                <c:pt idx="229">
                  <c:v>78.248627568402384</c:v>
                </c:pt>
                <c:pt idx="230">
                  <c:v>78.248627568402384</c:v>
                </c:pt>
                <c:pt idx="231">
                  <c:v>78.248627568402384</c:v>
                </c:pt>
                <c:pt idx="232">
                  <c:v>78.248627568402384</c:v>
                </c:pt>
                <c:pt idx="233">
                  <c:v>78.248627568402384</c:v>
                </c:pt>
                <c:pt idx="234">
                  <c:v>78.248627568402384</c:v>
                </c:pt>
                <c:pt idx="235">
                  <c:v>78.248627568402384</c:v>
                </c:pt>
                <c:pt idx="236">
                  <c:v>78.248627568402384</c:v>
                </c:pt>
                <c:pt idx="237">
                  <c:v>78.248627568402384</c:v>
                </c:pt>
                <c:pt idx="238">
                  <c:v>78.248627568402384</c:v>
                </c:pt>
                <c:pt idx="239">
                  <c:v>78.248627568402384</c:v>
                </c:pt>
                <c:pt idx="240">
                  <c:v>78.248627568402384</c:v>
                </c:pt>
                <c:pt idx="241">
                  <c:v>78.248627568402384</c:v>
                </c:pt>
                <c:pt idx="242">
                  <c:v>78.248627568402384</c:v>
                </c:pt>
                <c:pt idx="243">
                  <c:v>78.248627568402384</c:v>
                </c:pt>
                <c:pt idx="244">
                  <c:v>78.248627568402384</c:v>
                </c:pt>
                <c:pt idx="245">
                  <c:v>78.248627568402384</c:v>
                </c:pt>
                <c:pt idx="246">
                  <c:v>78.248627568402384</c:v>
                </c:pt>
                <c:pt idx="247">
                  <c:v>78.248627568402384</c:v>
                </c:pt>
                <c:pt idx="248">
                  <c:v>78.248627568402384</c:v>
                </c:pt>
                <c:pt idx="249">
                  <c:v>78.248627568402384</c:v>
                </c:pt>
                <c:pt idx="250">
                  <c:v>78.248627568402384</c:v>
                </c:pt>
                <c:pt idx="251">
                  <c:v>78.248627568402384</c:v>
                </c:pt>
                <c:pt idx="252">
                  <c:v>78.248627568402384</c:v>
                </c:pt>
                <c:pt idx="253">
                  <c:v>78.248627568402384</c:v>
                </c:pt>
                <c:pt idx="254">
                  <c:v>78.248627568402384</c:v>
                </c:pt>
                <c:pt idx="255">
                  <c:v>78.248627568402384</c:v>
                </c:pt>
                <c:pt idx="256">
                  <c:v>78.248627568402384</c:v>
                </c:pt>
                <c:pt idx="257">
                  <c:v>78.248627568402384</c:v>
                </c:pt>
                <c:pt idx="258">
                  <c:v>78.248627568402384</c:v>
                </c:pt>
                <c:pt idx="259">
                  <c:v>78.248627568402384</c:v>
                </c:pt>
                <c:pt idx="260">
                  <c:v>78.248627568402384</c:v>
                </c:pt>
                <c:pt idx="261">
                  <c:v>78.248627568402384</c:v>
                </c:pt>
                <c:pt idx="262">
                  <c:v>78.248627568402384</c:v>
                </c:pt>
                <c:pt idx="263">
                  <c:v>78.248627568402384</c:v>
                </c:pt>
                <c:pt idx="264">
                  <c:v>78.248627568402384</c:v>
                </c:pt>
                <c:pt idx="265">
                  <c:v>78.248627568402384</c:v>
                </c:pt>
                <c:pt idx="266">
                  <c:v>78.248627568402384</c:v>
                </c:pt>
                <c:pt idx="267">
                  <c:v>78.248627568402384</c:v>
                </c:pt>
                <c:pt idx="268">
                  <c:v>78.248627568402384</c:v>
                </c:pt>
                <c:pt idx="269">
                  <c:v>78.248627568402384</c:v>
                </c:pt>
                <c:pt idx="270">
                  <c:v>78.248627568402384</c:v>
                </c:pt>
                <c:pt idx="271">
                  <c:v>78.248627568402384</c:v>
                </c:pt>
                <c:pt idx="272">
                  <c:v>78.248627568402384</c:v>
                </c:pt>
                <c:pt idx="273">
                  <c:v>78.248627568402384</c:v>
                </c:pt>
                <c:pt idx="274">
                  <c:v>78.248627568402384</c:v>
                </c:pt>
                <c:pt idx="275">
                  <c:v>78.248627568402384</c:v>
                </c:pt>
                <c:pt idx="276">
                  <c:v>78.248627568402384</c:v>
                </c:pt>
                <c:pt idx="277">
                  <c:v>78.248627568402384</c:v>
                </c:pt>
                <c:pt idx="278">
                  <c:v>78.248627568402384</c:v>
                </c:pt>
                <c:pt idx="279">
                  <c:v>78.248627568402384</c:v>
                </c:pt>
                <c:pt idx="280">
                  <c:v>78.248627568402384</c:v>
                </c:pt>
                <c:pt idx="281">
                  <c:v>78.248627568402384</c:v>
                </c:pt>
                <c:pt idx="282">
                  <c:v>78.248627568402384</c:v>
                </c:pt>
                <c:pt idx="283">
                  <c:v>78.248627568402384</c:v>
                </c:pt>
                <c:pt idx="284">
                  <c:v>78.248627568402384</c:v>
                </c:pt>
                <c:pt idx="285">
                  <c:v>78.248627568402384</c:v>
                </c:pt>
                <c:pt idx="286">
                  <c:v>78.248627568402384</c:v>
                </c:pt>
                <c:pt idx="287">
                  <c:v>78.248627568402384</c:v>
                </c:pt>
                <c:pt idx="288">
                  <c:v>78.248627568402384</c:v>
                </c:pt>
                <c:pt idx="289">
                  <c:v>78.248627568402384</c:v>
                </c:pt>
                <c:pt idx="290">
                  <c:v>78.248627568402384</c:v>
                </c:pt>
                <c:pt idx="291">
                  <c:v>78.248627568402384</c:v>
                </c:pt>
                <c:pt idx="292">
                  <c:v>78.248627568402384</c:v>
                </c:pt>
                <c:pt idx="293">
                  <c:v>78.248627568402384</c:v>
                </c:pt>
                <c:pt idx="294">
                  <c:v>78.248627568402384</c:v>
                </c:pt>
                <c:pt idx="295">
                  <c:v>78.248627568402384</c:v>
                </c:pt>
                <c:pt idx="296">
                  <c:v>78.248627568402384</c:v>
                </c:pt>
                <c:pt idx="297">
                  <c:v>78.248627568402384</c:v>
                </c:pt>
                <c:pt idx="298">
                  <c:v>78.248627568402384</c:v>
                </c:pt>
                <c:pt idx="299">
                  <c:v>78.248627568402384</c:v>
                </c:pt>
                <c:pt idx="300">
                  <c:v>78.248627568402384</c:v>
                </c:pt>
                <c:pt idx="301">
                  <c:v>78.248627568402384</c:v>
                </c:pt>
                <c:pt idx="302">
                  <c:v>78.248627568402384</c:v>
                </c:pt>
                <c:pt idx="303">
                  <c:v>78.248627568402384</c:v>
                </c:pt>
                <c:pt idx="304">
                  <c:v>78.248627568402384</c:v>
                </c:pt>
                <c:pt idx="305">
                  <c:v>78.248627568402384</c:v>
                </c:pt>
                <c:pt idx="306">
                  <c:v>78.248627568402384</c:v>
                </c:pt>
                <c:pt idx="307">
                  <c:v>78.248627568402384</c:v>
                </c:pt>
                <c:pt idx="308">
                  <c:v>78.248627568402384</c:v>
                </c:pt>
                <c:pt idx="309">
                  <c:v>78.248627568402384</c:v>
                </c:pt>
                <c:pt idx="310">
                  <c:v>78.248627568402384</c:v>
                </c:pt>
                <c:pt idx="311">
                  <c:v>78.248627568402384</c:v>
                </c:pt>
                <c:pt idx="312">
                  <c:v>78.248627568402384</c:v>
                </c:pt>
                <c:pt idx="313">
                  <c:v>78.248627568402384</c:v>
                </c:pt>
                <c:pt idx="314">
                  <c:v>78.248627568402384</c:v>
                </c:pt>
                <c:pt idx="315">
                  <c:v>78.248627568402384</c:v>
                </c:pt>
                <c:pt idx="316">
                  <c:v>78.248627568402384</c:v>
                </c:pt>
                <c:pt idx="317">
                  <c:v>78.248627568402384</c:v>
                </c:pt>
                <c:pt idx="318">
                  <c:v>78.248627568402384</c:v>
                </c:pt>
                <c:pt idx="319">
                  <c:v>78.248627568402384</c:v>
                </c:pt>
                <c:pt idx="320">
                  <c:v>78.248627568402384</c:v>
                </c:pt>
                <c:pt idx="321">
                  <c:v>78.248627568402384</c:v>
                </c:pt>
                <c:pt idx="322">
                  <c:v>78.248627568402384</c:v>
                </c:pt>
                <c:pt idx="323">
                  <c:v>78.248627568402384</c:v>
                </c:pt>
                <c:pt idx="324">
                  <c:v>78.248627568402384</c:v>
                </c:pt>
                <c:pt idx="325">
                  <c:v>78.248627568402384</c:v>
                </c:pt>
                <c:pt idx="326">
                  <c:v>78.248627568402384</c:v>
                </c:pt>
                <c:pt idx="327">
                  <c:v>78.248627568402384</c:v>
                </c:pt>
                <c:pt idx="328">
                  <c:v>78.248627568402384</c:v>
                </c:pt>
                <c:pt idx="329">
                  <c:v>78.248627568402384</c:v>
                </c:pt>
                <c:pt idx="330">
                  <c:v>78.248627568402384</c:v>
                </c:pt>
                <c:pt idx="331">
                  <c:v>78.248627568402384</c:v>
                </c:pt>
                <c:pt idx="332">
                  <c:v>78.248627568402384</c:v>
                </c:pt>
                <c:pt idx="333">
                  <c:v>78.248627568402384</c:v>
                </c:pt>
                <c:pt idx="334">
                  <c:v>78.248627568402384</c:v>
                </c:pt>
                <c:pt idx="335">
                  <c:v>78.248627568402384</c:v>
                </c:pt>
                <c:pt idx="336">
                  <c:v>78.248627568402384</c:v>
                </c:pt>
                <c:pt idx="337">
                  <c:v>78.248627568402384</c:v>
                </c:pt>
                <c:pt idx="338">
                  <c:v>78.248627568402384</c:v>
                </c:pt>
                <c:pt idx="339">
                  <c:v>78.248627568402384</c:v>
                </c:pt>
                <c:pt idx="340">
                  <c:v>78.248627568402384</c:v>
                </c:pt>
                <c:pt idx="341">
                  <c:v>78.248627568402384</c:v>
                </c:pt>
                <c:pt idx="342">
                  <c:v>78.248627568402384</c:v>
                </c:pt>
                <c:pt idx="343">
                  <c:v>78.248627568402384</c:v>
                </c:pt>
                <c:pt idx="344">
                  <c:v>78.248627568402384</c:v>
                </c:pt>
                <c:pt idx="345">
                  <c:v>78.248627568402384</c:v>
                </c:pt>
                <c:pt idx="346">
                  <c:v>78.248627568402384</c:v>
                </c:pt>
                <c:pt idx="347">
                  <c:v>78.248627568402384</c:v>
                </c:pt>
                <c:pt idx="348">
                  <c:v>78.248627568402384</c:v>
                </c:pt>
                <c:pt idx="349">
                  <c:v>78.248627568402384</c:v>
                </c:pt>
                <c:pt idx="350">
                  <c:v>78.248627568402384</c:v>
                </c:pt>
                <c:pt idx="351">
                  <c:v>78.248627568402384</c:v>
                </c:pt>
                <c:pt idx="352">
                  <c:v>78.248627568402384</c:v>
                </c:pt>
                <c:pt idx="353">
                  <c:v>78.248627568402384</c:v>
                </c:pt>
                <c:pt idx="354">
                  <c:v>78.248627568402384</c:v>
                </c:pt>
                <c:pt idx="355">
                  <c:v>78.248627568402384</c:v>
                </c:pt>
                <c:pt idx="356">
                  <c:v>78.248627568402384</c:v>
                </c:pt>
                <c:pt idx="357">
                  <c:v>78.248627568402384</c:v>
                </c:pt>
                <c:pt idx="358">
                  <c:v>78.248627568402384</c:v>
                </c:pt>
                <c:pt idx="359">
                  <c:v>78.248627568402384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'Fuel Cost Risk Sim'!$D$241</c:f>
              <c:strCache>
                <c:ptCount val="1"/>
                <c:pt idx="0">
                  <c:v>RE PPA @ $0.14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Sim'!$E$241:$MZ$241</c:f>
              <c:numCache>
                <c:formatCode>_("$"* #,##0.00_);_("$"* \(#,##0.00\);_("$"* "-"??_);_(@_)</c:formatCode>
                <c:ptCount val="360"/>
                <c:pt idx="0">
                  <c:v>66.29885308601591</c:v>
                </c:pt>
                <c:pt idx="1">
                  <c:v>66.29885308601591</c:v>
                </c:pt>
                <c:pt idx="2">
                  <c:v>66.29885308601591</c:v>
                </c:pt>
                <c:pt idx="3">
                  <c:v>66.29885308601591</c:v>
                </c:pt>
                <c:pt idx="4">
                  <c:v>66.29885308601591</c:v>
                </c:pt>
                <c:pt idx="5">
                  <c:v>66.29885308601591</c:v>
                </c:pt>
                <c:pt idx="6">
                  <c:v>66.29885308601591</c:v>
                </c:pt>
                <c:pt idx="7">
                  <c:v>66.29885308601591</c:v>
                </c:pt>
                <c:pt idx="8">
                  <c:v>66.29885308601591</c:v>
                </c:pt>
                <c:pt idx="9">
                  <c:v>66.29885308601591</c:v>
                </c:pt>
                <c:pt idx="10">
                  <c:v>66.29885308601591</c:v>
                </c:pt>
                <c:pt idx="11">
                  <c:v>66.29885308601591</c:v>
                </c:pt>
                <c:pt idx="12">
                  <c:v>66.29885308601591</c:v>
                </c:pt>
                <c:pt idx="13">
                  <c:v>66.29885308601591</c:v>
                </c:pt>
                <c:pt idx="14">
                  <c:v>66.29885308601591</c:v>
                </c:pt>
                <c:pt idx="15">
                  <c:v>66.29885308601591</c:v>
                </c:pt>
                <c:pt idx="16">
                  <c:v>66.29885308601591</c:v>
                </c:pt>
                <c:pt idx="17">
                  <c:v>66.29885308601591</c:v>
                </c:pt>
                <c:pt idx="18">
                  <c:v>66.29885308601591</c:v>
                </c:pt>
                <c:pt idx="19">
                  <c:v>66.29885308601591</c:v>
                </c:pt>
                <c:pt idx="20">
                  <c:v>66.29885308601591</c:v>
                </c:pt>
                <c:pt idx="21">
                  <c:v>66.29885308601591</c:v>
                </c:pt>
                <c:pt idx="22">
                  <c:v>66.29885308601591</c:v>
                </c:pt>
                <c:pt idx="23">
                  <c:v>66.29885308601591</c:v>
                </c:pt>
                <c:pt idx="24">
                  <c:v>66.29885308601591</c:v>
                </c:pt>
                <c:pt idx="25">
                  <c:v>66.29885308601591</c:v>
                </c:pt>
                <c:pt idx="26">
                  <c:v>66.29885308601591</c:v>
                </c:pt>
                <c:pt idx="27">
                  <c:v>66.29885308601591</c:v>
                </c:pt>
                <c:pt idx="28">
                  <c:v>66.29885308601591</c:v>
                </c:pt>
                <c:pt idx="29">
                  <c:v>66.29885308601591</c:v>
                </c:pt>
                <c:pt idx="30">
                  <c:v>66.29885308601591</c:v>
                </c:pt>
                <c:pt idx="31">
                  <c:v>66.29885308601591</c:v>
                </c:pt>
                <c:pt idx="32">
                  <c:v>66.29885308601591</c:v>
                </c:pt>
                <c:pt idx="33">
                  <c:v>66.29885308601591</c:v>
                </c:pt>
                <c:pt idx="34">
                  <c:v>66.29885308601591</c:v>
                </c:pt>
                <c:pt idx="35">
                  <c:v>66.29885308601591</c:v>
                </c:pt>
                <c:pt idx="36">
                  <c:v>66.29885308601591</c:v>
                </c:pt>
                <c:pt idx="37">
                  <c:v>66.29885308601591</c:v>
                </c:pt>
                <c:pt idx="38">
                  <c:v>66.29885308601591</c:v>
                </c:pt>
                <c:pt idx="39">
                  <c:v>66.29885308601591</c:v>
                </c:pt>
                <c:pt idx="40">
                  <c:v>66.29885308601591</c:v>
                </c:pt>
                <c:pt idx="41">
                  <c:v>66.29885308601591</c:v>
                </c:pt>
                <c:pt idx="42">
                  <c:v>66.29885308601591</c:v>
                </c:pt>
                <c:pt idx="43">
                  <c:v>66.29885308601591</c:v>
                </c:pt>
                <c:pt idx="44">
                  <c:v>66.29885308601591</c:v>
                </c:pt>
                <c:pt idx="45">
                  <c:v>66.29885308601591</c:v>
                </c:pt>
                <c:pt idx="46">
                  <c:v>66.29885308601591</c:v>
                </c:pt>
                <c:pt idx="47">
                  <c:v>66.29885308601591</c:v>
                </c:pt>
                <c:pt idx="48">
                  <c:v>66.29885308601591</c:v>
                </c:pt>
                <c:pt idx="49">
                  <c:v>66.29885308601591</c:v>
                </c:pt>
                <c:pt idx="50">
                  <c:v>66.29885308601591</c:v>
                </c:pt>
                <c:pt idx="51">
                  <c:v>66.29885308601591</c:v>
                </c:pt>
                <c:pt idx="52">
                  <c:v>66.29885308601591</c:v>
                </c:pt>
                <c:pt idx="53">
                  <c:v>66.29885308601591</c:v>
                </c:pt>
                <c:pt idx="54">
                  <c:v>66.29885308601591</c:v>
                </c:pt>
                <c:pt idx="55">
                  <c:v>66.29885308601591</c:v>
                </c:pt>
                <c:pt idx="56">
                  <c:v>66.29885308601591</c:v>
                </c:pt>
                <c:pt idx="57">
                  <c:v>66.29885308601591</c:v>
                </c:pt>
                <c:pt idx="58">
                  <c:v>66.29885308601591</c:v>
                </c:pt>
                <c:pt idx="59">
                  <c:v>66.29885308601591</c:v>
                </c:pt>
                <c:pt idx="60">
                  <c:v>66.29885308601591</c:v>
                </c:pt>
                <c:pt idx="61">
                  <c:v>66.29885308601591</c:v>
                </c:pt>
                <c:pt idx="62">
                  <c:v>66.29885308601591</c:v>
                </c:pt>
                <c:pt idx="63">
                  <c:v>66.29885308601591</c:v>
                </c:pt>
                <c:pt idx="64">
                  <c:v>66.29885308601591</c:v>
                </c:pt>
                <c:pt idx="65">
                  <c:v>66.29885308601591</c:v>
                </c:pt>
                <c:pt idx="66">
                  <c:v>66.29885308601591</c:v>
                </c:pt>
                <c:pt idx="67">
                  <c:v>66.29885308601591</c:v>
                </c:pt>
                <c:pt idx="68">
                  <c:v>66.29885308601591</c:v>
                </c:pt>
                <c:pt idx="69">
                  <c:v>66.29885308601591</c:v>
                </c:pt>
                <c:pt idx="70">
                  <c:v>66.29885308601591</c:v>
                </c:pt>
                <c:pt idx="71">
                  <c:v>66.29885308601591</c:v>
                </c:pt>
                <c:pt idx="72">
                  <c:v>66.29885308601591</c:v>
                </c:pt>
                <c:pt idx="73">
                  <c:v>66.29885308601591</c:v>
                </c:pt>
                <c:pt idx="74">
                  <c:v>66.29885308601591</c:v>
                </c:pt>
                <c:pt idx="75">
                  <c:v>66.29885308601591</c:v>
                </c:pt>
                <c:pt idx="76">
                  <c:v>66.29885308601591</c:v>
                </c:pt>
                <c:pt idx="77">
                  <c:v>66.29885308601591</c:v>
                </c:pt>
                <c:pt idx="78">
                  <c:v>66.29885308601591</c:v>
                </c:pt>
                <c:pt idx="79">
                  <c:v>66.29885308601591</c:v>
                </c:pt>
                <c:pt idx="80">
                  <c:v>66.29885308601591</c:v>
                </c:pt>
                <c:pt idx="81">
                  <c:v>66.29885308601591</c:v>
                </c:pt>
                <c:pt idx="82">
                  <c:v>66.29885308601591</c:v>
                </c:pt>
                <c:pt idx="83">
                  <c:v>66.29885308601591</c:v>
                </c:pt>
                <c:pt idx="84">
                  <c:v>66.29885308601591</c:v>
                </c:pt>
                <c:pt idx="85">
                  <c:v>66.29885308601591</c:v>
                </c:pt>
                <c:pt idx="86">
                  <c:v>66.29885308601591</c:v>
                </c:pt>
                <c:pt idx="87">
                  <c:v>66.29885308601591</c:v>
                </c:pt>
                <c:pt idx="88">
                  <c:v>66.29885308601591</c:v>
                </c:pt>
                <c:pt idx="89">
                  <c:v>66.29885308601591</c:v>
                </c:pt>
                <c:pt idx="90">
                  <c:v>66.29885308601591</c:v>
                </c:pt>
                <c:pt idx="91">
                  <c:v>66.29885308601591</c:v>
                </c:pt>
                <c:pt idx="92">
                  <c:v>66.29885308601591</c:v>
                </c:pt>
                <c:pt idx="93">
                  <c:v>66.29885308601591</c:v>
                </c:pt>
                <c:pt idx="94">
                  <c:v>66.29885308601591</c:v>
                </c:pt>
                <c:pt idx="95">
                  <c:v>66.29885308601591</c:v>
                </c:pt>
                <c:pt idx="96">
                  <c:v>66.29885308601591</c:v>
                </c:pt>
                <c:pt idx="97">
                  <c:v>66.29885308601591</c:v>
                </c:pt>
                <c:pt idx="98">
                  <c:v>66.29885308601591</c:v>
                </c:pt>
                <c:pt idx="99">
                  <c:v>66.29885308601591</c:v>
                </c:pt>
                <c:pt idx="100">
                  <c:v>66.29885308601591</c:v>
                </c:pt>
                <c:pt idx="101">
                  <c:v>66.29885308601591</c:v>
                </c:pt>
                <c:pt idx="102">
                  <c:v>66.29885308601591</c:v>
                </c:pt>
                <c:pt idx="103">
                  <c:v>66.29885308601591</c:v>
                </c:pt>
                <c:pt idx="104">
                  <c:v>66.29885308601591</c:v>
                </c:pt>
                <c:pt idx="105">
                  <c:v>66.29885308601591</c:v>
                </c:pt>
                <c:pt idx="106">
                  <c:v>66.29885308601591</c:v>
                </c:pt>
                <c:pt idx="107">
                  <c:v>66.29885308601591</c:v>
                </c:pt>
                <c:pt idx="108">
                  <c:v>66.29885308601591</c:v>
                </c:pt>
                <c:pt idx="109">
                  <c:v>66.29885308601591</c:v>
                </c:pt>
                <c:pt idx="110">
                  <c:v>66.29885308601591</c:v>
                </c:pt>
                <c:pt idx="111">
                  <c:v>66.29885308601591</c:v>
                </c:pt>
                <c:pt idx="112">
                  <c:v>66.29885308601591</c:v>
                </c:pt>
                <c:pt idx="113">
                  <c:v>66.29885308601591</c:v>
                </c:pt>
                <c:pt idx="114">
                  <c:v>66.29885308601591</c:v>
                </c:pt>
                <c:pt idx="115">
                  <c:v>66.29885308601591</c:v>
                </c:pt>
                <c:pt idx="116">
                  <c:v>66.29885308601591</c:v>
                </c:pt>
                <c:pt idx="117">
                  <c:v>66.29885308601591</c:v>
                </c:pt>
                <c:pt idx="118">
                  <c:v>66.29885308601591</c:v>
                </c:pt>
                <c:pt idx="119">
                  <c:v>66.29885308601591</c:v>
                </c:pt>
                <c:pt idx="120">
                  <c:v>66.29885308601591</c:v>
                </c:pt>
                <c:pt idx="121">
                  <c:v>66.29885308601591</c:v>
                </c:pt>
                <c:pt idx="122">
                  <c:v>66.29885308601591</c:v>
                </c:pt>
                <c:pt idx="123">
                  <c:v>66.29885308601591</c:v>
                </c:pt>
                <c:pt idx="124">
                  <c:v>66.29885308601591</c:v>
                </c:pt>
                <c:pt idx="125">
                  <c:v>66.29885308601591</c:v>
                </c:pt>
                <c:pt idx="126">
                  <c:v>66.29885308601591</c:v>
                </c:pt>
                <c:pt idx="127">
                  <c:v>66.29885308601591</c:v>
                </c:pt>
                <c:pt idx="128">
                  <c:v>66.29885308601591</c:v>
                </c:pt>
                <c:pt idx="129">
                  <c:v>66.29885308601591</c:v>
                </c:pt>
                <c:pt idx="130">
                  <c:v>66.29885308601591</c:v>
                </c:pt>
                <c:pt idx="131">
                  <c:v>66.29885308601591</c:v>
                </c:pt>
                <c:pt idx="132">
                  <c:v>66.29885308601591</c:v>
                </c:pt>
                <c:pt idx="133">
                  <c:v>66.29885308601591</c:v>
                </c:pt>
                <c:pt idx="134">
                  <c:v>66.29885308601591</c:v>
                </c:pt>
                <c:pt idx="135">
                  <c:v>66.29885308601591</c:v>
                </c:pt>
                <c:pt idx="136">
                  <c:v>66.29885308601591</c:v>
                </c:pt>
                <c:pt idx="137">
                  <c:v>66.29885308601591</c:v>
                </c:pt>
                <c:pt idx="138">
                  <c:v>66.29885308601591</c:v>
                </c:pt>
                <c:pt idx="139">
                  <c:v>66.29885308601591</c:v>
                </c:pt>
                <c:pt idx="140">
                  <c:v>66.29885308601591</c:v>
                </c:pt>
                <c:pt idx="141">
                  <c:v>66.29885308601591</c:v>
                </c:pt>
                <c:pt idx="142">
                  <c:v>66.29885308601591</c:v>
                </c:pt>
                <c:pt idx="143">
                  <c:v>66.29885308601591</c:v>
                </c:pt>
                <c:pt idx="144">
                  <c:v>66.29885308601591</c:v>
                </c:pt>
                <c:pt idx="145">
                  <c:v>66.29885308601591</c:v>
                </c:pt>
                <c:pt idx="146">
                  <c:v>66.29885308601591</c:v>
                </c:pt>
                <c:pt idx="147">
                  <c:v>66.29885308601591</c:v>
                </c:pt>
                <c:pt idx="148">
                  <c:v>66.29885308601591</c:v>
                </c:pt>
                <c:pt idx="149">
                  <c:v>66.29885308601591</c:v>
                </c:pt>
                <c:pt idx="150">
                  <c:v>66.29885308601591</c:v>
                </c:pt>
                <c:pt idx="151">
                  <c:v>66.29885308601591</c:v>
                </c:pt>
                <c:pt idx="152">
                  <c:v>66.29885308601591</c:v>
                </c:pt>
                <c:pt idx="153">
                  <c:v>66.29885308601591</c:v>
                </c:pt>
                <c:pt idx="154">
                  <c:v>66.29885308601591</c:v>
                </c:pt>
                <c:pt idx="155">
                  <c:v>66.29885308601591</c:v>
                </c:pt>
                <c:pt idx="156">
                  <c:v>66.29885308601591</c:v>
                </c:pt>
                <c:pt idx="157">
                  <c:v>66.29885308601591</c:v>
                </c:pt>
                <c:pt idx="158">
                  <c:v>66.29885308601591</c:v>
                </c:pt>
                <c:pt idx="159">
                  <c:v>66.29885308601591</c:v>
                </c:pt>
                <c:pt idx="160">
                  <c:v>66.29885308601591</c:v>
                </c:pt>
                <c:pt idx="161">
                  <c:v>66.29885308601591</c:v>
                </c:pt>
                <c:pt idx="162">
                  <c:v>66.29885308601591</c:v>
                </c:pt>
                <c:pt idx="163">
                  <c:v>66.29885308601591</c:v>
                </c:pt>
                <c:pt idx="164">
                  <c:v>66.29885308601591</c:v>
                </c:pt>
                <c:pt idx="165">
                  <c:v>66.29885308601591</c:v>
                </c:pt>
                <c:pt idx="166">
                  <c:v>66.29885308601591</c:v>
                </c:pt>
                <c:pt idx="167">
                  <c:v>66.29885308601591</c:v>
                </c:pt>
                <c:pt idx="168">
                  <c:v>66.29885308601591</c:v>
                </c:pt>
                <c:pt idx="169">
                  <c:v>66.29885308601591</c:v>
                </c:pt>
                <c:pt idx="170">
                  <c:v>66.29885308601591</c:v>
                </c:pt>
                <c:pt idx="171">
                  <c:v>66.29885308601591</c:v>
                </c:pt>
                <c:pt idx="172">
                  <c:v>66.29885308601591</c:v>
                </c:pt>
                <c:pt idx="173">
                  <c:v>66.29885308601591</c:v>
                </c:pt>
                <c:pt idx="174">
                  <c:v>66.29885308601591</c:v>
                </c:pt>
                <c:pt idx="175">
                  <c:v>66.29885308601591</c:v>
                </c:pt>
                <c:pt idx="176">
                  <c:v>66.29885308601591</c:v>
                </c:pt>
                <c:pt idx="177">
                  <c:v>66.29885308601591</c:v>
                </c:pt>
                <c:pt idx="178">
                  <c:v>66.29885308601591</c:v>
                </c:pt>
                <c:pt idx="179">
                  <c:v>66.29885308601591</c:v>
                </c:pt>
                <c:pt idx="180">
                  <c:v>66.29885308601591</c:v>
                </c:pt>
                <c:pt idx="181">
                  <c:v>66.29885308601591</c:v>
                </c:pt>
                <c:pt idx="182">
                  <c:v>66.29885308601591</c:v>
                </c:pt>
                <c:pt idx="183">
                  <c:v>66.29885308601591</c:v>
                </c:pt>
                <c:pt idx="184">
                  <c:v>66.29885308601591</c:v>
                </c:pt>
                <c:pt idx="185">
                  <c:v>66.29885308601591</c:v>
                </c:pt>
                <c:pt idx="186">
                  <c:v>66.29885308601591</c:v>
                </c:pt>
                <c:pt idx="187">
                  <c:v>66.29885308601591</c:v>
                </c:pt>
                <c:pt idx="188">
                  <c:v>66.29885308601591</c:v>
                </c:pt>
                <c:pt idx="189">
                  <c:v>66.29885308601591</c:v>
                </c:pt>
                <c:pt idx="190">
                  <c:v>66.29885308601591</c:v>
                </c:pt>
                <c:pt idx="191">
                  <c:v>66.29885308601591</c:v>
                </c:pt>
                <c:pt idx="192">
                  <c:v>66.29885308601591</c:v>
                </c:pt>
                <c:pt idx="193">
                  <c:v>66.29885308601591</c:v>
                </c:pt>
                <c:pt idx="194">
                  <c:v>66.29885308601591</c:v>
                </c:pt>
                <c:pt idx="195">
                  <c:v>66.29885308601591</c:v>
                </c:pt>
                <c:pt idx="196">
                  <c:v>66.29885308601591</c:v>
                </c:pt>
                <c:pt idx="197">
                  <c:v>66.29885308601591</c:v>
                </c:pt>
                <c:pt idx="198">
                  <c:v>66.29885308601591</c:v>
                </c:pt>
                <c:pt idx="199">
                  <c:v>66.29885308601591</c:v>
                </c:pt>
                <c:pt idx="200">
                  <c:v>66.29885308601591</c:v>
                </c:pt>
                <c:pt idx="201">
                  <c:v>66.29885308601591</c:v>
                </c:pt>
                <c:pt idx="202">
                  <c:v>66.29885308601591</c:v>
                </c:pt>
                <c:pt idx="203">
                  <c:v>66.29885308601591</c:v>
                </c:pt>
                <c:pt idx="204">
                  <c:v>66.29885308601591</c:v>
                </c:pt>
                <c:pt idx="205">
                  <c:v>66.29885308601591</c:v>
                </c:pt>
                <c:pt idx="206">
                  <c:v>66.29885308601591</c:v>
                </c:pt>
                <c:pt idx="207">
                  <c:v>66.29885308601591</c:v>
                </c:pt>
                <c:pt idx="208">
                  <c:v>66.29885308601591</c:v>
                </c:pt>
                <c:pt idx="209">
                  <c:v>66.29885308601591</c:v>
                </c:pt>
                <c:pt idx="210">
                  <c:v>66.29885308601591</c:v>
                </c:pt>
                <c:pt idx="211">
                  <c:v>66.29885308601591</c:v>
                </c:pt>
                <c:pt idx="212">
                  <c:v>66.29885308601591</c:v>
                </c:pt>
                <c:pt idx="213">
                  <c:v>66.29885308601591</c:v>
                </c:pt>
                <c:pt idx="214">
                  <c:v>66.29885308601591</c:v>
                </c:pt>
                <c:pt idx="215">
                  <c:v>66.29885308601591</c:v>
                </c:pt>
                <c:pt idx="216">
                  <c:v>66.29885308601591</c:v>
                </c:pt>
                <c:pt idx="217">
                  <c:v>66.29885308601591</c:v>
                </c:pt>
                <c:pt idx="218">
                  <c:v>66.29885308601591</c:v>
                </c:pt>
                <c:pt idx="219">
                  <c:v>66.29885308601591</c:v>
                </c:pt>
                <c:pt idx="220">
                  <c:v>66.29885308601591</c:v>
                </c:pt>
                <c:pt idx="221">
                  <c:v>66.29885308601591</c:v>
                </c:pt>
                <c:pt idx="222">
                  <c:v>66.29885308601591</c:v>
                </c:pt>
                <c:pt idx="223">
                  <c:v>66.29885308601591</c:v>
                </c:pt>
                <c:pt idx="224">
                  <c:v>66.29885308601591</c:v>
                </c:pt>
                <c:pt idx="225">
                  <c:v>66.29885308601591</c:v>
                </c:pt>
                <c:pt idx="226">
                  <c:v>66.29885308601591</c:v>
                </c:pt>
                <c:pt idx="227">
                  <c:v>66.29885308601591</c:v>
                </c:pt>
                <c:pt idx="228">
                  <c:v>66.29885308601591</c:v>
                </c:pt>
                <c:pt idx="229">
                  <c:v>66.29885308601591</c:v>
                </c:pt>
                <c:pt idx="230">
                  <c:v>66.29885308601591</c:v>
                </c:pt>
                <c:pt idx="231">
                  <c:v>66.29885308601591</c:v>
                </c:pt>
                <c:pt idx="232">
                  <c:v>66.29885308601591</c:v>
                </c:pt>
                <c:pt idx="233">
                  <c:v>66.29885308601591</c:v>
                </c:pt>
                <c:pt idx="234">
                  <c:v>66.29885308601591</c:v>
                </c:pt>
                <c:pt idx="235">
                  <c:v>66.29885308601591</c:v>
                </c:pt>
                <c:pt idx="236">
                  <c:v>66.29885308601591</c:v>
                </c:pt>
                <c:pt idx="237">
                  <c:v>66.29885308601591</c:v>
                </c:pt>
                <c:pt idx="238">
                  <c:v>66.29885308601591</c:v>
                </c:pt>
                <c:pt idx="239">
                  <c:v>66.29885308601591</c:v>
                </c:pt>
                <c:pt idx="240">
                  <c:v>66.29885308601591</c:v>
                </c:pt>
                <c:pt idx="241">
                  <c:v>66.29885308601591</c:v>
                </c:pt>
                <c:pt idx="242">
                  <c:v>66.29885308601591</c:v>
                </c:pt>
                <c:pt idx="243">
                  <c:v>66.29885308601591</c:v>
                </c:pt>
                <c:pt idx="244">
                  <c:v>66.29885308601591</c:v>
                </c:pt>
                <c:pt idx="245">
                  <c:v>66.29885308601591</c:v>
                </c:pt>
                <c:pt idx="246">
                  <c:v>66.29885308601591</c:v>
                </c:pt>
                <c:pt idx="247">
                  <c:v>66.29885308601591</c:v>
                </c:pt>
                <c:pt idx="248">
                  <c:v>66.29885308601591</c:v>
                </c:pt>
                <c:pt idx="249">
                  <c:v>66.29885308601591</c:v>
                </c:pt>
                <c:pt idx="250">
                  <c:v>66.29885308601591</c:v>
                </c:pt>
                <c:pt idx="251">
                  <c:v>66.29885308601591</c:v>
                </c:pt>
                <c:pt idx="252">
                  <c:v>66.29885308601591</c:v>
                </c:pt>
                <c:pt idx="253">
                  <c:v>66.29885308601591</c:v>
                </c:pt>
                <c:pt idx="254">
                  <c:v>66.29885308601591</c:v>
                </c:pt>
                <c:pt idx="255">
                  <c:v>66.29885308601591</c:v>
                </c:pt>
                <c:pt idx="256">
                  <c:v>66.29885308601591</c:v>
                </c:pt>
                <c:pt idx="257">
                  <c:v>66.29885308601591</c:v>
                </c:pt>
                <c:pt idx="258">
                  <c:v>66.29885308601591</c:v>
                </c:pt>
                <c:pt idx="259">
                  <c:v>66.29885308601591</c:v>
                </c:pt>
                <c:pt idx="260">
                  <c:v>66.29885308601591</c:v>
                </c:pt>
                <c:pt idx="261">
                  <c:v>66.29885308601591</c:v>
                </c:pt>
                <c:pt idx="262">
                  <c:v>66.29885308601591</c:v>
                </c:pt>
                <c:pt idx="263">
                  <c:v>66.29885308601591</c:v>
                </c:pt>
                <c:pt idx="264">
                  <c:v>66.29885308601591</c:v>
                </c:pt>
                <c:pt idx="265">
                  <c:v>66.29885308601591</c:v>
                </c:pt>
                <c:pt idx="266">
                  <c:v>66.29885308601591</c:v>
                </c:pt>
                <c:pt idx="267">
                  <c:v>66.29885308601591</c:v>
                </c:pt>
                <c:pt idx="268">
                  <c:v>66.29885308601591</c:v>
                </c:pt>
                <c:pt idx="269">
                  <c:v>66.29885308601591</c:v>
                </c:pt>
                <c:pt idx="270">
                  <c:v>66.29885308601591</c:v>
                </c:pt>
                <c:pt idx="271">
                  <c:v>66.29885308601591</c:v>
                </c:pt>
                <c:pt idx="272">
                  <c:v>66.29885308601591</c:v>
                </c:pt>
                <c:pt idx="273">
                  <c:v>66.29885308601591</c:v>
                </c:pt>
                <c:pt idx="274">
                  <c:v>66.29885308601591</c:v>
                </c:pt>
                <c:pt idx="275">
                  <c:v>66.29885308601591</c:v>
                </c:pt>
                <c:pt idx="276">
                  <c:v>66.29885308601591</c:v>
                </c:pt>
                <c:pt idx="277">
                  <c:v>66.29885308601591</c:v>
                </c:pt>
                <c:pt idx="278">
                  <c:v>66.29885308601591</c:v>
                </c:pt>
                <c:pt idx="279">
                  <c:v>66.29885308601591</c:v>
                </c:pt>
                <c:pt idx="280">
                  <c:v>66.29885308601591</c:v>
                </c:pt>
                <c:pt idx="281">
                  <c:v>66.29885308601591</c:v>
                </c:pt>
                <c:pt idx="282">
                  <c:v>66.29885308601591</c:v>
                </c:pt>
                <c:pt idx="283">
                  <c:v>66.29885308601591</c:v>
                </c:pt>
                <c:pt idx="284">
                  <c:v>66.29885308601591</c:v>
                </c:pt>
                <c:pt idx="285">
                  <c:v>66.29885308601591</c:v>
                </c:pt>
                <c:pt idx="286">
                  <c:v>66.29885308601591</c:v>
                </c:pt>
                <c:pt idx="287">
                  <c:v>66.29885308601591</c:v>
                </c:pt>
                <c:pt idx="288">
                  <c:v>66.29885308601591</c:v>
                </c:pt>
                <c:pt idx="289">
                  <c:v>66.29885308601591</c:v>
                </c:pt>
                <c:pt idx="290">
                  <c:v>66.29885308601591</c:v>
                </c:pt>
                <c:pt idx="291">
                  <c:v>66.29885308601591</c:v>
                </c:pt>
                <c:pt idx="292">
                  <c:v>66.29885308601591</c:v>
                </c:pt>
                <c:pt idx="293">
                  <c:v>66.29885308601591</c:v>
                </c:pt>
                <c:pt idx="294">
                  <c:v>66.29885308601591</c:v>
                </c:pt>
                <c:pt idx="295">
                  <c:v>66.29885308601591</c:v>
                </c:pt>
                <c:pt idx="296">
                  <c:v>66.29885308601591</c:v>
                </c:pt>
                <c:pt idx="297">
                  <c:v>66.29885308601591</c:v>
                </c:pt>
                <c:pt idx="298">
                  <c:v>66.29885308601591</c:v>
                </c:pt>
                <c:pt idx="299">
                  <c:v>66.29885308601591</c:v>
                </c:pt>
                <c:pt idx="300">
                  <c:v>66.29885308601591</c:v>
                </c:pt>
                <c:pt idx="301">
                  <c:v>66.29885308601591</c:v>
                </c:pt>
                <c:pt idx="302">
                  <c:v>66.29885308601591</c:v>
                </c:pt>
                <c:pt idx="303">
                  <c:v>66.29885308601591</c:v>
                </c:pt>
                <c:pt idx="304">
                  <c:v>66.29885308601591</c:v>
                </c:pt>
                <c:pt idx="305">
                  <c:v>66.29885308601591</c:v>
                </c:pt>
                <c:pt idx="306">
                  <c:v>66.29885308601591</c:v>
                </c:pt>
                <c:pt idx="307">
                  <c:v>66.29885308601591</c:v>
                </c:pt>
                <c:pt idx="308">
                  <c:v>66.29885308601591</c:v>
                </c:pt>
                <c:pt idx="309">
                  <c:v>66.29885308601591</c:v>
                </c:pt>
                <c:pt idx="310">
                  <c:v>66.29885308601591</c:v>
                </c:pt>
                <c:pt idx="311">
                  <c:v>66.29885308601591</c:v>
                </c:pt>
                <c:pt idx="312">
                  <c:v>66.29885308601591</c:v>
                </c:pt>
                <c:pt idx="313">
                  <c:v>66.29885308601591</c:v>
                </c:pt>
                <c:pt idx="314">
                  <c:v>66.29885308601591</c:v>
                </c:pt>
                <c:pt idx="315">
                  <c:v>66.29885308601591</c:v>
                </c:pt>
                <c:pt idx="316">
                  <c:v>66.29885308601591</c:v>
                </c:pt>
                <c:pt idx="317">
                  <c:v>66.29885308601591</c:v>
                </c:pt>
                <c:pt idx="318">
                  <c:v>66.29885308601591</c:v>
                </c:pt>
                <c:pt idx="319">
                  <c:v>66.29885308601591</c:v>
                </c:pt>
                <c:pt idx="320">
                  <c:v>66.29885308601591</c:v>
                </c:pt>
                <c:pt idx="321">
                  <c:v>66.29885308601591</c:v>
                </c:pt>
                <c:pt idx="322">
                  <c:v>66.29885308601591</c:v>
                </c:pt>
                <c:pt idx="323">
                  <c:v>66.29885308601591</c:v>
                </c:pt>
                <c:pt idx="324">
                  <c:v>66.29885308601591</c:v>
                </c:pt>
                <c:pt idx="325">
                  <c:v>66.29885308601591</c:v>
                </c:pt>
                <c:pt idx="326">
                  <c:v>66.29885308601591</c:v>
                </c:pt>
                <c:pt idx="327">
                  <c:v>66.29885308601591</c:v>
                </c:pt>
                <c:pt idx="328">
                  <c:v>66.29885308601591</c:v>
                </c:pt>
                <c:pt idx="329">
                  <c:v>66.29885308601591</c:v>
                </c:pt>
                <c:pt idx="330">
                  <c:v>66.29885308601591</c:v>
                </c:pt>
                <c:pt idx="331">
                  <c:v>66.29885308601591</c:v>
                </c:pt>
                <c:pt idx="332">
                  <c:v>66.29885308601591</c:v>
                </c:pt>
                <c:pt idx="333">
                  <c:v>66.29885308601591</c:v>
                </c:pt>
                <c:pt idx="334">
                  <c:v>66.29885308601591</c:v>
                </c:pt>
                <c:pt idx="335">
                  <c:v>66.29885308601591</c:v>
                </c:pt>
                <c:pt idx="336">
                  <c:v>66.29885308601591</c:v>
                </c:pt>
                <c:pt idx="337">
                  <c:v>66.29885308601591</c:v>
                </c:pt>
                <c:pt idx="338">
                  <c:v>66.29885308601591</c:v>
                </c:pt>
                <c:pt idx="339">
                  <c:v>66.29885308601591</c:v>
                </c:pt>
                <c:pt idx="340">
                  <c:v>66.29885308601591</c:v>
                </c:pt>
                <c:pt idx="341">
                  <c:v>66.29885308601591</c:v>
                </c:pt>
                <c:pt idx="342">
                  <c:v>66.29885308601591</c:v>
                </c:pt>
                <c:pt idx="343">
                  <c:v>66.29885308601591</c:v>
                </c:pt>
                <c:pt idx="344">
                  <c:v>66.29885308601591</c:v>
                </c:pt>
                <c:pt idx="345">
                  <c:v>66.29885308601591</c:v>
                </c:pt>
                <c:pt idx="346">
                  <c:v>66.29885308601591</c:v>
                </c:pt>
                <c:pt idx="347">
                  <c:v>66.29885308601591</c:v>
                </c:pt>
                <c:pt idx="348">
                  <c:v>66.29885308601591</c:v>
                </c:pt>
                <c:pt idx="349">
                  <c:v>66.29885308601591</c:v>
                </c:pt>
                <c:pt idx="350">
                  <c:v>66.29885308601591</c:v>
                </c:pt>
                <c:pt idx="351">
                  <c:v>66.29885308601591</c:v>
                </c:pt>
                <c:pt idx="352">
                  <c:v>66.29885308601591</c:v>
                </c:pt>
                <c:pt idx="353">
                  <c:v>66.29885308601591</c:v>
                </c:pt>
                <c:pt idx="354">
                  <c:v>66.29885308601591</c:v>
                </c:pt>
                <c:pt idx="355">
                  <c:v>66.29885308601591</c:v>
                </c:pt>
                <c:pt idx="356">
                  <c:v>66.29885308601591</c:v>
                </c:pt>
                <c:pt idx="357">
                  <c:v>66.29885308601591</c:v>
                </c:pt>
                <c:pt idx="358">
                  <c:v>66.29885308601591</c:v>
                </c:pt>
                <c:pt idx="359">
                  <c:v>66.29885308601591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96176"/>
        <c:axId val="410191864"/>
      </c:lineChart>
      <c:dateAx>
        <c:axId val="410196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1864"/>
        <c:crosses val="autoZero"/>
        <c:auto val="1"/>
        <c:lblOffset val="100"/>
        <c:baseTimeUnit val="months"/>
      </c:dateAx>
      <c:valAx>
        <c:axId val="41019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Electric Bill (Fuel Costs) -- 600 KWhr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'Fuel Cost Risk Sim'!$D$237</c:f>
              <c:strCache>
                <c:ptCount val="1"/>
                <c:pt idx="0">
                  <c:v>Oil/Diesel Blend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Sim'!$E$237:$MZ$237</c:f>
              <c:numCache>
                <c:formatCode>_("$"* #,##0.00_);_("$"* \(#,##0.00\);_("$"* "-"??_);_(@_)</c:formatCode>
                <c:ptCount val="360"/>
                <c:pt idx="0">
                  <c:v>81.522976287816832</c:v>
                </c:pt>
                <c:pt idx="1">
                  <c:v>81.787110834109271</c:v>
                </c:pt>
                <c:pt idx="2">
                  <c:v>82.052101176665815</c:v>
                </c:pt>
                <c:pt idx="3">
                  <c:v>82.317950088267423</c:v>
                </c:pt>
                <c:pt idx="4">
                  <c:v>82.584660350678902</c:v>
                </c:pt>
                <c:pt idx="5">
                  <c:v>82.852234754677966</c:v>
                </c:pt>
                <c:pt idx="6">
                  <c:v>83.12067610008441</c:v>
                </c:pt>
                <c:pt idx="7">
                  <c:v>83.389987195789544</c:v>
                </c:pt>
                <c:pt idx="8">
                  <c:v>83.66017085978541</c:v>
                </c:pt>
                <c:pt idx="9">
                  <c:v>83.931229919194422</c:v>
                </c:pt>
                <c:pt idx="10">
                  <c:v>84.203167210298744</c:v>
                </c:pt>
                <c:pt idx="11">
                  <c:v>84.475985578570231</c:v>
                </c:pt>
                <c:pt idx="12">
                  <c:v>84.749687878700016</c:v>
                </c:pt>
                <c:pt idx="13">
                  <c:v>85.024276974628449</c:v>
                </c:pt>
                <c:pt idx="14">
                  <c:v>85.299755739574991</c:v>
                </c:pt>
                <c:pt idx="15">
                  <c:v>85.576127056068458</c:v>
                </c:pt>
                <c:pt idx="16">
                  <c:v>85.853393815976915</c:v>
                </c:pt>
                <c:pt idx="17">
                  <c:v>86.131558920538197</c:v>
                </c:pt>
                <c:pt idx="18">
                  <c:v>86.410625280390121</c:v>
                </c:pt>
                <c:pt idx="19">
                  <c:v>86.690595815600972</c:v>
                </c:pt>
                <c:pt idx="20">
                  <c:v>86.971473455700036</c:v>
                </c:pt>
                <c:pt idx="21">
                  <c:v>87.253261139708329</c:v>
                </c:pt>
                <c:pt idx="22">
                  <c:v>87.535961816169234</c:v>
                </c:pt>
                <c:pt idx="23">
                  <c:v>87.819578443179466</c:v>
                </c:pt>
                <c:pt idx="24">
                  <c:v>88.104113988419968</c:v>
                </c:pt>
                <c:pt idx="25">
                  <c:v>88.389571429186958</c:v>
                </c:pt>
                <c:pt idx="26">
                  <c:v>88.675953752423112</c:v>
                </c:pt>
                <c:pt idx="27">
                  <c:v>88.963263954748811</c:v>
                </c:pt>
                <c:pt idx="28">
                  <c:v>89.251505042493434</c:v>
                </c:pt>
                <c:pt idx="29">
                  <c:v>89.540680031726978</c:v>
                </c:pt>
                <c:pt idx="30">
                  <c:v>89.830791948291434</c:v>
                </c:pt>
                <c:pt idx="31">
                  <c:v>90.121843827832521</c:v>
                </c:pt>
                <c:pt idx="32">
                  <c:v>90.41383871583146</c:v>
                </c:pt>
                <c:pt idx="33">
                  <c:v>90.706779667636866</c:v>
                </c:pt>
                <c:pt idx="34">
                  <c:v>91.000669748496676</c:v>
                </c:pt>
                <c:pt idx="35">
                  <c:v>91.295512033590214</c:v>
                </c:pt>
                <c:pt idx="36">
                  <c:v>91.591309608060413</c:v>
                </c:pt>
                <c:pt idx="37">
                  <c:v>91.888065567046056</c:v>
                </c:pt>
                <c:pt idx="38">
                  <c:v>92.185783015714179</c:v>
                </c:pt>
                <c:pt idx="39">
                  <c:v>92.484465069292582</c:v>
                </c:pt>
                <c:pt idx="40">
                  <c:v>92.784114853102352</c:v>
                </c:pt>
                <c:pt idx="41">
                  <c:v>93.084735502590732</c:v>
                </c:pt>
                <c:pt idx="42">
                  <c:v>93.386330163363723</c:v>
                </c:pt>
                <c:pt idx="43">
                  <c:v>93.688901991219112</c:v>
                </c:pt>
                <c:pt idx="44">
                  <c:v>93.992454152179448</c:v>
                </c:pt>
                <c:pt idx="45">
                  <c:v>94.29698982252529</c:v>
                </c:pt>
                <c:pt idx="46">
                  <c:v>94.602512188828271</c:v>
                </c:pt>
                <c:pt idx="47">
                  <c:v>94.909024447984521</c:v>
                </c:pt>
                <c:pt idx="48">
                  <c:v>95.216529807248151</c:v>
                </c:pt>
                <c:pt idx="49">
                  <c:v>95.525031484264787</c:v>
                </c:pt>
                <c:pt idx="50">
                  <c:v>95.834532707105154</c:v>
                </c:pt>
                <c:pt idx="51">
                  <c:v>96.145036714299039</c:v>
                </c:pt>
                <c:pt idx="52">
                  <c:v>96.456546754868953</c:v>
                </c:pt>
                <c:pt idx="53">
                  <c:v>96.769066088364397</c:v>
                </c:pt>
                <c:pt idx="54">
                  <c:v>97.082597984895656</c:v>
                </c:pt>
                <c:pt idx="55">
                  <c:v>97.397145725168301</c:v>
                </c:pt>
                <c:pt idx="56">
                  <c:v>97.712712600517264</c:v>
                </c:pt>
                <c:pt idx="57">
                  <c:v>98.029301912941548</c:v>
                </c:pt>
                <c:pt idx="58">
                  <c:v>98.346916975138541</c:v>
                </c:pt>
                <c:pt idx="59">
                  <c:v>98.665561110538803</c:v>
                </c:pt>
                <c:pt idx="60">
                  <c:v>98.985237653340818</c:v>
                </c:pt>
                <c:pt idx="61">
                  <c:v>99.305949948545901</c:v>
                </c:pt>
                <c:pt idx="62">
                  <c:v>99.627701351993082</c:v>
                </c:pt>
                <c:pt idx="63">
                  <c:v>99.950495230394438</c:v>
                </c:pt>
                <c:pt idx="64">
                  <c:v>100.27433496137014</c:v>
                </c:pt>
                <c:pt idx="65">
                  <c:v>100.59922393348381</c:v>
                </c:pt>
                <c:pt idx="66">
                  <c:v>100.92516554627811</c:v>
                </c:pt>
                <c:pt idx="67">
                  <c:v>101.25216321031016</c:v>
                </c:pt>
                <c:pt idx="68">
                  <c:v>101.58022034718726</c:v>
                </c:pt>
                <c:pt idx="69">
                  <c:v>101.90934038960283</c:v>
                </c:pt>
                <c:pt idx="70">
                  <c:v>102.23952678137213</c:v>
                </c:pt>
                <c:pt idx="71">
                  <c:v>102.57078297746843</c:v>
                </c:pt>
                <c:pt idx="72">
                  <c:v>102.90311244405909</c:v>
                </c:pt>
                <c:pt idx="73">
                  <c:v>103.23651865854188</c:v>
                </c:pt>
                <c:pt idx="74">
                  <c:v>103.57100510958129</c:v>
                </c:pt>
                <c:pt idx="75">
                  <c:v>103.90657529714521</c:v>
                </c:pt>
                <c:pt idx="76">
                  <c:v>104.2432327325413</c:v>
                </c:pt>
                <c:pt idx="77">
                  <c:v>104.58098093845391</c:v>
                </c:pt>
                <c:pt idx="78">
                  <c:v>104.91982344898092</c:v>
                </c:pt>
                <c:pt idx="79">
                  <c:v>105.25976380967057</c:v>
                </c:pt>
                <c:pt idx="80">
                  <c:v>105.60080557755892</c:v>
                </c:pt>
                <c:pt idx="81">
                  <c:v>105.94295232120662</c:v>
                </c:pt>
                <c:pt idx="82">
                  <c:v>106.28620762073649</c:v>
                </c:pt>
                <c:pt idx="83">
                  <c:v>106.63057506787105</c:v>
                </c:pt>
                <c:pt idx="84">
                  <c:v>106.97605826596991</c:v>
                </c:pt>
                <c:pt idx="85">
                  <c:v>107.32266083006763</c:v>
                </c:pt>
                <c:pt idx="86">
                  <c:v>107.67038638691146</c:v>
                </c:pt>
                <c:pt idx="87">
                  <c:v>108.01923857499931</c:v>
                </c:pt>
                <c:pt idx="88">
                  <c:v>108.3692210446178</c:v>
                </c:pt>
                <c:pt idx="89">
                  <c:v>108.72033745788058</c:v>
                </c:pt>
                <c:pt idx="90">
                  <c:v>109.07259148876646</c:v>
                </c:pt>
                <c:pt idx="91">
                  <c:v>109.42598682315798</c:v>
                </c:pt>
                <c:pt idx="92">
                  <c:v>109.78052715887995</c:v>
                </c:pt>
                <c:pt idx="93">
                  <c:v>110.13621620573809</c:v>
                </c:pt>
                <c:pt idx="94">
                  <c:v>110.493057685558</c:v>
                </c:pt>
                <c:pt idx="95">
                  <c:v>110.85105533222391</c:v>
                </c:pt>
                <c:pt idx="96">
                  <c:v>111.21021289171784</c:v>
                </c:pt>
                <c:pt idx="97">
                  <c:v>111.57053412215886</c:v>
                </c:pt>
                <c:pt idx="98">
                  <c:v>111.93202279384225</c:v>
                </c:pt>
                <c:pt idx="99">
                  <c:v>112.29468268927917</c:v>
                </c:pt>
                <c:pt idx="100">
                  <c:v>112.65851760323604</c:v>
                </c:pt>
                <c:pt idx="101">
                  <c:v>113.02353134277431</c:v>
                </c:pt>
                <c:pt idx="102">
                  <c:v>113.38972772729046</c:v>
                </c:pt>
                <c:pt idx="103">
                  <c:v>113.75711058855562</c:v>
                </c:pt>
                <c:pt idx="104">
                  <c:v>114.12568377075597</c:v>
                </c:pt>
                <c:pt idx="105">
                  <c:v>114.49545113053291</c:v>
                </c:pt>
                <c:pt idx="106">
                  <c:v>114.86641653702321</c:v>
                </c:pt>
                <c:pt idx="107">
                  <c:v>115.23858387189982</c:v>
                </c:pt>
                <c:pt idx="108">
                  <c:v>115.61195702941217</c:v>
                </c:pt>
                <c:pt idx="109">
                  <c:v>115.98653991642712</c:v>
                </c:pt>
                <c:pt idx="110">
                  <c:v>116.36233645246988</c:v>
                </c:pt>
                <c:pt idx="111">
                  <c:v>116.73935056976471</c:v>
                </c:pt>
                <c:pt idx="112">
                  <c:v>117.1175862132765</c:v>
                </c:pt>
                <c:pt idx="113">
                  <c:v>117.49704734075168</c:v>
                </c:pt>
                <c:pt idx="114">
                  <c:v>117.87773792275988</c:v>
                </c:pt>
                <c:pt idx="115">
                  <c:v>118.25966194273532</c:v>
                </c:pt>
                <c:pt idx="116">
                  <c:v>118.6428233970186</c:v>
                </c:pt>
                <c:pt idx="117">
                  <c:v>119.02722629489843</c:v>
                </c:pt>
                <c:pt idx="118">
                  <c:v>119.41287465865362</c:v>
                </c:pt>
                <c:pt idx="119">
                  <c:v>119.79977252359518</c:v>
                </c:pt>
                <c:pt idx="120">
                  <c:v>120.18792393810857</c:v>
                </c:pt>
                <c:pt idx="121">
                  <c:v>120.57733296369594</c:v>
                </c:pt>
                <c:pt idx="122">
                  <c:v>120.96800367501879</c:v>
                </c:pt>
                <c:pt idx="123">
                  <c:v>121.35994015994049</c:v>
                </c:pt>
                <c:pt idx="124">
                  <c:v>121.75314651956911</c:v>
                </c:pt>
                <c:pt idx="125">
                  <c:v>122.14762686830031</c:v>
                </c:pt>
                <c:pt idx="126">
                  <c:v>122.54338533386034</c:v>
                </c:pt>
                <c:pt idx="127">
                  <c:v>122.94042605734946</c:v>
                </c:pt>
                <c:pt idx="128">
                  <c:v>123.33875319328487</c:v>
                </c:pt>
                <c:pt idx="129">
                  <c:v>123.73837090964454</c:v>
                </c:pt>
                <c:pt idx="130">
                  <c:v>124.13928338791074</c:v>
                </c:pt>
                <c:pt idx="131">
                  <c:v>124.5414948231136</c:v>
                </c:pt>
                <c:pt idx="132">
                  <c:v>124.94500942387531</c:v>
                </c:pt>
                <c:pt idx="133">
                  <c:v>125.34983141245391</c:v>
                </c:pt>
                <c:pt idx="134">
                  <c:v>125.75596502478757</c:v>
                </c:pt>
                <c:pt idx="135">
                  <c:v>126.16341451053887</c:v>
                </c:pt>
                <c:pt idx="136">
                  <c:v>126.57218413313942</c:v>
                </c:pt>
                <c:pt idx="137">
                  <c:v>126.98227816983429</c:v>
                </c:pt>
                <c:pt idx="138">
                  <c:v>127.39370091172675</c:v>
                </c:pt>
                <c:pt idx="139">
                  <c:v>127.80645666382338</c:v>
                </c:pt>
                <c:pt idx="140">
                  <c:v>128.22054974507887</c:v>
                </c:pt>
                <c:pt idx="141">
                  <c:v>128.63598448844147</c:v>
                </c:pt>
                <c:pt idx="142">
                  <c:v>129.05276524089803</c:v>
                </c:pt>
                <c:pt idx="143">
                  <c:v>129.47089636351973</c:v>
                </c:pt>
                <c:pt idx="144">
                  <c:v>129.89038223150766</c:v>
                </c:pt>
                <c:pt idx="145">
                  <c:v>130.31122723423846</c:v>
                </c:pt>
                <c:pt idx="146">
                  <c:v>130.73343577531045</c:v>
                </c:pt>
                <c:pt idx="147">
                  <c:v>131.15701227258955</c:v>
                </c:pt>
                <c:pt idx="148">
                  <c:v>131.58196115825567</c:v>
                </c:pt>
                <c:pt idx="149">
                  <c:v>132.00828687884882</c:v>
                </c:pt>
                <c:pt idx="150">
                  <c:v>132.43599389531602</c:v>
                </c:pt>
                <c:pt idx="151">
                  <c:v>132.86508668305754</c:v>
                </c:pt>
                <c:pt idx="152">
                  <c:v>133.29556973197413</c:v>
                </c:pt>
                <c:pt idx="153">
                  <c:v>133.72744754651373</c:v>
                </c:pt>
                <c:pt idx="154">
                  <c:v>134.16072464571872</c:v>
                </c:pt>
                <c:pt idx="155">
                  <c:v>134.59540556327323</c:v>
                </c:pt>
                <c:pt idx="156">
                  <c:v>135.03149484755039</c:v>
                </c:pt>
                <c:pt idx="157">
                  <c:v>135.46899706166027</c:v>
                </c:pt>
                <c:pt idx="158">
                  <c:v>135.90791678349726</c:v>
                </c:pt>
                <c:pt idx="159">
                  <c:v>136.34825860578817</c:v>
                </c:pt>
                <c:pt idx="160">
                  <c:v>136.79002713614037</c:v>
                </c:pt>
                <c:pt idx="161">
                  <c:v>137.23322699708964</c:v>
                </c:pt>
                <c:pt idx="162">
                  <c:v>137.67786282614904</c:v>
                </c:pt>
                <c:pt idx="163">
                  <c:v>138.12393927585703</c:v>
                </c:pt>
                <c:pt idx="164">
                  <c:v>138.57146101382631</c:v>
                </c:pt>
                <c:pt idx="165">
                  <c:v>139.02043272279272</c:v>
                </c:pt>
                <c:pt idx="166">
                  <c:v>139.47085910066403</c:v>
                </c:pt>
                <c:pt idx="167">
                  <c:v>139.92274486056942</c:v>
                </c:pt>
                <c:pt idx="168">
                  <c:v>140.37609473090851</c:v>
                </c:pt>
                <c:pt idx="169">
                  <c:v>140.83091345540092</c:v>
                </c:pt>
                <c:pt idx="170">
                  <c:v>141.28720579313602</c:v>
                </c:pt>
                <c:pt idx="171">
                  <c:v>141.74497651862259</c:v>
                </c:pt>
                <c:pt idx="172">
                  <c:v>142.20423042183876</c:v>
                </c:pt>
                <c:pt idx="173">
                  <c:v>142.66497230828222</c:v>
                </c:pt>
                <c:pt idx="174">
                  <c:v>143.12720699902059</c:v>
                </c:pt>
                <c:pt idx="175">
                  <c:v>143.59093933074163</c:v>
                </c:pt>
                <c:pt idx="176">
                  <c:v>144.05617415580409</c:v>
                </c:pt>
                <c:pt idx="177">
                  <c:v>144.52291634228817</c:v>
                </c:pt>
                <c:pt idx="178">
                  <c:v>144.99117077404685</c:v>
                </c:pt>
                <c:pt idx="179">
                  <c:v>145.46094235075677</c:v>
                </c:pt>
                <c:pt idx="180">
                  <c:v>145.93223598796942</c:v>
                </c:pt>
                <c:pt idx="181">
                  <c:v>146.40505661716278</c:v>
                </c:pt>
                <c:pt idx="182">
                  <c:v>146.87940918579281</c:v>
                </c:pt>
                <c:pt idx="183">
                  <c:v>147.35529865734523</c:v>
                </c:pt>
                <c:pt idx="184">
                  <c:v>147.83273001138747</c:v>
                </c:pt>
                <c:pt idx="185">
                  <c:v>148.31170824362067</c:v>
                </c:pt>
                <c:pt idx="186">
                  <c:v>148.79223836593223</c:v>
                </c:pt>
                <c:pt idx="187">
                  <c:v>149.27432540644787</c:v>
                </c:pt>
                <c:pt idx="188">
                  <c:v>149.75797440958456</c:v>
                </c:pt>
                <c:pt idx="189">
                  <c:v>150.24319043610325</c:v>
                </c:pt>
                <c:pt idx="190">
                  <c:v>150.72997856316158</c:v>
                </c:pt>
                <c:pt idx="191">
                  <c:v>151.21834388436733</c:v>
                </c:pt>
                <c:pt idx="192">
                  <c:v>151.70829150983153</c:v>
                </c:pt>
                <c:pt idx="193">
                  <c:v>152.19982656622199</c:v>
                </c:pt>
                <c:pt idx="194">
                  <c:v>152.69295419681688</c:v>
                </c:pt>
                <c:pt idx="195">
                  <c:v>153.1876795615587</c:v>
                </c:pt>
                <c:pt idx="196">
                  <c:v>153.68400783710808</c:v>
                </c:pt>
                <c:pt idx="197">
                  <c:v>154.18194421689802</c:v>
                </c:pt>
                <c:pt idx="198">
                  <c:v>154.68149391118834</c:v>
                </c:pt>
                <c:pt idx="199">
                  <c:v>155.18266214712006</c:v>
                </c:pt>
                <c:pt idx="200">
                  <c:v>155.68545416877009</c:v>
                </c:pt>
                <c:pt idx="201">
                  <c:v>156.18987523720628</c:v>
                </c:pt>
                <c:pt idx="202">
                  <c:v>156.69593063054225</c:v>
                </c:pt>
                <c:pt idx="203">
                  <c:v>157.20362564399278</c:v>
                </c:pt>
                <c:pt idx="204">
                  <c:v>157.71296558992907</c:v>
                </c:pt>
                <c:pt idx="205">
                  <c:v>158.22395579793445</c:v>
                </c:pt>
                <c:pt idx="206">
                  <c:v>158.73660161486012</c:v>
                </c:pt>
                <c:pt idx="207">
                  <c:v>159.2509084048811</c:v>
                </c:pt>
                <c:pt idx="208">
                  <c:v>159.76688154955229</c:v>
                </c:pt>
                <c:pt idx="209">
                  <c:v>160.28452644786492</c:v>
                </c:pt>
                <c:pt idx="210">
                  <c:v>160.80384851630282</c:v>
                </c:pt>
                <c:pt idx="211">
                  <c:v>161.32485318889934</c:v>
                </c:pt>
                <c:pt idx="212">
                  <c:v>161.84754591729416</c:v>
                </c:pt>
                <c:pt idx="213">
                  <c:v>162.37193217079007</c:v>
                </c:pt>
                <c:pt idx="214">
                  <c:v>162.89801743641067</c:v>
                </c:pt>
                <c:pt idx="215">
                  <c:v>163.42580721895729</c:v>
                </c:pt>
                <c:pt idx="216">
                  <c:v>163.95530704106699</c:v>
                </c:pt>
                <c:pt idx="217">
                  <c:v>164.48652244327016</c:v>
                </c:pt>
                <c:pt idx="218">
                  <c:v>165.01945898404833</c:v>
                </c:pt>
                <c:pt idx="219">
                  <c:v>165.55412223989279</c:v>
                </c:pt>
                <c:pt idx="220">
                  <c:v>166.09051780536248</c:v>
                </c:pt>
                <c:pt idx="221">
                  <c:v>166.62865129314281</c:v>
                </c:pt>
                <c:pt idx="222">
                  <c:v>167.1685283341042</c:v>
                </c:pt>
                <c:pt idx="223">
                  <c:v>167.71015457736124</c:v>
                </c:pt>
                <c:pt idx="224">
                  <c:v>168.25353569033155</c:v>
                </c:pt>
                <c:pt idx="225">
                  <c:v>168.7986773587952</c:v>
                </c:pt>
                <c:pt idx="226">
                  <c:v>169.34558528695425</c:v>
                </c:pt>
                <c:pt idx="227">
                  <c:v>169.8942651974923</c:v>
                </c:pt>
                <c:pt idx="228">
                  <c:v>170.44472283163452</c:v>
                </c:pt>
                <c:pt idx="229">
                  <c:v>170.99696394920764</c:v>
                </c:pt>
                <c:pt idx="230">
                  <c:v>171.55099432870026</c:v>
                </c:pt>
                <c:pt idx="231">
                  <c:v>172.10681976732326</c:v>
                </c:pt>
                <c:pt idx="232">
                  <c:v>172.66444608107042</c:v>
                </c:pt>
                <c:pt idx="233">
                  <c:v>173.22387910477954</c:v>
                </c:pt>
                <c:pt idx="234">
                  <c:v>173.78512469219305</c:v>
                </c:pt>
                <c:pt idx="235">
                  <c:v>174.34818871601971</c:v>
                </c:pt>
                <c:pt idx="236">
                  <c:v>174.91307706799586</c:v>
                </c:pt>
                <c:pt idx="237">
                  <c:v>175.47979565894693</c:v>
                </c:pt>
                <c:pt idx="238">
                  <c:v>176.04835041884951</c:v>
                </c:pt>
                <c:pt idx="239">
                  <c:v>176.61874729689336</c:v>
                </c:pt>
                <c:pt idx="240">
                  <c:v>177.19099226154356</c:v>
                </c:pt>
                <c:pt idx="241">
                  <c:v>177.76509130060307</c:v>
                </c:pt>
                <c:pt idx="242">
                  <c:v>178.34105042127538</c:v>
                </c:pt>
                <c:pt idx="243">
                  <c:v>178.91887565022716</c:v>
                </c:pt>
                <c:pt idx="244">
                  <c:v>179.49857303365167</c:v>
                </c:pt>
                <c:pt idx="245">
                  <c:v>180.08014863733169</c:v>
                </c:pt>
                <c:pt idx="246">
                  <c:v>180.66360854670336</c:v>
                </c:pt>
                <c:pt idx="247">
                  <c:v>181.24895886691937</c:v>
                </c:pt>
                <c:pt idx="248">
                  <c:v>181.83620572291335</c:v>
                </c:pt>
                <c:pt idx="249">
                  <c:v>182.42535525946352</c:v>
                </c:pt>
                <c:pt idx="250">
                  <c:v>183.01641364125734</c:v>
                </c:pt>
                <c:pt idx="251">
                  <c:v>183.60938705295587</c:v>
                </c:pt>
                <c:pt idx="252">
                  <c:v>184.2042816992583</c:v>
                </c:pt>
                <c:pt idx="253">
                  <c:v>184.80110380496725</c:v>
                </c:pt>
                <c:pt idx="254">
                  <c:v>185.39985961505363</c:v>
                </c:pt>
                <c:pt idx="255">
                  <c:v>186.00055539472208</c:v>
                </c:pt>
                <c:pt idx="256">
                  <c:v>186.6031974294765</c:v>
                </c:pt>
                <c:pt idx="257">
                  <c:v>187.20779202518577</c:v>
                </c:pt>
                <c:pt idx="258">
                  <c:v>187.81434550814996</c:v>
                </c:pt>
                <c:pt idx="259">
                  <c:v>188.42286422516614</c:v>
                </c:pt>
                <c:pt idx="260">
                  <c:v>189.03335454359521</c:v>
                </c:pt>
                <c:pt idx="261">
                  <c:v>189.64582285142819</c:v>
                </c:pt>
                <c:pt idx="262">
                  <c:v>190.26027555735325</c:v>
                </c:pt>
                <c:pt idx="263">
                  <c:v>190.87671909082277</c:v>
                </c:pt>
                <c:pt idx="264">
                  <c:v>191.49515990212055</c:v>
                </c:pt>
                <c:pt idx="265">
                  <c:v>192.11560446242913</c:v>
                </c:pt>
                <c:pt idx="266">
                  <c:v>192.73805926389795</c:v>
                </c:pt>
                <c:pt idx="267">
                  <c:v>193.36253081971086</c:v>
                </c:pt>
                <c:pt idx="268">
                  <c:v>193.98902566415455</c:v>
                </c:pt>
                <c:pt idx="269">
                  <c:v>194.61755035268666</c:v>
                </c:pt>
                <c:pt idx="270">
                  <c:v>195.24811146200466</c:v>
                </c:pt>
                <c:pt idx="271">
                  <c:v>195.88071559011448</c:v>
                </c:pt>
                <c:pt idx="272">
                  <c:v>196.51536935639956</c:v>
                </c:pt>
                <c:pt idx="273">
                  <c:v>197.15207940169017</c:v>
                </c:pt>
                <c:pt idx="274">
                  <c:v>197.79085238833292</c:v>
                </c:pt>
                <c:pt idx="275">
                  <c:v>198.43169500026039</c:v>
                </c:pt>
                <c:pt idx="276">
                  <c:v>199.07461394306114</c:v>
                </c:pt>
                <c:pt idx="277">
                  <c:v>199.71961594404974</c:v>
                </c:pt>
                <c:pt idx="278">
                  <c:v>200.3667077523375</c:v>
                </c:pt>
                <c:pt idx="279">
                  <c:v>201.01589613890255</c:v>
                </c:pt>
                <c:pt idx="280">
                  <c:v>201.66718789666129</c:v>
                </c:pt>
                <c:pt idx="281">
                  <c:v>202.32058984053901</c:v>
                </c:pt>
                <c:pt idx="282">
                  <c:v>202.97610880754138</c:v>
                </c:pt>
                <c:pt idx="283">
                  <c:v>203.63375165682604</c:v>
                </c:pt>
                <c:pt idx="284">
                  <c:v>204.29352526977414</c:v>
                </c:pt>
                <c:pt idx="285">
                  <c:v>204.95543655006284</c:v>
                </c:pt>
                <c:pt idx="286">
                  <c:v>205.61949242373692</c:v>
                </c:pt>
                <c:pt idx="287">
                  <c:v>206.28569983928173</c:v>
                </c:pt>
                <c:pt idx="288">
                  <c:v>206.95406576769551</c:v>
                </c:pt>
                <c:pt idx="289">
                  <c:v>207.62459720256285</c:v>
                </c:pt>
                <c:pt idx="290">
                  <c:v>208.29730116012732</c:v>
                </c:pt>
                <c:pt idx="291">
                  <c:v>208.97218467936517</c:v>
                </c:pt>
                <c:pt idx="292">
                  <c:v>209.64925482205905</c:v>
                </c:pt>
                <c:pt idx="293">
                  <c:v>210.32851867287172</c:v>
                </c:pt>
                <c:pt idx="294">
                  <c:v>211.00998333942022</c:v>
                </c:pt>
                <c:pt idx="295">
                  <c:v>211.69365595235035</c:v>
                </c:pt>
                <c:pt idx="296">
                  <c:v>212.37954366541115</c:v>
                </c:pt>
                <c:pt idx="297">
                  <c:v>213.06765365552985</c:v>
                </c:pt>
                <c:pt idx="298">
                  <c:v>213.75799312288694</c:v>
                </c:pt>
                <c:pt idx="299">
                  <c:v>214.45056929099144</c:v>
                </c:pt>
                <c:pt idx="300">
                  <c:v>215.14538940675672</c:v>
                </c:pt>
                <c:pt idx="301">
                  <c:v>215.842460740576</c:v>
                </c:pt>
                <c:pt idx="302">
                  <c:v>216.54179058639852</c:v>
                </c:pt>
                <c:pt idx="303">
                  <c:v>217.24338626180611</c:v>
                </c:pt>
                <c:pt idx="304">
                  <c:v>217.94725510808951</c:v>
                </c:pt>
                <c:pt idx="305">
                  <c:v>218.65340449032519</c:v>
                </c:pt>
                <c:pt idx="306">
                  <c:v>219.36184179745254</c:v>
                </c:pt>
                <c:pt idx="307">
                  <c:v>220.07257444235105</c:v>
                </c:pt>
                <c:pt idx="308">
                  <c:v>220.78560986191812</c:v>
                </c:pt>
                <c:pt idx="309">
                  <c:v>221.50095551714648</c:v>
                </c:pt>
                <c:pt idx="310">
                  <c:v>222.21861889320266</c:v>
                </c:pt>
                <c:pt idx="311">
                  <c:v>222.93860749950508</c:v>
                </c:pt>
                <c:pt idx="312">
                  <c:v>223.66092886980255</c:v>
                </c:pt>
                <c:pt idx="313">
                  <c:v>224.38559056225353</c:v>
                </c:pt>
                <c:pt idx="314">
                  <c:v>225.11260015950464</c:v>
                </c:pt>
                <c:pt idx="315">
                  <c:v>225.84196526877051</c:v>
                </c:pt>
                <c:pt idx="316">
                  <c:v>226.5736935219129</c:v>
                </c:pt>
                <c:pt idx="317">
                  <c:v>227.30779257552115</c:v>
                </c:pt>
                <c:pt idx="318">
                  <c:v>228.04427011099162</c:v>
                </c:pt>
                <c:pt idx="319">
                  <c:v>228.78313383460861</c:v>
                </c:pt>
                <c:pt idx="320">
                  <c:v>229.52439147762473</c:v>
                </c:pt>
                <c:pt idx="321">
                  <c:v>230.26805079634184</c:v>
                </c:pt>
                <c:pt idx="322">
                  <c:v>231.01411957219224</c:v>
                </c:pt>
                <c:pt idx="323">
                  <c:v>231.76260561182016</c:v>
                </c:pt>
                <c:pt idx="324">
                  <c:v>232.51351674716324</c:v>
                </c:pt>
                <c:pt idx="325">
                  <c:v>233.26686083553466</c:v>
                </c:pt>
                <c:pt idx="326">
                  <c:v>234.02264575970528</c:v>
                </c:pt>
                <c:pt idx="327">
                  <c:v>234.78087942798629</c:v>
                </c:pt>
                <c:pt idx="328">
                  <c:v>235.54156977431154</c:v>
                </c:pt>
                <c:pt idx="329">
                  <c:v>236.30472475832119</c:v>
                </c:pt>
                <c:pt idx="330">
                  <c:v>237.07035236544428</c:v>
                </c:pt>
                <c:pt idx="331">
                  <c:v>237.83846060698295</c:v>
                </c:pt>
                <c:pt idx="332">
                  <c:v>238.60905752019585</c:v>
                </c:pt>
                <c:pt idx="333">
                  <c:v>239.38215116838225</c:v>
                </c:pt>
                <c:pt idx="334">
                  <c:v>240.15774964096664</c:v>
                </c:pt>
                <c:pt idx="335">
                  <c:v>240.93586105358335</c:v>
                </c:pt>
                <c:pt idx="336">
                  <c:v>241.71649354816114</c:v>
                </c:pt>
                <c:pt idx="337">
                  <c:v>242.4996552930088</c:v>
                </c:pt>
                <c:pt idx="338">
                  <c:v>243.28535448290037</c:v>
                </c:pt>
                <c:pt idx="339">
                  <c:v>244.07359933916109</c:v>
                </c:pt>
                <c:pt idx="340">
                  <c:v>244.8643981097531</c:v>
                </c:pt>
                <c:pt idx="341">
                  <c:v>245.65775906936221</c:v>
                </c:pt>
                <c:pt idx="342">
                  <c:v>246.45369051948396</c:v>
                </c:pt>
                <c:pt idx="343">
                  <c:v>247.25220078851081</c:v>
                </c:pt>
                <c:pt idx="344">
                  <c:v>248.05329823181944</c:v>
                </c:pt>
                <c:pt idx="345">
                  <c:v>248.85699123185771</c:v>
                </c:pt>
                <c:pt idx="346">
                  <c:v>249.66328819823264</c:v>
                </c:pt>
                <c:pt idx="347">
                  <c:v>250.47219756779862</c:v>
                </c:pt>
                <c:pt idx="348">
                  <c:v>251.28372780474513</c:v>
                </c:pt>
                <c:pt idx="349">
                  <c:v>252.09788740068589</c:v>
                </c:pt>
                <c:pt idx="350">
                  <c:v>252.91468487474737</c:v>
                </c:pt>
                <c:pt idx="351">
                  <c:v>253.73412877365794</c:v>
                </c:pt>
                <c:pt idx="352">
                  <c:v>254.55622767183758</c:v>
                </c:pt>
                <c:pt idx="353">
                  <c:v>255.38099017148713</c:v>
                </c:pt>
                <c:pt idx="354">
                  <c:v>256.20842490267887</c:v>
                </c:pt>
                <c:pt idx="355">
                  <c:v>257.03854052344627</c:v>
                </c:pt>
                <c:pt idx="356">
                  <c:v>257.87134571987497</c:v>
                </c:pt>
                <c:pt idx="357">
                  <c:v>258.70684920619351</c:v>
                </c:pt>
                <c:pt idx="358">
                  <c:v>259.54505972486464</c:v>
                </c:pt>
                <c:pt idx="359">
                  <c:v>260.38598604667652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'Fuel Cost Risk Sim'!$D$238</c:f>
              <c:strCache>
                <c:ptCount val="1"/>
                <c:pt idx="0">
                  <c:v>Oil/Diesel Linked Gas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Sim'!$E$238:$MZ$238</c:f>
              <c:numCache>
                <c:formatCode>_("$"* #,##0.00_);_("$"* \(#,##0.00\);_("$"* "-"??_);_(@_)</c:formatCode>
                <c:ptCount val="360"/>
                <c:pt idx="0">
                  <c:v>64.808869991823386</c:v>
                </c:pt>
                <c:pt idx="1">
                  <c:v>64.95574854793928</c:v>
                </c:pt>
                <c:pt idx="2">
                  <c:v>65.103102990762764</c:v>
                </c:pt>
                <c:pt idx="3">
                  <c:v>65.250934862167398</c:v>
                </c:pt>
                <c:pt idx="4">
                  <c:v>65.399245709022381</c:v>
                </c:pt>
                <c:pt idx="5">
                  <c:v>65.548037083208769</c:v>
                </c:pt>
                <c:pt idx="6">
                  <c:v>65.69731054163573</c:v>
                </c:pt>
                <c:pt idx="7">
                  <c:v>65.847067646256804</c:v>
                </c:pt>
                <c:pt idx="8">
                  <c:v>65.997309964086284</c:v>
                </c:pt>
                <c:pt idx="9">
                  <c:v>66.148039067215592</c:v>
                </c:pt>
                <c:pt idx="10">
                  <c:v>66.299256532829673</c:v>
                </c:pt>
                <c:pt idx="11">
                  <c:v>66.450963943223641</c:v>
                </c:pt>
                <c:pt idx="12">
                  <c:v>66.603162885819174</c:v>
                </c:pt>
                <c:pt idx="13">
                  <c:v>66.755854953181256</c:v>
                </c:pt>
                <c:pt idx="14">
                  <c:v>66.909041743034692</c:v>
                </c:pt>
                <c:pt idx="15">
                  <c:v>67.062724858281058</c:v>
                </c:pt>
                <c:pt idx="16">
                  <c:v>67.216905907015189</c:v>
                </c:pt>
                <c:pt idx="17">
                  <c:v>67.371586502542272</c:v>
                </c:pt>
                <c:pt idx="18">
                  <c:v>67.526768263394516</c:v>
                </c:pt>
                <c:pt idx="19">
                  <c:v>67.682452813348206</c:v>
                </c:pt>
                <c:pt idx="20">
                  <c:v>67.838641781440685</c:v>
                </c:pt>
                <c:pt idx="21">
                  <c:v>67.995336801987335</c:v>
                </c:pt>
                <c:pt idx="22">
                  <c:v>68.152539514598772</c:v>
                </c:pt>
                <c:pt idx="23">
                  <c:v>68.310251564197927</c:v>
                </c:pt>
                <c:pt idx="24">
                  <c:v>68.468474601037272</c:v>
                </c:pt>
                <c:pt idx="25">
                  <c:v>68.627210280716099</c:v>
                </c:pt>
                <c:pt idx="26">
                  <c:v>68.786460264197885</c:v>
                </c:pt>
                <c:pt idx="27">
                  <c:v>68.946226217827615</c:v>
                </c:pt>
                <c:pt idx="28">
                  <c:v>69.106509813349163</c:v>
                </c:pt>
                <c:pt idx="29">
                  <c:v>69.267312727922956</c:v>
                </c:pt>
                <c:pt idx="30">
                  <c:v>69.428636644143367</c:v>
                </c:pt>
                <c:pt idx="31">
                  <c:v>69.590483250056394</c:v>
                </c:pt>
                <c:pt idx="32">
                  <c:v>69.75285423917731</c:v>
                </c:pt>
                <c:pt idx="33">
                  <c:v>69.915751310508341</c:v>
                </c:pt>
                <c:pt idx="34">
                  <c:v>70.079176168556558</c:v>
                </c:pt>
                <c:pt idx="35">
                  <c:v>70.243130523351567</c:v>
                </c:pt>
                <c:pt idx="36">
                  <c:v>70.407616090463492</c:v>
                </c:pt>
                <c:pt idx="37">
                  <c:v>70.572634591020929</c:v>
                </c:pt>
                <c:pt idx="38">
                  <c:v>70.738187751728915</c:v>
                </c:pt>
                <c:pt idx="39">
                  <c:v>70.904277304886989</c:v>
                </c:pt>
                <c:pt idx="40">
                  <c:v>71.070904988407392</c:v>
                </c:pt>
                <c:pt idx="41">
                  <c:v>71.238072545833163</c:v>
                </c:pt>
                <c:pt idx="42">
                  <c:v>71.405781726356466</c:v>
                </c:pt>
                <c:pt idx="43">
                  <c:v>71.574034284836785</c:v>
                </c:pt>
                <c:pt idx="44">
                  <c:v>71.742831981819407</c:v>
                </c:pt>
                <c:pt idx="45">
                  <c:v>71.912176583553787</c:v>
                </c:pt>
                <c:pt idx="46">
                  <c:v>72.082069862011977</c:v>
                </c:pt>
                <c:pt idx="47">
                  <c:v>72.252513594907285</c:v>
                </c:pt>
                <c:pt idx="48">
                  <c:v>72.423509565712763</c:v>
                </c:pt>
                <c:pt idx="49">
                  <c:v>72.595059563679939</c:v>
                </c:pt>
                <c:pt idx="50">
                  <c:v>72.767165383857531</c:v>
                </c:pt>
                <c:pt idx="51">
                  <c:v>72.939828827110219</c:v>
                </c:pt>
                <c:pt idx="52">
                  <c:v>73.113051700137419</c:v>
                </c:pt>
                <c:pt idx="53">
                  <c:v>73.286835815492353</c:v>
                </c:pt>
                <c:pt idx="54">
                  <c:v>73.46118299160085</c:v>
                </c:pt>
                <c:pt idx="55">
                  <c:v>73.63609505278049</c:v>
                </c:pt>
                <c:pt idx="56">
                  <c:v>73.811573829259601</c:v>
                </c:pt>
                <c:pt idx="57">
                  <c:v>73.987621157196457</c:v>
                </c:pt>
                <c:pt idx="58">
                  <c:v>74.164238878698526</c:v>
                </c:pt>
                <c:pt idx="59">
                  <c:v>74.341428841841662</c:v>
                </c:pt>
                <c:pt idx="60">
                  <c:v>74.519192900689532</c:v>
                </c:pt>
                <c:pt idx="61">
                  <c:v>74.697532915312905</c:v>
                </c:pt>
                <c:pt idx="62">
                  <c:v>74.876450751809244</c:v>
                </c:pt>
                <c:pt idx="63">
                  <c:v>75.055948282322149</c:v>
                </c:pt>
                <c:pt idx="64">
                  <c:v>75.236027385060964</c:v>
                </c:pt>
                <c:pt idx="65">
                  <c:v>75.416689944320439</c:v>
                </c:pt>
                <c:pt idx="66">
                  <c:v>75.597937850500443</c:v>
                </c:pt>
                <c:pt idx="67">
                  <c:v>75.779773000125729</c:v>
                </c:pt>
                <c:pt idx="68">
                  <c:v>75.96219729586582</c:v>
                </c:pt>
                <c:pt idx="69">
                  <c:v>76.145212646554839</c:v>
                </c:pt>
                <c:pt idx="70">
                  <c:v>76.328820967211612</c:v>
                </c:pt>
                <c:pt idx="71">
                  <c:v>76.513024179059542</c:v>
                </c:pt>
                <c:pt idx="72">
                  <c:v>76.697824209546866</c:v>
                </c:pt>
                <c:pt idx="73">
                  <c:v>76.88322299236674</c:v>
                </c:pt>
                <c:pt idx="74">
                  <c:v>77.069222467477459</c:v>
                </c:pt>
                <c:pt idx="75">
                  <c:v>77.255824581122795</c:v>
                </c:pt>
                <c:pt idx="76">
                  <c:v>77.443031285852399</c:v>
                </c:pt>
                <c:pt idx="77">
                  <c:v>77.630844540542128</c:v>
                </c:pt>
                <c:pt idx="78">
                  <c:v>77.819266310414605</c:v>
                </c:pt>
                <c:pt idx="79">
                  <c:v>78.008298567059796</c:v>
                </c:pt>
                <c:pt idx="80">
                  <c:v>78.197943288455676</c:v>
                </c:pt>
                <c:pt idx="81">
                  <c:v>78.388202458988715</c:v>
                </c:pt>
                <c:pt idx="82">
                  <c:v>78.579078069474988</c:v>
                </c:pt>
                <c:pt idx="83">
                  <c:v>78.770572117180635</c:v>
                </c:pt>
                <c:pt idx="84">
                  <c:v>78.962686605843089</c:v>
                </c:pt>
                <c:pt idx="85">
                  <c:v>79.155423545691818</c:v>
                </c:pt>
                <c:pt idx="86">
                  <c:v>79.348784953469462</c:v>
                </c:pt>
                <c:pt idx="87">
                  <c:v>79.542772852452885</c:v>
                </c:pt>
                <c:pt idx="88">
                  <c:v>79.737389272474374</c:v>
                </c:pt>
                <c:pt idx="89">
                  <c:v>79.932636249942931</c:v>
                </c:pt>
                <c:pt idx="90">
                  <c:v>80.128515827865456</c:v>
                </c:pt>
                <c:pt idx="91">
                  <c:v>80.325030055868211</c:v>
                </c:pt>
                <c:pt idx="92">
                  <c:v>80.522180990218288</c:v>
                </c:pt>
                <c:pt idx="93">
                  <c:v>80.719970693845028</c:v>
                </c:pt>
                <c:pt idx="94">
                  <c:v>80.918401236361703</c:v>
                </c:pt>
                <c:pt idx="95">
                  <c:v>81.117474694087122</c:v>
                </c:pt>
                <c:pt idx="96">
                  <c:v>81.317193150067411</c:v>
                </c:pt>
                <c:pt idx="97">
                  <c:v>81.517558694097687</c:v>
                </c:pt>
                <c:pt idx="98">
                  <c:v>81.718573422744072</c:v>
                </c:pt>
                <c:pt idx="99">
                  <c:v>81.920239439365517</c:v>
                </c:pt>
                <c:pt idx="100">
                  <c:v>82.122558854135917</c:v>
                </c:pt>
                <c:pt idx="101">
                  <c:v>82.325533784066096</c:v>
                </c:pt>
                <c:pt idx="102">
                  <c:v>82.529166353026</c:v>
                </c:pt>
                <c:pt idx="103">
                  <c:v>82.733458691766899</c:v>
                </c:pt>
                <c:pt idx="104">
                  <c:v>82.938412937943752</c:v>
                </c:pt>
                <c:pt idx="105">
                  <c:v>83.144031236137451</c:v>
                </c:pt>
                <c:pt idx="106">
                  <c:v>83.350315737877409</c:v>
                </c:pt>
                <c:pt idx="107">
                  <c:v>83.557268601663921</c:v>
                </c:pt>
                <c:pt idx="108">
                  <c:v>83.764891992990883</c:v>
                </c:pt>
                <c:pt idx="109">
                  <c:v>83.97318808436836</c:v>
                </c:pt>
                <c:pt idx="110">
                  <c:v>84.182159055345394</c:v>
                </c:pt>
                <c:pt idx="111">
                  <c:v>84.39180709253273</c:v>
                </c:pt>
                <c:pt idx="112">
                  <c:v>84.602134389625718</c:v>
                </c:pt>
                <c:pt idx="113">
                  <c:v>84.81314314742734</c:v>
                </c:pt>
                <c:pt idx="114">
                  <c:v>85.024835573871144</c:v>
                </c:pt>
                <c:pt idx="115">
                  <c:v>85.237213884044408</c:v>
                </c:pt>
                <c:pt idx="116">
                  <c:v>85.45028030021129</c:v>
                </c:pt>
                <c:pt idx="117">
                  <c:v>85.664037051836047</c:v>
                </c:pt>
                <c:pt idx="118">
                  <c:v>85.878486375606442</c:v>
                </c:pt>
                <c:pt idx="119">
                  <c:v>86.093630515457136</c:v>
                </c:pt>
                <c:pt idx="120">
                  <c:v>86.309471722593088</c:v>
                </c:pt>
                <c:pt idx="121">
                  <c:v>86.52601225551318</c:v>
                </c:pt>
                <c:pt idx="122">
                  <c:v>86.74325438003379</c:v>
                </c:pt>
                <c:pt idx="123">
                  <c:v>86.961200369312692</c:v>
                </c:pt>
                <c:pt idx="124">
                  <c:v>87.179852503872553</c:v>
                </c:pt>
                <c:pt idx="125">
                  <c:v>87.399213071624942</c:v>
                </c:pt>
                <c:pt idx="126">
                  <c:v>87.619284367894295</c:v>
                </c:pt>
                <c:pt idx="127">
                  <c:v>87.840068695441971</c:v>
                </c:pt>
                <c:pt idx="128">
                  <c:v>88.061568364490171</c:v>
                </c:pt>
                <c:pt idx="129">
                  <c:v>88.28378569274625</c:v>
                </c:pt>
                <c:pt idx="130">
                  <c:v>88.506723005426977</c:v>
                </c:pt>
                <c:pt idx="131">
                  <c:v>88.730382635282794</c:v>
                </c:pt>
                <c:pt idx="132">
                  <c:v>88.954766922622269</c:v>
                </c:pt>
                <c:pt idx="133">
                  <c:v>89.179878215336515</c:v>
                </c:pt>
                <c:pt idx="134">
                  <c:v>89.405718868923913</c:v>
                </c:pt>
                <c:pt idx="135">
                  <c:v>89.632291246514612</c:v>
                </c:pt>
                <c:pt idx="136">
                  <c:v>89.859597718895301</c:v>
                </c:pt>
                <c:pt idx="137">
                  <c:v>90.087640664534021</c:v>
                </c:pt>
                <c:pt idx="138">
                  <c:v>90.316422469605044</c:v>
                </c:pt>
                <c:pt idx="139">
                  <c:v>90.545945528013931</c:v>
                </c:pt>
                <c:pt idx="140">
                  <c:v>90.776212241422357</c:v>
                </c:pt>
                <c:pt idx="141">
                  <c:v>91.007225019273534</c:v>
                </c:pt>
                <c:pt idx="142">
                  <c:v>91.238986278817137</c:v>
                </c:pt>
                <c:pt idx="143">
                  <c:v>91.471498445134785</c:v>
                </c:pt>
                <c:pt idx="144">
                  <c:v>91.704763951165475</c:v>
                </c:pt>
                <c:pt idx="145">
                  <c:v>91.938785237730727</c:v>
                </c:pt>
                <c:pt idx="146">
                  <c:v>92.173564753560484</c:v>
                </c:pt>
                <c:pt idx="147">
                  <c:v>92.409104955318512</c:v>
                </c:pt>
                <c:pt idx="148">
                  <c:v>92.645408307628159</c:v>
                </c:pt>
                <c:pt idx="149">
                  <c:v>92.882477283098183</c:v>
                </c:pt>
                <c:pt idx="150">
                  <c:v>93.120314362348623</c:v>
                </c:pt>
                <c:pt idx="151">
                  <c:v>93.358922034036681</c:v>
                </c:pt>
                <c:pt idx="152">
                  <c:v>93.598302794882798</c:v>
                </c:pt>
                <c:pt idx="153">
                  <c:v>93.838459149696902</c:v>
                </c:pt>
                <c:pt idx="154">
                  <c:v>94.079393611404342</c:v>
                </c:pt>
                <c:pt idx="155">
                  <c:v>94.32110870107249</c:v>
                </c:pt>
                <c:pt idx="156">
                  <c:v>94.563606947936904</c:v>
                </c:pt>
                <c:pt idx="157">
                  <c:v>94.806890889427919</c:v>
                </c:pt>
                <c:pt idx="158">
                  <c:v>95.050963071197074</c:v>
                </c:pt>
                <c:pt idx="159">
                  <c:v>95.29582604714389</c:v>
                </c:pt>
                <c:pt idx="160">
                  <c:v>95.541482379442527</c:v>
                </c:pt>
                <c:pt idx="161">
                  <c:v>95.78793463856853</c:v>
                </c:pt>
                <c:pt idx="162">
                  <c:v>96.035185403325869</c:v>
                </c:pt>
                <c:pt idx="163">
                  <c:v>96.283237260873761</c:v>
                </c:pt>
                <c:pt idx="164">
                  <c:v>96.532092806753894</c:v>
                </c:pt>
                <c:pt idx="165">
                  <c:v>96.781754644917427</c:v>
                </c:pt>
                <c:pt idx="166">
                  <c:v>97.032225387752447</c:v>
                </c:pt>
                <c:pt idx="167">
                  <c:v>97.283507656111041</c:v>
                </c:pt>
                <c:pt idx="168">
                  <c:v>97.535604079336963</c:v>
                </c:pt>
                <c:pt idx="169">
                  <c:v>97.788517295293047</c:v>
                </c:pt>
                <c:pt idx="170">
                  <c:v>98.042249950388722</c:v>
                </c:pt>
                <c:pt idx="171">
                  <c:v>98.29680469960789</c:v>
                </c:pt>
                <c:pt idx="172">
                  <c:v>98.552184206536481</c:v>
                </c:pt>
                <c:pt idx="173">
                  <c:v>98.808391143390566</c:v>
                </c:pt>
                <c:pt idx="174">
                  <c:v>99.065428191044163</c:v>
                </c:pt>
                <c:pt idx="175">
                  <c:v>99.323298039057278</c:v>
                </c:pt>
                <c:pt idx="176">
                  <c:v>99.582003385704127</c:v>
                </c:pt>
                <c:pt idx="177">
                  <c:v>99.841546938001358</c:v>
                </c:pt>
                <c:pt idx="178">
                  <c:v>100.10193141173635</c:v>
                </c:pt>
                <c:pt idx="179">
                  <c:v>100.36315953149561</c:v>
                </c:pt>
                <c:pt idx="180">
                  <c:v>100.62523403069326</c:v>
                </c:pt>
                <c:pt idx="181">
                  <c:v>100.88815765159987</c:v>
                </c:pt>
                <c:pt idx="182">
                  <c:v>101.15193314537076</c:v>
                </c:pt>
                <c:pt idx="183">
                  <c:v>101.41656327207514</c:v>
                </c:pt>
                <c:pt idx="184">
                  <c:v>101.6820508007248</c:v>
                </c:pt>
                <c:pt idx="185">
                  <c:v>101.9483985093031</c:v>
                </c:pt>
                <c:pt idx="186">
                  <c:v>102.21560918479408</c:v>
                </c:pt>
                <c:pt idx="187">
                  <c:v>102.48368562321166</c:v>
                </c:pt>
                <c:pt idx="188">
                  <c:v>102.75263062962877</c:v>
                </c:pt>
                <c:pt idx="189">
                  <c:v>103.02244701820695</c:v>
                </c:pt>
                <c:pt idx="190">
                  <c:v>103.29313761222538</c:v>
                </c:pt>
                <c:pt idx="191">
                  <c:v>103.56470524411083</c:v>
                </c:pt>
                <c:pt idx="192">
                  <c:v>103.83715275546705</c:v>
                </c:pt>
                <c:pt idx="193">
                  <c:v>104.11048299710477</c:v>
                </c:pt>
                <c:pt idx="194">
                  <c:v>104.3846988290711</c:v>
                </c:pt>
                <c:pt idx="195">
                  <c:v>104.65980312067985</c:v>
                </c:pt>
                <c:pt idx="196">
                  <c:v>104.93579875054138</c:v>
                </c:pt>
                <c:pt idx="197">
                  <c:v>105.21268860659279</c:v>
                </c:pt>
                <c:pt idx="198">
                  <c:v>105.49047558612808</c:v>
                </c:pt>
                <c:pt idx="199">
                  <c:v>105.7691625958284</c:v>
                </c:pt>
                <c:pt idx="200">
                  <c:v>106.04875255179272</c:v>
                </c:pt>
                <c:pt idx="201">
                  <c:v>106.32924837956799</c:v>
                </c:pt>
                <c:pt idx="202">
                  <c:v>106.61065301418004</c:v>
                </c:pt>
                <c:pt idx="203">
                  <c:v>106.8929694001642</c:v>
                </c:pt>
                <c:pt idx="204">
                  <c:v>107.17620049159609</c:v>
                </c:pt>
                <c:pt idx="205">
                  <c:v>107.46034925212241</c:v>
                </c:pt>
                <c:pt idx="206">
                  <c:v>107.74541865499229</c:v>
                </c:pt>
                <c:pt idx="207">
                  <c:v>108.03141168308808</c:v>
                </c:pt>
                <c:pt idx="208">
                  <c:v>108.31833132895665</c:v>
                </c:pt>
                <c:pt idx="209">
                  <c:v>108.60618059484075</c:v>
                </c:pt>
                <c:pt idx="210">
                  <c:v>108.89496249271042</c:v>
                </c:pt>
                <c:pt idx="211">
                  <c:v>109.1846800442945</c:v>
                </c:pt>
                <c:pt idx="212">
                  <c:v>109.47533628111216</c:v>
                </c:pt>
                <c:pt idx="213">
                  <c:v>109.76693424450477</c:v>
                </c:pt>
                <c:pt idx="214">
                  <c:v>110.05947698566763</c:v>
                </c:pt>
                <c:pt idx="215">
                  <c:v>110.35296756568187</c:v>
                </c:pt>
                <c:pt idx="216">
                  <c:v>110.64740905554662</c:v>
                </c:pt>
                <c:pt idx="217">
                  <c:v>110.94280453621097</c:v>
                </c:pt>
                <c:pt idx="218">
                  <c:v>111.23915709860633</c:v>
                </c:pt>
                <c:pt idx="219">
                  <c:v>111.5364698436787</c:v>
                </c:pt>
                <c:pt idx="220">
                  <c:v>111.83474588242119</c:v>
                </c:pt>
                <c:pt idx="221">
                  <c:v>112.13398833590651</c:v>
                </c:pt>
                <c:pt idx="222">
                  <c:v>112.43420033531963</c:v>
                </c:pt>
                <c:pt idx="223">
                  <c:v>112.73538502199057</c:v>
                </c:pt>
                <c:pt idx="224">
                  <c:v>113.03754554742736</c:v>
                </c:pt>
                <c:pt idx="225">
                  <c:v>113.34068507334875</c:v>
                </c:pt>
                <c:pt idx="226">
                  <c:v>113.64480677171753</c:v>
                </c:pt>
                <c:pt idx="227">
                  <c:v>113.94991382477374</c:v>
                </c:pt>
                <c:pt idx="228">
                  <c:v>114.2560094250678</c:v>
                </c:pt>
                <c:pt idx="229">
                  <c:v>114.56309677549397</c:v>
                </c:pt>
                <c:pt idx="230">
                  <c:v>114.87117908932402</c:v>
                </c:pt>
                <c:pt idx="231">
                  <c:v>115.18025959024051</c:v>
                </c:pt>
                <c:pt idx="232">
                  <c:v>115.49034151237095</c:v>
                </c:pt>
                <c:pt idx="233">
                  <c:v>115.80142810032133</c:v>
                </c:pt>
                <c:pt idx="234">
                  <c:v>116.11352260921016</c:v>
                </c:pt>
                <c:pt idx="235">
                  <c:v>116.42662830470258</c:v>
                </c:pt>
                <c:pt idx="236">
                  <c:v>116.74074846304444</c:v>
                </c:pt>
                <c:pt idx="237">
                  <c:v>117.05588637109665</c:v>
                </c:pt>
                <c:pt idx="238">
                  <c:v>117.3720453263696</c:v>
                </c:pt>
                <c:pt idx="239">
                  <c:v>117.68922863705751</c:v>
                </c:pt>
                <c:pt idx="240">
                  <c:v>118.00743962207332</c:v>
                </c:pt>
                <c:pt idx="241">
                  <c:v>118.32668161108305</c:v>
                </c:pt>
                <c:pt idx="242">
                  <c:v>118.64695794454099</c:v>
                </c:pt>
                <c:pt idx="243">
                  <c:v>118.96827197372446</c:v>
                </c:pt>
                <c:pt idx="244">
                  <c:v>119.2906270607689</c:v>
                </c:pt>
                <c:pt idx="245">
                  <c:v>119.61402657870315</c:v>
                </c:pt>
                <c:pt idx="246">
                  <c:v>119.93847391148455</c:v>
                </c:pt>
                <c:pt idx="247">
                  <c:v>120.2639724540346</c:v>
                </c:pt>
                <c:pt idx="248">
                  <c:v>120.59052561227425</c:v>
                </c:pt>
                <c:pt idx="249">
                  <c:v>120.91813680315963</c:v>
                </c:pt>
                <c:pt idx="250">
                  <c:v>121.24680945471786</c:v>
                </c:pt>
                <c:pt idx="251">
                  <c:v>121.57654700608293</c:v>
                </c:pt>
                <c:pt idx="252">
                  <c:v>121.90735290753148</c:v>
                </c:pt>
                <c:pt idx="253">
                  <c:v>122.23923062051917</c:v>
                </c:pt>
                <c:pt idx="254">
                  <c:v>122.57218361771673</c:v>
                </c:pt>
                <c:pt idx="255">
                  <c:v>122.90621538304639</c:v>
                </c:pt>
                <c:pt idx="256">
                  <c:v>123.24132941171825</c:v>
                </c:pt>
                <c:pt idx="257">
                  <c:v>123.57752921026687</c:v>
                </c:pt>
                <c:pt idx="258">
                  <c:v>123.91481829658805</c:v>
                </c:pt>
                <c:pt idx="259">
                  <c:v>124.25320019997555</c:v>
                </c:pt>
                <c:pt idx="260">
                  <c:v>124.59267846115807</c:v>
                </c:pt>
                <c:pt idx="261">
                  <c:v>124.93325663233627</c:v>
                </c:pt>
                <c:pt idx="262">
                  <c:v>125.2749382772198</c:v>
                </c:pt>
                <c:pt idx="263">
                  <c:v>125.61772697106501</c:v>
                </c:pt>
                <c:pt idx="264">
                  <c:v>125.96162630071188</c:v>
                </c:pt>
                <c:pt idx="265">
                  <c:v>126.3066398646218</c:v>
                </c:pt>
                <c:pt idx="266">
                  <c:v>126.65277127291522</c:v>
                </c:pt>
                <c:pt idx="267">
                  <c:v>127.00002414740931</c:v>
                </c:pt>
                <c:pt idx="268">
                  <c:v>127.34840212165602</c:v>
                </c:pt>
                <c:pt idx="269">
                  <c:v>127.69790884097998</c:v>
                </c:pt>
                <c:pt idx="270">
                  <c:v>128.04854796251664</c:v>
                </c:pt>
                <c:pt idx="271">
                  <c:v>128.40032315525053</c:v>
                </c:pt>
                <c:pt idx="272">
                  <c:v>128.75323810005398</c:v>
                </c:pt>
                <c:pt idx="273">
                  <c:v>129.10729648972492</c:v>
                </c:pt>
                <c:pt idx="274">
                  <c:v>129.46250202902627</c:v>
                </c:pt>
                <c:pt idx="275">
                  <c:v>129.81885843472426</c:v>
                </c:pt>
                <c:pt idx="276">
                  <c:v>130.17636943562741</c:v>
                </c:pt>
                <c:pt idx="277">
                  <c:v>130.5350387726258</c:v>
                </c:pt>
                <c:pt idx="278">
                  <c:v>130.89487019872971</c:v>
                </c:pt>
                <c:pt idx="279">
                  <c:v>131.25586747910938</c:v>
                </c:pt>
                <c:pt idx="280">
                  <c:v>131.61803439113407</c:v>
                </c:pt>
                <c:pt idx="281">
                  <c:v>131.98137472441186</c:v>
                </c:pt>
                <c:pt idx="282">
                  <c:v>132.34589228082908</c:v>
                </c:pt>
                <c:pt idx="283">
                  <c:v>132.71159087459017</c:v>
                </c:pt>
                <c:pt idx="284">
                  <c:v>133.07847433225763</c:v>
                </c:pt>
                <c:pt idx="285">
                  <c:v>133.44654649279195</c:v>
                </c:pt>
                <c:pt idx="286">
                  <c:v>133.81581120759205</c:v>
                </c:pt>
                <c:pt idx="287">
                  <c:v>134.18627234053514</c:v>
                </c:pt>
                <c:pt idx="288">
                  <c:v>134.55793376801762</c:v>
                </c:pt>
                <c:pt idx="289">
                  <c:v>134.93079937899523</c:v>
                </c:pt>
                <c:pt idx="290">
                  <c:v>135.30487307502406</c:v>
                </c:pt>
                <c:pt idx="291">
                  <c:v>135.6801587703012</c:v>
                </c:pt>
                <c:pt idx="292">
                  <c:v>136.05666039170572</c:v>
                </c:pt>
                <c:pt idx="293">
                  <c:v>136.43438187883987</c:v>
                </c:pt>
                <c:pt idx="294">
                  <c:v>136.81332718407012</c:v>
                </c:pt>
                <c:pt idx="295">
                  <c:v>137.19350027256866</c:v>
                </c:pt>
                <c:pt idx="296">
                  <c:v>137.57490512235481</c:v>
                </c:pt>
                <c:pt idx="297">
                  <c:v>137.95754572433665</c:v>
                </c:pt>
                <c:pt idx="298">
                  <c:v>138.341426082353</c:v>
                </c:pt>
                <c:pt idx="299">
                  <c:v>138.72655021321486</c:v>
                </c:pt>
                <c:pt idx="300">
                  <c:v>139.11292214674791</c:v>
                </c:pt>
                <c:pt idx="301">
                  <c:v>139.5005459258343</c:v>
                </c:pt>
                <c:pt idx="302">
                  <c:v>139.88942560645526</c:v>
                </c:pt>
                <c:pt idx="303">
                  <c:v>140.27956525773331</c:v>
                </c:pt>
                <c:pt idx="304">
                  <c:v>140.67096896197498</c:v>
                </c:pt>
                <c:pt idx="305">
                  <c:v>141.06364081471352</c:v>
                </c:pt>
                <c:pt idx="306">
                  <c:v>141.45758492475161</c:v>
                </c:pt>
                <c:pt idx="307">
                  <c:v>141.85280541420457</c:v>
                </c:pt>
                <c:pt idx="308">
                  <c:v>142.24930641854326</c:v>
                </c:pt>
                <c:pt idx="309">
                  <c:v>142.64709208663754</c:v>
                </c:pt>
                <c:pt idx="310">
                  <c:v>143.04616658079959</c:v>
                </c:pt>
                <c:pt idx="311">
                  <c:v>143.44653407682756</c:v>
                </c:pt>
                <c:pt idx="312">
                  <c:v>143.84819876404907</c:v>
                </c:pt>
                <c:pt idx="313">
                  <c:v>144.25116484536525</c:v>
                </c:pt>
                <c:pt idx="314">
                  <c:v>144.65543653729463</c:v>
                </c:pt>
                <c:pt idx="315">
                  <c:v>145.06101807001724</c:v>
                </c:pt>
                <c:pt idx="316">
                  <c:v>145.46791368741887</c:v>
                </c:pt>
                <c:pt idx="317">
                  <c:v>145.87612764713558</c:v>
                </c:pt>
                <c:pt idx="318">
                  <c:v>146.28566422059814</c:v>
                </c:pt>
                <c:pt idx="319">
                  <c:v>146.69652769307675</c:v>
                </c:pt>
                <c:pt idx="320">
                  <c:v>147.10872236372592</c:v>
                </c:pt>
                <c:pt idx="321">
                  <c:v>147.52225254562933</c:v>
                </c:pt>
                <c:pt idx="322">
                  <c:v>147.93712256584521</c:v>
                </c:pt>
                <c:pt idx="323">
                  <c:v>148.35333676545136</c:v>
                </c:pt>
                <c:pt idx="324">
                  <c:v>148.77089949959077</c:v>
                </c:pt>
                <c:pt idx="325">
                  <c:v>149.18981513751694</c:v>
                </c:pt>
                <c:pt idx="326">
                  <c:v>149.61008806263985</c:v>
                </c:pt>
                <c:pt idx="327">
                  <c:v>150.03172267257182</c:v>
                </c:pt>
                <c:pt idx="328">
                  <c:v>150.45472337917326</c:v>
                </c:pt>
                <c:pt idx="329">
                  <c:v>150.87909460859916</c:v>
                </c:pt>
                <c:pt idx="330">
                  <c:v>151.30484080134519</c:v>
                </c:pt>
                <c:pt idx="331">
                  <c:v>151.73196641229427</c:v>
                </c:pt>
                <c:pt idx="332">
                  <c:v>152.1604759107631</c:v>
                </c:pt>
                <c:pt idx="333">
                  <c:v>152.59037378054899</c:v>
                </c:pt>
                <c:pt idx="334">
                  <c:v>153.02166451997678</c:v>
                </c:pt>
                <c:pt idx="335">
                  <c:v>153.45435264194586</c:v>
                </c:pt>
                <c:pt idx="336">
                  <c:v>153.88844267397744</c:v>
                </c:pt>
                <c:pt idx="337">
                  <c:v>154.32393915826191</c:v>
                </c:pt>
                <c:pt idx="338">
                  <c:v>154.76084665170629</c:v>
                </c:pt>
                <c:pt idx="339">
                  <c:v>155.1991697259821</c:v>
                </c:pt>
                <c:pt idx="340">
                  <c:v>155.63891296757302</c:v>
                </c:pt>
                <c:pt idx="341">
                  <c:v>156.08008097782292</c:v>
                </c:pt>
                <c:pt idx="342">
                  <c:v>156.52267837298405</c:v>
                </c:pt>
                <c:pt idx="343">
                  <c:v>156.96670978426536</c:v>
                </c:pt>
                <c:pt idx="344">
                  <c:v>157.41217985788091</c:v>
                </c:pt>
                <c:pt idx="345">
                  <c:v>157.85909325509843</c:v>
                </c:pt>
                <c:pt idx="346">
                  <c:v>158.30745465228827</c:v>
                </c:pt>
                <c:pt idx="347">
                  <c:v>158.75726874097214</c:v>
                </c:pt>
                <c:pt idx="348">
                  <c:v>159.20854022787231</c:v>
                </c:pt>
                <c:pt idx="349">
                  <c:v>159.66127383496084</c:v>
                </c:pt>
                <c:pt idx="350">
                  <c:v>160.11547429950903</c:v>
                </c:pt>
                <c:pt idx="351">
                  <c:v>160.57114637413687</c:v>
                </c:pt>
                <c:pt idx="352">
                  <c:v>161.02829482686289</c:v>
                </c:pt>
                <c:pt idx="353">
                  <c:v>161.48692444115403</c:v>
                </c:pt>
                <c:pt idx="354">
                  <c:v>161.9470400159756</c:v>
                </c:pt>
                <c:pt idx="355">
                  <c:v>162.40864636584161</c:v>
                </c:pt>
                <c:pt idx="356">
                  <c:v>162.87174832086504</c:v>
                </c:pt>
                <c:pt idx="357">
                  <c:v>163.33635072680858</c:v>
                </c:pt>
                <c:pt idx="358">
                  <c:v>163.80245844513502</c:v>
                </c:pt>
                <c:pt idx="359">
                  <c:v>164.27007635305841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'Fuel Cost Risk Sim'!$D$239</c:f>
              <c:strCache>
                <c:ptCount val="1"/>
                <c:pt idx="0">
                  <c:v>Henry Hub Linked Gas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Sim'!$E$239:$MZ$239</c:f>
              <c:numCache>
                <c:formatCode>_("$"* #,##0.00_);_("$"* \(#,##0.00\);_("$"* "-"??_);_(@_)</c:formatCode>
                <c:ptCount val="360"/>
                <c:pt idx="0">
                  <c:v>57.396960000000007</c:v>
                </c:pt>
                <c:pt idx="1">
                  <c:v>57.438169055055404</c:v>
                </c:pt>
                <c:pt idx="2">
                  <c:v>57.479511605241555</c:v>
                </c:pt>
                <c:pt idx="3">
                  <c:v>57.520988083010756</c:v>
                </c:pt>
                <c:pt idx="4">
                  <c:v>57.562598922216189</c:v>
                </c:pt>
                <c:pt idx="5">
                  <c:v>57.604344558116509</c:v>
                </c:pt>
                <c:pt idx="6">
                  <c:v>57.646225427380351</c:v>
                </c:pt>
                <c:pt idx="7">
                  <c:v>57.688241968090949</c:v>
                </c:pt>
                <c:pt idx="8">
                  <c:v>57.730394619750662</c:v>
                </c:pt>
                <c:pt idx="9">
                  <c:v>57.772683823285639</c:v>
                </c:pt>
                <c:pt idx="10">
                  <c:v>57.815110021050344</c:v>
                </c:pt>
                <c:pt idx="11">
                  <c:v>57.857673656832269</c:v>
                </c:pt>
                <c:pt idx="12">
                  <c:v>57.900375175856524</c:v>
                </c:pt>
                <c:pt idx="13">
                  <c:v>57.94321502479049</c:v>
                </c:pt>
                <c:pt idx="14">
                  <c:v>57.98619365174855</c:v>
                </c:pt>
                <c:pt idx="15">
                  <c:v>58.029311506296715</c:v>
                </c:pt>
                <c:pt idx="16">
                  <c:v>58.072569039457342</c:v>
                </c:pt>
                <c:pt idx="17">
                  <c:v>58.115966703713838</c:v>
                </c:pt>
                <c:pt idx="18">
                  <c:v>58.159504953015464</c:v>
                </c:pt>
                <c:pt idx="19">
                  <c:v>58.203184242782008</c:v>
                </c:pt>
                <c:pt idx="20">
                  <c:v>58.247005029908557</c:v>
                </c:pt>
                <c:pt idx="21">
                  <c:v>58.290967772770315</c:v>
                </c:pt>
                <c:pt idx="22">
                  <c:v>58.335072931227344</c:v>
                </c:pt>
                <c:pt idx="23">
                  <c:v>58.379320966629443</c:v>
                </c:pt>
                <c:pt idx="24">
                  <c:v>58.423712341820902</c:v>
                </c:pt>
                <c:pt idx="25">
                  <c:v>58.468247521145422</c:v>
                </c:pt>
                <c:pt idx="26">
                  <c:v>58.512926970450863</c:v>
                </c:pt>
                <c:pt idx="27">
                  <c:v>58.557751157094238</c:v>
                </c:pt>
                <c:pt idx="28">
                  <c:v>58.602720549946504</c:v>
                </c:pt>
                <c:pt idx="29">
                  <c:v>58.647835619397554</c:v>
                </c:pt>
                <c:pt idx="30">
                  <c:v>58.693096837361033</c:v>
                </c:pt>
                <c:pt idx="31">
                  <c:v>58.738504677279373</c:v>
                </c:pt>
                <c:pt idx="32">
                  <c:v>58.784059614128708</c:v>
                </c:pt>
                <c:pt idx="33">
                  <c:v>58.829762124423802</c:v>
                </c:pt>
                <c:pt idx="34">
                  <c:v>58.8756126862231</c:v>
                </c:pt>
                <c:pt idx="35">
                  <c:v>58.921611779133691</c:v>
                </c:pt>
                <c:pt idx="36">
                  <c:v>58.967759884316337</c:v>
                </c:pt>
                <c:pt idx="37">
                  <c:v>59.014057484490479</c:v>
                </c:pt>
                <c:pt idx="38">
                  <c:v>59.060505063939345</c:v>
                </c:pt>
                <c:pt idx="39">
                  <c:v>59.107103108514956</c:v>
                </c:pt>
                <c:pt idx="40">
                  <c:v>59.153852105643239</c:v>
                </c:pt>
                <c:pt idx="41">
                  <c:v>59.200752544329113</c:v>
                </c:pt>
                <c:pt idx="42">
                  <c:v>59.247804915161609</c:v>
                </c:pt>
                <c:pt idx="43">
                  <c:v>59.295009710319007</c:v>
                </c:pt>
                <c:pt idx="44">
                  <c:v>59.342367423573975</c:v>
                </c:pt>
                <c:pt idx="45">
                  <c:v>59.389878550298739</c:v>
                </c:pt>
                <c:pt idx="46">
                  <c:v>59.437543587470287</c:v>
                </c:pt>
                <c:pt idx="47">
                  <c:v>59.485363033675505</c:v>
                </c:pt>
                <c:pt idx="48">
                  <c:v>59.533337389116454</c:v>
                </c:pt>
                <c:pt idx="49">
                  <c:v>59.581467155615591</c:v>
                </c:pt>
                <c:pt idx="50">
                  <c:v>59.629752836620973</c:v>
                </c:pt>
                <c:pt idx="51">
                  <c:v>59.678194937211579</c:v>
                </c:pt>
                <c:pt idx="52">
                  <c:v>59.726793964102583</c:v>
                </c:pt>
                <c:pt idx="53">
                  <c:v>59.775550425650628</c:v>
                </c:pt>
                <c:pt idx="54">
                  <c:v>59.824464831859153</c:v>
                </c:pt>
                <c:pt idx="55">
                  <c:v>59.873537694383757</c:v>
                </c:pt>
                <c:pt idx="56">
                  <c:v>59.922769526537486</c:v>
                </c:pt>
                <c:pt idx="57">
                  <c:v>59.972160843296294</c:v>
                </c:pt>
                <c:pt idx="58">
                  <c:v>60.021712161304343</c:v>
                </c:pt>
                <c:pt idx="59">
                  <c:v>60.071423998879439</c:v>
                </c:pt>
                <c:pt idx="60">
                  <c:v>60.121296876018533</c:v>
                </c:pt>
                <c:pt idx="61">
                  <c:v>60.171331314402963</c:v>
                </c:pt>
                <c:pt idx="62">
                  <c:v>60.221527837404111</c:v>
                </c:pt>
                <c:pt idx="63">
                  <c:v>60.271886970088822</c:v>
                </c:pt>
                <c:pt idx="64">
                  <c:v>60.322409239224811</c:v>
                </c:pt>
                <c:pt idx="65">
                  <c:v>60.373095173286288</c:v>
                </c:pt>
                <c:pt idx="66">
                  <c:v>60.423945302459387</c:v>
                </c:pt>
                <c:pt idx="67">
                  <c:v>60.474960158647782</c:v>
                </c:pt>
                <c:pt idx="68">
                  <c:v>60.526140275478269</c:v>
                </c:pt>
                <c:pt idx="69">
                  <c:v>60.577486188306224</c:v>
                </c:pt>
                <c:pt idx="70">
                  <c:v>60.628998434221366</c:v>
                </c:pt>
                <c:pt idx="71">
                  <c:v>60.680677552053233</c:v>
                </c:pt>
                <c:pt idx="72">
                  <c:v>60.732524082376933</c:v>
                </c:pt>
                <c:pt idx="73">
                  <c:v>60.784538567518702</c:v>
                </c:pt>
                <c:pt idx="74">
                  <c:v>60.836721551561645</c:v>
                </c:pt>
                <c:pt idx="75">
                  <c:v>60.889073580351386</c:v>
                </c:pt>
                <c:pt idx="76">
                  <c:v>60.941595201501833</c:v>
                </c:pt>
                <c:pt idx="77">
                  <c:v>60.994286964400821</c:v>
                </c:pt>
                <c:pt idx="78">
                  <c:v>61.047149420215938</c:v>
                </c:pt>
                <c:pt idx="79">
                  <c:v>61.100183121900237</c:v>
                </c:pt>
                <c:pt idx="80">
                  <c:v>61.153388624198037</c:v>
                </c:pt>
                <c:pt idx="81">
                  <c:v>61.206766483650767</c:v>
                </c:pt>
                <c:pt idx="82">
                  <c:v>61.260317258602711</c:v>
                </c:pt>
                <c:pt idx="83">
                  <c:v>61.314041509206923</c:v>
                </c:pt>
                <c:pt idx="84">
                  <c:v>61.367939797430992</c:v>
                </c:pt>
                <c:pt idx="85">
                  <c:v>61.422012687063038</c:v>
                </c:pt>
                <c:pt idx="86">
                  <c:v>61.476260743717539</c:v>
                </c:pt>
                <c:pt idx="87">
                  <c:v>61.530684534841235</c:v>
                </c:pt>
                <c:pt idx="88">
                  <c:v>61.585284629719112</c:v>
                </c:pt>
                <c:pt idx="89">
                  <c:v>61.640061599480319</c:v>
                </c:pt>
                <c:pt idx="90">
                  <c:v>61.695016017104159</c:v>
                </c:pt>
                <c:pt idx="91">
                  <c:v>61.750148457426086</c:v>
                </c:pt>
                <c:pt idx="92">
                  <c:v>61.805459497143708</c:v>
                </c:pt>
                <c:pt idx="93">
                  <c:v>61.860949714822802</c:v>
                </c:pt>
                <c:pt idx="94">
                  <c:v>61.91661969090341</c:v>
                </c:pt>
                <c:pt idx="95">
                  <c:v>61.972470007705887</c:v>
                </c:pt>
                <c:pt idx="96">
                  <c:v>62.028501249436985</c:v>
                </c:pt>
                <c:pt idx="97">
                  <c:v>62.084714002195959</c:v>
                </c:pt>
                <c:pt idx="98">
                  <c:v>62.141108853980754</c:v>
                </c:pt>
                <c:pt idx="99">
                  <c:v>62.197686394694045</c:v>
                </c:pt>
                <c:pt idx="100">
                  <c:v>62.254447216149543</c:v>
                </c:pt>
                <c:pt idx="101">
                  <c:v>62.311391912078051</c:v>
                </c:pt>
                <c:pt idx="102">
                  <c:v>62.368521078133789</c:v>
                </c:pt>
                <c:pt idx="103">
                  <c:v>62.425835311900542</c:v>
                </c:pt>
                <c:pt idx="104">
                  <c:v>62.483335212897991</c:v>
                </c:pt>
                <c:pt idx="105">
                  <c:v>62.541021382587878</c:v>
                </c:pt>
                <c:pt idx="106">
                  <c:v>62.598894424380404</c:v>
                </c:pt>
                <c:pt idx="107">
                  <c:v>62.656954943640457</c:v>
                </c:pt>
                <c:pt idx="108">
                  <c:v>62.71520354769401</c:v>
                </c:pt>
                <c:pt idx="109">
                  <c:v>62.773640845834443</c:v>
                </c:pt>
                <c:pt idx="110">
                  <c:v>62.832267449328896</c:v>
                </c:pt>
                <c:pt idx="111">
                  <c:v>62.89108397142472</c:v>
                </c:pt>
                <c:pt idx="112">
                  <c:v>62.950091027355796</c:v>
                </c:pt>
                <c:pt idx="113">
                  <c:v>63.009289234349119</c:v>
                </c:pt>
                <c:pt idx="114">
                  <c:v>63.068679211631093</c:v>
                </c:pt>
                <c:pt idx="115">
                  <c:v>63.128261580434106</c:v>
                </c:pt>
                <c:pt idx="116">
                  <c:v>63.188036964003025</c:v>
                </c:pt>
                <c:pt idx="117">
                  <c:v>63.248005987601637</c:v>
                </c:pt>
                <c:pt idx="118">
                  <c:v>63.308169278519337</c:v>
                </c:pt>
                <c:pt idx="119">
                  <c:v>63.368527466077509</c:v>
                </c:pt>
                <c:pt idx="120">
                  <c:v>63.429081181636256</c:v>
                </c:pt>
                <c:pt idx="121">
                  <c:v>63.48983105860092</c:v>
                </c:pt>
                <c:pt idx="122">
                  <c:v>63.550777732428735</c:v>
                </c:pt>
                <c:pt idx="123">
                  <c:v>63.611921840635532</c:v>
                </c:pt>
                <c:pt idx="124">
                  <c:v>63.673264022802236</c:v>
                </c:pt>
                <c:pt idx="125">
                  <c:v>63.734804920581773</c:v>
                </c:pt>
                <c:pt idx="126">
                  <c:v>63.796545177705646</c:v>
                </c:pt>
                <c:pt idx="127">
                  <c:v>63.858485439990673</c:v>
                </c:pt>
                <c:pt idx="128">
                  <c:v>63.920626355345803</c:v>
                </c:pt>
                <c:pt idx="129">
                  <c:v>63.982968573778848</c:v>
                </c:pt>
                <c:pt idx="130">
                  <c:v>64.045512747403308</c:v>
                </c:pt>
                <c:pt idx="131">
                  <c:v>64.108259530445153</c:v>
                </c:pt>
                <c:pt idx="132">
                  <c:v>64.171209579249719</c:v>
                </c:pt>
                <c:pt idx="133">
                  <c:v>64.234363552288542</c:v>
                </c:pt>
                <c:pt idx="134">
                  <c:v>64.29772211016622</c:v>
                </c:pt>
                <c:pt idx="135">
                  <c:v>64.361285915627406</c:v>
                </c:pt>
                <c:pt idx="136">
                  <c:v>64.425055633563673</c:v>
                </c:pt>
                <c:pt idx="137">
                  <c:v>64.489031931020435</c:v>
                </c:pt>
                <c:pt idx="138">
                  <c:v>64.553215477204049</c:v>
                </c:pt>
                <c:pt idx="139">
                  <c:v>64.617606943488681</c:v>
                </c:pt>
                <c:pt idx="140">
                  <c:v>64.682207003423414</c:v>
                </c:pt>
                <c:pt idx="141">
                  <c:v>64.747016332739264</c:v>
                </c:pt>
                <c:pt idx="142">
                  <c:v>64.812035609356258</c:v>
                </c:pt>
                <c:pt idx="143">
                  <c:v>64.877265513390498</c:v>
                </c:pt>
                <c:pt idx="144">
                  <c:v>64.942706727161337</c:v>
                </c:pt>
                <c:pt idx="145">
                  <c:v>65.008359935198399</c:v>
                </c:pt>
                <c:pt idx="146">
                  <c:v>65.074225824248899</c:v>
                </c:pt>
                <c:pt idx="147">
                  <c:v>65.140305083284687</c:v>
                </c:pt>
                <c:pt idx="148">
                  <c:v>65.206598403509545</c:v>
                </c:pt>
                <c:pt idx="149">
                  <c:v>65.273106478366373</c:v>
                </c:pt>
                <c:pt idx="150">
                  <c:v>65.339830003544407</c:v>
                </c:pt>
                <c:pt idx="151">
                  <c:v>65.406769676986613</c:v>
                </c:pt>
                <c:pt idx="152">
                  <c:v>65.473926198896905</c:v>
                </c:pt>
                <c:pt idx="153">
                  <c:v>65.541300271747417</c:v>
                </c:pt>
                <c:pt idx="154">
                  <c:v>65.608892600285969</c:v>
                </c:pt>
                <c:pt idx="155">
                  <c:v>65.676703891543397</c:v>
                </c:pt>
                <c:pt idx="156">
                  <c:v>65.744734854840871</c:v>
                </c:pt>
                <c:pt idx="157">
                  <c:v>65.812986201797457</c:v>
                </c:pt>
                <c:pt idx="158">
                  <c:v>65.881458646337421</c:v>
                </c:pt>
                <c:pt idx="159">
                  <c:v>65.950152904697802</c:v>
                </c:pt>
                <c:pt idx="160">
                  <c:v>66.019069695435803</c:v>
                </c:pt>
                <c:pt idx="161">
                  <c:v>66.088209739436451</c:v>
                </c:pt>
                <c:pt idx="162">
                  <c:v>66.157573759919984</c:v>
                </c:pt>
                <c:pt idx="163">
                  <c:v>66.227162482449515</c:v>
                </c:pt>
                <c:pt idx="164">
                  <c:v>66.296976634938559</c:v>
                </c:pt>
                <c:pt idx="165">
                  <c:v>66.367016947658726</c:v>
                </c:pt>
                <c:pt idx="166">
                  <c:v>66.437284153247276</c:v>
                </c:pt>
                <c:pt idx="167">
                  <c:v>66.507778986714825</c:v>
                </c:pt>
                <c:pt idx="168">
                  <c:v>66.578502185453047</c:v>
                </c:pt>
                <c:pt idx="169">
                  <c:v>66.649454489242316</c:v>
                </c:pt>
                <c:pt idx="170">
                  <c:v>66.720636640259585</c:v>
                </c:pt>
                <c:pt idx="171">
                  <c:v>66.792049383085967</c:v>
                </c:pt>
                <c:pt idx="172">
                  <c:v>66.863693464714686</c:v>
                </c:pt>
                <c:pt idx="173">
                  <c:v>66.93556963455876</c:v>
                </c:pt>
                <c:pt idx="174">
                  <c:v>67.007678644458963</c:v>
                </c:pt>
                <c:pt idx="175">
                  <c:v>67.080021248691594</c:v>
                </c:pt>
                <c:pt idx="176">
                  <c:v>67.152598203976382</c:v>
                </c:pt>
                <c:pt idx="177">
                  <c:v>67.22541026948447</c:v>
                </c:pt>
                <c:pt idx="178">
                  <c:v>67.298458206846263</c:v>
                </c:pt>
                <c:pt idx="179">
                  <c:v>67.371742780159479</c:v>
                </c:pt>
                <c:pt idx="180">
                  <c:v>67.445264755997044</c:v>
                </c:pt>
                <c:pt idx="181">
                  <c:v>67.519024903415243</c:v>
                </c:pt>
                <c:pt idx="182">
                  <c:v>67.593023993961609</c:v>
                </c:pt>
                <c:pt idx="183">
                  <c:v>67.667262801683123</c:v>
                </c:pt>
                <c:pt idx="184">
                  <c:v>67.741742103134257</c:v>
                </c:pt>
                <c:pt idx="185">
                  <c:v>67.816462677385076</c:v>
                </c:pt>
                <c:pt idx="186">
                  <c:v>67.891425306029433</c:v>
                </c:pt>
                <c:pt idx="187">
                  <c:v>67.966630773193131</c:v>
                </c:pt>
                <c:pt idx="188">
                  <c:v>68.042079865542092</c:v>
                </c:pt>
                <c:pt idx="189">
                  <c:v>68.117773372290642</c:v>
                </c:pt>
                <c:pt idx="190">
                  <c:v>68.193712085209711</c:v>
                </c:pt>
                <c:pt idx="191">
                  <c:v>68.269896798635159</c:v>
                </c:pt>
                <c:pt idx="192">
                  <c:v>68.346328309476036</c:v>
                </c:pt>
                <c:pt idx="193">
                  <c:v>68.423007417222976</c:v>
                </c:pt>
                <c:pt idx="194">
                  <c:v>68.499934923956516</c:v>
                </c:pt>
                <c:pt idx="195">
                  <c:v>68.57711163435556</c:v>
                </c:pt>
                <c:pt idx="196">
                  <c:v>68.654538355705625</c:v>
                </c:pt>
                <c:pt idx="197">
                  <c:v>68.732215897907494</c:v>
                </c:pt>
                <c:pt idx="198">
                  <c:v>68.810145073485543</c:v>
                </c:pt>
                <c:pt idx="199">
                  <c:v>68.888326697596341</c:v>
                </c:pt>
                <c:pt idx="200">
                  <c:v>68.966761588037045</c:v>
                </c:pt>
                <c:pt idx="201">
                  <c:v>69.045450565254086</c:v>
                </c:pt>
                <c:pt idx="202">
                  <c:v>69.124394452351723</c:v>
                </c:pt>
                <c:pt idx="203">
                  <c:v>69.203594075100554</c:v>
                </c:pt>
                <c:pt idx="204">
                  <c:v>69.2830502619463</c:v>
                </c:pt>
                <c:pt idx="205">
                  <c:v>69.362763844018374</c:v>
                </c:pt>
                <c:pt idx="206">
                  <c:v>69.442735655138605</c:v>
                </c:pt>
                <c:pt idx="207">
                  <c:v>69.522966531829908</c:v>
                </c:pt>
                <c:pt idx="208">
                  <c:v>69.603457313325151</c:v>
                </c:pt>
                <c:pt idx="209">
                  <c:v>69.684208841575852</c:v>
                </c:pt>
                <c:pt idx="210">
                  <c:v>69.765221961260963</c:v>
                </c:pt>
                <c:pt idx="211">
                  <c:v>69.846497519795747</c:v>
                </c:pt>
                <c:pt idx="212">
                  <c:v>69.928036367340667</c:v>
                </c:pt>
                <c:pt idx="213">
                  <c:v>70.009839356810218</c:v>
                </c:pt>
                <c:pt idx="214">
                  <c:v>70.091907343881914</c:v>
                </c:pt>
                <c:pt idx="215">
                  <c:v>70.174241187005151</c:v>
                </c:pt>
                <c:pt idx="216">
                  <c:v>70.256841747410277</c:v>
                </c:pt>
                <c:pt idx="217">
                  <c:v>70.339709889117543</c:v>
                </c:pt>
                <c:pt idx="218">
                  <c:v>70.422846478946184</c:v>
                </c:pt>
                <c:pt idx="219">
                  <c:v>70.506252386523414</c:v>
                </c:pt>
                <c:pt idx="220">
                  <c:v>70.589928484293651</c:v>
                </c:pt>
                <c:pt idx="221">
                  <c:v>70.673875647527481</c:v>
                </c:pt>
                <c:pt idx="222">
                  <c:v>70.758094754330926</c:v>
                </c:pt>
                <c:pt idx="223">
                  <c:v>70.842586685654609</c:v>
                </c:pt>
                <c:pt idx="224">
                  <c:v>70.927352325302948</c:v>
                </c:pt>
                <c:pt idx="225">
                  <c:v>71.012392559943436</c:v>
                </c:pt>
                <c:pt idx="226">
                  <c:v>71.097708279115821</c:v>
                </c:pt>
                <c:pt idx="227">
                  <c:v>71.183300375241572</c:v>
                </c:pt>
                <c:pt idx="228">
                  <c:v>71.269169743633057</c:v>
                </c:pt>
                <c:pt idx="229">
                  <c:v>71.355317282503009</c:v>
                </c:pt>
                <c:pt idx="230">
                  <c:v>71.441743892973847</c:v>
                </c:pt>
                <c:pt idx="231">
                  <c:v>71.528450479087184</c:v>
                </c:pt>
                <c:pt idx="232">
                  <c:v>71.61543794781322</c:v>
                </c:pt>
                <c:pt idx="233">
                  <c:v>71.70270720906025</c:v>
                </c:pt>
                <c:pt idx="234">
                  <c:v>71.79025917568417</c:v>
                </c:pt>
                <c:pt idx="235">
                  <c:v>71.878094763498083</c:v>
                </c:pt>
                <c:pt idx="236">
                  <c:v>71.966214891281766</c:v>
                </c:pt>
                <c:pt idx="237">
                  <c:v>72.054620480791399</c:v>
                </c:pt>
                <c:pt idx="238">
                  <c:v>72.143312456769152</c:v>
                </c:pt>
                <c:pt idx="239">
                  <c:v>72.232291746952811</c:v>
                </c:pt>
                <c:pt idx="240">
                  <c:v>72.321559282085616</c:v>
                </c:pt>
                <c:pt idx="241">
                  <c:v>72.411115995925826</c:v>
                </c:pt>
                <c:pt idx="242">
                  <c:v>72.500962825256636</c:v>
                </c:pt>
                <c:pt idx="243">
                  <c:v>72.591100709895883</c:v>
                </c:pt>
                <c:pt idx="244">
                  <c:v>72.681530592705911</c:v>
                </c:pt>
                <c:pt idx="245">
                  <c:v>72.772253419603459</c:v>
                </c:pt>
                <c:pt idx="246">
                  <c:v>72.863270139569465</c:v>
                </c:pt>
                <c:pt idx="247">
                  <c:v>72.95458170465912</c:v>
                </c:pt>
                <c:pt idx="248">
                  <c:v>73.046189070011735</c:v>
                </c:pt>
                <c:pt idx="249">
                  <c:v>73.138093193860726</c:v>
                </c:pt>
                <c:pt idx="250">
                  <c:v>73.230295037543726</c:v>
                </c:pt>
                <c:pt idx="251">
                  <c:v>73.322795565512578</c:v>
                </c:pt>
                <c:pt idx="252">
                  <c:v>73.415595745343325</c:v>
                </c:pt>
                <c:pt idx="253">
                  <c:v>73.508696547746595</c:v>
                </c:pt>
                <c:pt idx="254">
                  <c:v>73.60209894657747</c:v>
                </c:pt>
                <c:pt idx="255">
                  <c:v>73.695803918845883</c:v>
                </c:pt>
                <c:pt idx="256">
                  <c:v>73.789812444726692</c:v>
                </c:pt>
                <c:pt idx="257">
                  <c:v>73.884125507570005</c:v>
                </c:pt>
                <c:pt idx="258">
                  <c:v>73.978744093911473</c:v>
                </c:pt>
                <c:pt idx="259">
                  <c:v>74.073669193482601</c:v>
                </c:pt>
                <c:pt idx="260">
                  <c:v>74.168901799221061</c:v>
                </c:pt>
                <c:pt idx="261">
                  <c:v>74.264442907281122</c:v>
                </c:pt>
                <c:pt idx="262">
                  <c:v>74.360293517044028</c:v>
                </c:pt>
                <c:pt idx="263">
                  <c:v>74.456454631128551</c:v>
                </c:pt>
                <c:pt idx="264">
                  <c:v>74.552927255401315</c:v>
                </c:pt>
                <c:pt idx="265">
                  <c:v>74.649712398987504</c:v>
                </c:pt>
                <c:pt idx="266">
                  <c:v>74.74681107428124</c:v>
                </c:pt>
                <c:pt idx="267">
                  <c:v>74.844224296956298</c:v>
                </c:pt>
                <c:pt idx="268">
                  <c:v>74.941953085976692</c:v>
                </c:pt>
                <c:pt idx="269">
                  <c:v>75.039998463607319</c:v>
                </c:pt>
                <c:pt idx="270">
                  <c:v>75.138361455424686</c:v>
                </c:pt>
                <c:pt idx="271">
                  <c:v>75.23704309032756</c:v>
                </c:pt>
                <c:pt idx="272">
                  <c:v>75.336044400547848</c:v>
                </c:pt>
                <c:pt idx="273">
                  <c:v>75.435366421661271</c:v>
                </c:pt>
                <c:pt idx="274">
                  <c:v>75.535010192598321</c:v>
                </c:pt>
                <c:pt idx="275">
                  <c:v>75.634976755655032</c:v>
                </c:pt>
                <c:pt idx="276">
                  <c:v>75.735267156503909</c:v>
                </c:pt>
                <c:pt idx="277">
                  <c:v>75.835882444204913</c:v>
                </c:pt>
                <c:pt idx="278">
                  <c:v>75.936823671216317</c:v>
                </c:pt>
                <c:pt idx="279">
                  <c:v>76.038091893405863</c:v>
                </c:pt>
                <c:pt idx="280">
                  <c:v>76.139688170061703</c:v>
                </c:pt>
                <c:pt idx="281">
                  <c:v>76.241613563903528</c:v>
                </c:pt>
                <c:pt idx="282">
                  <c:v>76.343869141093634</c:v>
                </c:pt>
                <c:pt idx="283">
                  <c:v>76.44645597124817</c:v>
                </c:pt>
                <c:pt idx="284">
                  <c:v>76.549375127448201</c:v>
                </c:pt>
                <c:pt idx="285">
                  <c:v>76.652627686251023</c:v>
                </c:pt>
                <c:pt idx="286">
                  <c:v>76.756214727701405</c:v>
                </c:pt>
                <c:pt idx="287">
                  <c:v>76.860137335342898</c:v>
                </c:pt>
                <c:pt idx="288">
                  <c:v>76.964396596229065</c:v>
                </c:pt>
                <c:pt idx="289">
                  <c:v>77.068993600935059</c:v>
                </c:pt>
                <c:pt idx="290">
                  <c:v>77.173929443568795</c:v>
                </c:pt>
                <c:pt idx="291">
                  <c:v>77.279205221782576</c:v>
                </c:pt>
                <c:pt idx="292">
                  <c:v>77.384822036784527</c:v>
                </c:pt>
                <c:pt idx="293">
                  <c:v>77.490780993349986</c:v>
                </c:pt>
                <c:pt idx="294">
                  <c:v>77.597083199833278</c:v>
                </c:pt>
                <c:pt idx="295">
                  <c:v>77.703729768179173</c:v>
                </c:pt>
                <c:pt idx="296">
                  <c:v>77.810721813934521</c:v>
                </c:pt>
                <c:pt idx="297">
                  <c:v>77.918060456259909</c:v>
                </c:pt>
                <c:pt idx="298">
                  <c:v>78.025746817941481</c:v>
                </c:pt>
                <c:pt idx="299">
                  <c:v>78.133782025402581</c:v>
                </c:pt>
                <c:pt idx="300">
                  <c:v>78.242167208715514</c:v>
                </c:pt>
                <c:pt idx="301">
                  <c:v>78.350903501613416</c:v>
                </c:pt>
                <c:pt idx="302">
                  <c:v>78.45999204150219</c:v>
                </c:pt>
                <c:pt idx="303">
                  <c:v>78.569433969472215</c:v>
                </c:pt>
                <c:pt idx="304">
                  <c:v>78.679230430310426</c:v>
                </c:pt>
                <c:pt idx="305">
                  <c:v>78.789382572512281</c:v>
                </c:pt>
                <c:pt idx="306">
                  <c:v>78.899891548293709</c:v>
                </c:pt>
                <c:pt idx="307">
                  <c:v>79.010758513603221</c:v>
                </c:pt>
                <c:pt idx="308">
                  <c:v>79.121984628133958</c:v>
                </c:pt>
                <c:pt idx="309">
                  <c:v>79.233571055335858</c:v>
                </c:pt>
                <c:pt idx="310">
                  <c:v>79.345518962427789</c:v>
                </c:pt>
                <c:pt idx="311">
                  <c:v>79.457829520409817</c:v>
                </c:pt>
                <c:pt idx="312">
                  <c:v>79.570503904075366</c:v>
                </c:pt>
                <c:pt idx="313">
                  <c:v>79.6835432920236</c:v>
                </c:pt>
                <c:pt idx="314">
                  <c:v>79.796948866671684</c:v>
                </c:pt>
                <c:pt idx="315">
                  <c:v>79.910721814267177</c:v>
                </c:pt>
                <c:pt idx="316">
                  <c:v>80.02486332490048</c:v>
                </c:pt>
                <c:pt idx="317">
                  <c:v>80.1393745925172</c:v>
                </c:pt>
                <c:pt idx="318">
                  <c:v>80.254256814930741</c:v>
                </c:pt>
                <c:pt idx="319">
                  <c:v>80.369511193834626</c:v>
                </c:pt>
                <c:pt idx="320">
                  <c:v>80.485138934815453</c:v>
                </c:pt>
                <c:pt idx="321">
                  <c:v>80.601141247365078</c:v>
                </c:pt>
                <c:pt idx="322">
                  <c:v>80.717519344893546</c:v>
                </c:pt>
                <c:pt idx="323">
                  <c:v>80.834274444741666</c:v>
                </c:pt>
                <c:pt idx="324">
                  <c:v>80.951407768193789</c:v>
                </c:pt>
                <c:pt idx="325">
                  <c:v>81.068920540490581</c:v>
                </c:pt>
                <c:pt idx="326">
                  <c:v>81.186813990841799</c:v>
                </c:pt>
                <c:pt idx="327">
                  <c:v>81.305089352439225</c:v>
                </c:pt>
                <c:pt idx="328">
                  <c:v>81.423747862469412</c:v>
                </c:pt>
                <c:pt idx="329">
                  <c:v>81.54279076212687</c:v>
                </c:pt>
                <c:pt idx="330">
                  <c:v>81.662219296626802</c:v>
                </c:pt>
                <c:pt idx="331">
                  <c:v>81.782034715218316</c:v>
                </c:pt>
                <c:pt idx="332">
                  <c:v>81.902238271197362</c:v>
                </c:pt>
                <c:pt idx="333">
                  <c:v>82.022831221919873</c:v>
                </c:pt>
                <c:pt idx="334">
                  <c:v>82.143814828815024</c:v>
                </c:pt>
                <c:pt idx="335">
                  <c:v>82.265190357398239</c:v>
                </c:pt>
                <c:pt idx="336">
                  <c:v>82.386959077284644</c:v>
                </c:pt>
                <c:pt idx="337">
                  <c:v>82.509122262202098</c:v>
                </c:pt>
                <c:pt idx="338">
                  <c:v>82.631681190004798</c:v>
                </c:pt>
                <c:pt idx="339">
                  <c:v>82.754637142686363</c:v>
                </c:pt>
                <c:pt idx="340">
                  <c:v>82.877991406393463</c:v>
                </c:pt>
                <c:pt idx="341">
                  <c:v>83.001745271439191</c:v>
                </c:pt>
                <c:pt idx="342">
                  <c:v>83.125900032316508</c:v>
                </c:pt>
                <c:pt idx="343">
                  <c:v>83.250456987711885</c:v>
                </c:pt>
                <c:pt idx="344">
                  <c:v>83.375417440518817</c:v>
                </c:pt>
                <c:pt idx="345">
                  <c:v>83.500782697851463</c:v>
                </c:pt>
                <c:pt idx="346">
                  <c:v>83.626554071058322</c:v>
                </c:pt>
                <c:pt idx="347">
                  <c:v>83.752732875736015</c:v>
                </c:pt>
                <c:pt idx="348">
                  <c:v>83.879320431742883</c:v>
                </c:pt>
                <c:pt idx="349">
                  <c:v>84.006318063213016</c:v>
                </c:pt>
                <c:pt idx="350">
                  <c:v>84.133727098569864</c:v>
                </c:pt>
                <c:pt idx="351">
                  <c:v>84.261548870540381</c:v>
                </c:pt>
                <c:pt idx="352">
                  <c:v>84.389784716168734</c:v>
                </c:pt>
                <c:pt idx="353">
                  <c:v>84.518435976830403</c:v>
                </c:pt>
                <c:pt idx="354">
                  <c:v>84.647503998246293</c:v>
                </c:pt>
                <c:pt idx="355">
                  <c:v>84.776990130496586</c:v>
                </c:pt>
                <c:pt idx="356">
                  <c:v>84.90689572803511</c:v>
                </c:pt>
                <c:pt idx="357">
                  <c:v>85.037222149703339</c:v>
                </c:pt>
                <c:pt idx="358">
                  <c:v>85.167970758744659</c:v>
                </c:pt>
                <c:pt idx="359">
                  <c:v>85.299142922818675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90296"/>
        <c:axId val="41019225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'Fuel Cost Risk Sim'!$D$240</c15:sqref>
                        </c15:formulaRef>
                      </c:ext>
                    </c:extLst>
                    <c:strCache>
                      <c:ptCount val="1"/>
                      <c:pt idx="0">
                        <c:v>RE PPA Weighted 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'Fuel Cost Risk Sim'!$E$236:$MZ$236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'Fuel Cost Risk Sim'!$E$240:$MZ$240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360"/>
                      <c:pt idx="0">
                        <c:v>78.248627568402384</c:v>
                      </c:pt>
                      <c:pt idx="1">
                        <c:v>78.248627568402384</c:v>
                      </c:pt>
                      <c:pt idx="2">
                        <c:v>78.248627568402384</c:v>
                      </c:pt>
                      <c:pt idx="3">
                        <c:v>78.248627568402384</c:v>
                      </c:pt>
                      <c:pt idx="4">
                        <c:v>78.248627568402384</c:v>
                      </c:pt>
                      <c:pt idx="5">
                        <c:v>78.248627568402384</c:v>
                      </c:pt>
                      <c:pt idx="6">
                        <c:v>78.248627568402384</c:v>
                      </c:pt>
                      <c:pt idx="7">
                        <c:v>78.248627568402384</c:v>
                      </c:pt>
                      <c:pt idx="8">
                        <c:v>78.248627568402384</c:v>
                      </c:pt>
                      <c:pt idx="9">
                        <c:v>78.248627568402384</c:v>
                      </c:pt>
                      <c:pt idx="10">
                        <c:v>78.248627568402384</c:v>
                      </c:pt>
                      <c:pt idx="11">
                        <c:v>78.248627568402384</c:v>
                      </c:pt>
                      <c:pt idx="12">
                        <c:v>78.248627568402384</c:v>
                      </c:pt>
                      <c:pt idx="13">
                        <c:v>78.248627568402384</c:v>
                      </c:pt>
                      <c:pt idx="14">
                        <c:v>78.248627568402384</c:v>
                      </c:pt>
                      <c:pt idx="15">
                        <c:v>78.248627568402384</c:v>
                      </c:pt>
                      <c:pt idx="16">
                        <c:v>78.248627568402384</c:v>
                      </c:pt>
                      <c:pt idx="17">
                        <c:v>78.248627568402384</c:v>
                      </c:pt>
                      <c:pt idx="18">
                        <c:v>78.248627568402384</c:v>
                      </c:pt>
                      <c:pt idx="19">
                        <c:v>78.248627568402384</c:v>
                      </c:pt>
                      <c:pt idx="20">
                        <c:v>78.248627568402384</c:v>
                      </c:pt>
                      <c:pt idx="21">
                        <c:v>78.248627568402384</c:v>
                      </c:pt>
                      <c:pt idx="22">
                        <c:v>78.248627568402384</c:v>
                      </c:pt>
                      <c:pt idx="23">
                        <c:v>78.248627568402384</c:v>
                      </c:pt>
                      <c:pt idx="24">
                        <c:v>78.248627568402384</c:v>
                      </c:pt>
                      <c:pt idx="25">
                        <c:v>78.248627568402384</c:v>
                      </c:pt>
                      <c:pt idx="26">
                        <c:v>78.248627568402384</c:v>
                      </c:pt>
                      <c:pt idx="27">
                        <c:v>78.248627568402384</c:v>
                      </c:pt>
                      <c:pt idx="28">
                        <c:v>78.248627568402384</c:v>
                      </c:pt>
                      <c:pt idx="29">
                        <c:v>78.248627568402384</c:v>
                      </c:pt>
                      <c:pt idx="30">
                        <c:v>78.248627568402384</c:v>
                      </c:pt>
                      <c:pt idx="31">
                        <c:v>78.248627568402384</c:v>
                      </c:pt>
                      <c:pt idx="32">
                        <c:v>78.248627568402384</c:v>
                      </c:pt>
                      <c:pt idx="33">
                        <c:v>78.248627568402384</c:v>
                      </c:pt>
                      <c:pt idx="34">
                        <c:v>78.248627568402384</c:v>
                      </c:pt>
                      <c:pt idx="35">
                        <c:v>78.248627568402384</c:v>
                      </c:pt>
                      <c:pt idx="36">
                        <c:v>78.248627568402384</c:v>
                      </c:pt>
                      <c:pt idx="37">
                        <c:v>78.248627568402384</c:v>
                      </c:pt>
                      <c:pt idx="38">
                        <c:v>78.248627568402384</c:v>
                      </c:pt>
                      <c:pt idx="39">
                        <c:v>78.248627568402384</c:v>
                      </c:pt>
                      <c:pt idx="40">
                        <c:v>78.248627568402384</c:v>
                      </c:pt>
                      <c:pt idx="41">
                        <c:v>78.248627568402384</c:v>
                      </c:pt>
                      <c:pt idx="42">
                        <c:v>78.248627568402384</c:v>
                      </c:pt>
                      <c:pt idx="43">
                        <c:v>78.248627568402384</c:v>
                      </c:pt>
                      <c:pt idx="44">
                        <c:v>78.248627568402384</c:v>
                      </c:pt>
                      <c:pt idx="45">
                        <c:v>78.248627568402384</c:v>
                      </c:pt>
                      <c:pt idx="46">
                        <c:v>78.248627568402384</c:v>
                      </c:pt>
                      <c:pt idx="47">
                        <c:v>78.248627568402384</c:v>
                      </c:pt>
                      <c:pt idx="48">
                        <c:v>78.248627568402384</c:v>
                      </c:pt>
                      <c:pt idx="49">
                        <c:v>78.248627568402384</c:v>
                      </c:pt>
                      <c:pt idx="50">
                        <c:v>78.248627568402384</c:v>
                      </c:pt>
                      <c:pt idx="51">
                        <c:v>78.248627568402384</c:v>
                      </c:pt>
                      <c:pt idx="52">
                        <c:v>78.248627568402384</c:v>
                      </c:pt>
                      <c:pt idx="53">
                        <c:v>78.248627568402384</c:v>
                      </c:pt>
                      <c:pt idx="54">
                        <c:v>78.248627568402384</c:v>
                      </c:pt>
                      <c:pt idx="55">
                        <c:v>78.248627568402384</c:v>
                      </c:pt>
                      <c:pt idx="56">
                        <c:v>78.248627568402384</c:v>
                      </c:pt>
                      <c:pt idx="57">
                        <c:v>78.248627568402384</c:v>
                      </c:pt>
                      <c:pt idx="58">
                        <c:v>78.248627568402384</c:v>
                      </c:pt>
                      <c:pt idx="59">
                        <c:v>78.248627568402384</c:v>
                      </c:pt>
                      <c:pt idx="60">
                        <c:v>78.248627568402384</c:v>
                      </c:pt>
                      <c:pt idx="61">
                        <c:v>78.248627568402384</c:v>
                      </c:pt>
                      <c:pt idx="62">
                        <c:v>78.248627568402384</c:v>
                      </c:pt>
                      <c:pt idx="63">
                        <c:v>78.248627568402384</c:v>
                      </c:pt>
                      <c:pt idx="64">
                        <c:v>78.248627568402384</c:v>
                      </c:pt>
                      <c:pt idx="65">
                        <c:v>78.248627568402384</c:v>
                      </c:pt>
                      <c:pt idx="66">
                        <c:v>78.248627568402384</c:v>
                      </c:pt>
                      <c:pt idx="67">
                        <c:v>78.248627568402384</c:v>
                      </c:pt>
                      <c:pt idx="68">
                        <c:v>78.248627568402384</c:v>
                      </c:pt>
                      <c:pt idx="69">
                        <c:v>78.248627568402384</c:v>
                      </c:pt>
                      <c:pt idx="70">
                        <c:v>78.248627568402384</c:v>
                      </c:pt>
                      <c:pt idx="71">
                        <c:v>78.248627568402384</c:v>
                      </c:pt>
                      <c:pt idx="72">
                        <c:v>78.248627568402384</c:v>
                      </c:pt>
                      <c:pt idx="73">
                        <c:v>78.248627568402384</c:v>
                      </c:pt>
                      <c:pt idx="74">
                        <c:v>78.248627568402384</c:v>
                      </c:pt>
                      <c:pt idx="75">
                        <c:v>78.248627568402384</c:v>
                      </c:pt>
                      <c:pt idx="76">
                        <c:v>78.248627568402384</c:v>
                      </c:pt>
                      <c:pt idx="77">
                        <c:v>78.248627568402384</c:v>
                      </c:pt>
                      <c:pt idx="78">
                        <c:v>78.248627568402384</c:v>
                      </c:pt>
                      <c:pt idx="79">
                        <c:v>78.248627568402384</c:v>
                      </c:pt>
                      <c:pt idx="80">
                        <c:v>78.248627568402384</c:v>
                      </c:pt>
                      <c:pt idx="81">
                        <c:v>78.248627568402384</c:v>
                      </c:pt>
                      <c:pt idx="82">
                        <c:v>78.248627568402384</c:v>
                      </c:pt>
                      <c:pt idx="83">
                        <c:v>78.248627568402384</c:v>
                      </c:pt>
                      <c:pt idx="84">
                        <c:v>78.248627568402384</c:v>
                      </c:pt>
                      <c:pt idx="85">
                        <c:v>78.248627568402384</c:v>
                      </c:pt>
                      <c:pt idx="86">
                        <c:v>78.248627568402384</c:v>
                      </c:pt>
                      <c:pt idx="87">
                        <c:v>78.248627568402384</c:v>
                      </c:pt>
                      <c:pt idx="88">
                        <c:v>78.248627568402384</c:v>
                      </c:pt>
                      <c:pt idx="89">
                        <c:v>78.248627568402384</c:v>
                      </c:pt>
                      <c:pt idx="90">
                        <c:v>78.248627568402384</c:v>
                      </c:pt>
                      <c:pt idx="91">
                        <c:v>78.248627568402384</c:v>
                      </c:pt>
                      <c:pt idx="92">
                        <c:v>78.248627568402384</c:v>
                      </c:pt>
                      <c:pt idx="93">
                        <c:v>78.248627568402384</c:v>
                      </c:pt>
                      <c:pt idx="94">
                        <c:v>78.248627568402384</c:v>
                      </c:pt>
                      <c:pt idx="95">
                        <c:v>78.248627568402384</c:v>
                      </c:pt>
                      <c:pt idx="96">
                        <c:v>78.248627568402384</c:v>
                      </c:pt>
                      <c:pt idx="97">
                        <c:v>78.248627568402384</c:v>
                      </c:pt>
                      <c:pt idx="98">
                        <c:v>78.248627568402384</c:v>
                      </c:pt>
                      <c:pt idx="99">
                        <c:v>78.248627568402384</c:v>
                      </c:pt>
                      <c:pt idx="100">
                        <c:v>78.248627568402384</c:v>
                      </c:pt>
                      <c:pt idx="101">
                        <c:v>78.248627568402384</c:v>
                      </c:pt>
                      <c:pt idx="102">
                        <c:v>78.248627568402384</c:v>
                      </c:pt>
                      <c:pt idx="103">
                        <c:v>78.248627568402384</c:v>
                      </c:pt>
                      <c:pt idx="104">
                        <c:v>78.248627568402384</c:v>
                      </c:pt>
                      <c:pt idx="105">
                        <c:v>78.248627568402384</c:v>
                      </c:pt>
                      <c:pt idx="106">
                        <c:v>78.248627568402384</c:v>
                      </c:pt>
                      <c:pt idx="107">
                        <c:v>78.248627568402384</c:v>
                      </c:pt>
                      <c:pt idx="108">
                        <c:v>78.248627568402384</c:v>
                      </c:pt>
                      <c:pt idx="109">
                        <c:v>78.248627568402384</c:v>
                      </c:pt>
                      <c:pt idx="110">
                        <c:v>78.248627568402384</c:v>
                      </c:pt>
                      <c:pt idx="111">
                        <c:v>78.248627568402384</c:v>
                      </c:pt>
                      <c:pt idx="112">
                        <c:v>78.248627568402384</c:v>
                      </c:pt>
                      <c:pt idx="113">
                        <c:v>78.248627568402384</c:v>
                      </c:pt>
                      <c:pt idx="114">
                        <c:v>78.248627568402384</c:v>
                      </c:pt>
                      <c:pt idx="115">
                        <c:v>78.248627568402384</c:v>
                      </c:pt>
                      <c:pt idx="116">
                        <c:v>78.248627568402384</c:v>
                      </c:pt>
                      <c:pt idx="117">
                        <c:v>78.248627568402384</c:v>
                      </c:pt>
                      <c:pt idx="118">
                        <c:v>78.248627568402384</c:v>
                      </c:pt>
                      <c:pt idx="119">
                        <c:v>78.248627568402384</c:v>
                      </c:pt>
                      <c:pt idx="120">
                        <c:v>78.248627568402384</c:v>
                      </c:pt>
                      <c:pt idx="121">
                        <c:v>78.248627568402384</c:v>
                      </c:pt>
                      <c:pt idx="122">
                        <c:v>78.248627568402384</c:v>
                      </c:pt>
                      <c:pt idx="123">
                        <c:v>78.248627568402384</c:v>
                      </c:pt>
                      <c:pt idx="124">
                        <c:v>78.248627568402384</c:v>
                      </c:pt>
                      <c:pt idx="125">
                        <c:v>78.248627568402384</c:v>
                      </c:pt>
                      <c:pt idx="126">
                        <c:v>78.248627568402384</c:v>
                      </c:pt>
                      <c:pt idx="127">
                        <c:v>78.248627568402384</c:v>
                      </c:pt>
                      <c:pt idx="128">
                        <c:v>78.248627568402384</c:v>
                      </c:pt>
                      <c:pt idx="129">
                        <c:v>78.248627568402384</c:v>
                      </c:pt>
                      <c:pt idx="130">
                        <c:v>78.248627568402384</c:v>
                      </c:pt>
                      <c:pt idx="131">
                        <c:v>78.248627568402384</c:v>
                      </c:pt>
                      <c:pt idx="132">
                        <c:v>78.248627568402384</c:v>
                      </c:pt>
                      <c:pt idx="133">
                        <c:v>78.248627568402384</c:v>
                      </c:pt>
                      <c:pt idx="134">
                        <c:v>78.248627568402384</c:v>
                      </c:pt>
                      <c:pt idx="135">
                        <c:v>78.248627568402384</c:v>
                      </c:pt>
                      <c:pt idx="136">
                        <c:v>78.248627568402384</c:v>
                      </c:pt>
                      <c:pt idx="137">
                        <c:v>78.248627568402384</c:v>
                      </c:pt>
                      <c:pt idx="138">
                        <c:v>78.248627568402384</c:v>
                      </c:pt>
                      <c:pt idx="139">
                        <c:v>78.248627568402384</c:v>
                      </c:pt>
                      <c:pt idx="140">
                        <c:v>78.248627568402384</c:v>
                      </c:pt>
                      <c:pt idx="141">
                        <c:v>78.248627568402384</c:v>
                      </c:pt>
                      <c:pt idx="142">
                        <c:v>78.248627568402384</c:v>
                      </c:pt>
                      <c:pt idx="143">
                        <c:v>78.248627568402384</c:v>
                      </c:pt>
                      <c:pt idx="144">
                        <c:v>78.248627568402384</c:v>
                      </c:pt>
                      <c:pt idx="145">
                        <c:v>78.248627568402384</c:v>
                      </c:pt>
                      <c:pt idx="146">
                        <c:v>78.248627568402384</c:v>
                      </c:pt>
                      <c:pt idx="147">
                        <c:v>78.248627568402384</c:v>
                      </c:pt>
                      <c:pt idx="148">
                        <c:v>78.248627568402384</c:v>
                      </c:pt>
                      <c:pt idx="149">
                        <c:v>78.248627568402384</c:v>
                      </c:pt>
                      <c:pt idx="150">
                        <c:v>78.248627568402384</c:v>
                      </c:pt>
                      <c:pt idx="151">
                        <c:v>78.248627568402384</c:v>
                      </c:pt>
                      <c:pt idx="152">
                        <c:v>78.248627568402384</c:v>
                      </c:pt>
                      <c:pt idx="153">
                        <c:v>78.248627568402384</c:v>
                      </c:pt>
                      <c:pt idx="154">
                        <c:v>78.248627568402384</c:v>
                      </c:pt>
                      <c:pt idx="155">
                        <c:v>78.248627568402384</c:v>
                      </c:pt>
                      <c:pt idx="156">
                        <c:v>78.248627568402384</c:v>
                      </c:pt>
                      <c:pt idx="157">
                        <c:v>78.248627568402384</c:v>
                      </c:pt>
                      <c:pt idx="158">
                        <c:v>78.248627568402384</c:v>
                      </c:pt>
                      <c:pt idx="159">
                        <c:v>78.248627568402384</c:v>
                      </c:pt>
                      <c:pt idx="160">
                        <c:v>78.248627568402384</c:v>
                      </c:pt>
                      <c:pt idx="161">
                        <c:v>78.248627568402384</c:v>
                      </c:pt>
                      <c:pt idx="162">
                        <c:v>78.248627568402384</c:v>
                      </c:pt>
                      <c:pt idx="163">
                        <c:v>78.248627568402384</c:v>
                      </c:pt>
                      <c:pt idx="164">
                        <c:v>78.248627568402384</c:v>
                      </c:pt>
                      <c:pt idx="165">
                        <c:v>78.248627568402384</c:v>
                      </c:pt>
                      <c:pt idx="166">
                        <c:v>78.248627568402384</c:v>
                      </c:pt>
                      <c:pt idx="167">
                        <c:v>78.248627568402384</c:v>
                      </c:pt>
                      <c:pt idx="168">
                        <c:v>78.248627568402384</c:v>
                      </c:pt>
                      <c:pt idx="169">
                        <c:v>78.248627568402384</c:v>
                      </c:pt>
                      <c:pt idx="170">
                        <c:v>78.248627568402384</c:v>
                      </c:pt>
                      <c:pt idx="171">
                        <c:v>78.248627568402384</c:v>
                      </c:pt>
                      <c:pt idx="172">
                        <c:v>78.248627568402384</c:v>
                      </c:pt>
                      <c:pt idx="173">
                        <c:v>78.248627568402384</c:v>
                      </c:pt>
                      <c:pt idx="174">
                        <c:v>78.248627568402384</c:v>
                      </c:pt>
                      <c:pt idx="175">
                        <c:v>78.248627568402384</c:v>
                      </c:pt>
                      <c:pt idx="176">
                        <c:v>78.248627568402384</c:v>
                      </c:pt>
                      <c:pt idx="177">
                        <c:v>78.248627568402384</c:v>
                      </c:pt>
                      <c:pt idx="178">
                        <c:v>78.248627568402384</c:v>
                      </c:pt>
                      <c:pt idx="179">
                        <c:v>78.248627568402384</c:v>
                      </c:pt>
                      <c:pt idx="180">
                        <c:v>78.248627568402384</c:v>
                      </c:pt>
                      <c:pt idx="181">
                        <c:v>78.248627568402384</c:v>
                      </c:pt>
                      <c:pt idx="182">
                        <c:v>78.248627568402384</c:v>
                      </c:pt>
                      <c:pt idx="183">
                        <c:v>78.248627568402384</c:v>
                      </c:pt>
                      <c:pt idx="184">
                        <c:v>78.248627568402384</c:v>
                      </c:pt>
                      <c:pt idx="185">
                        <c:v>78.248627568402384</c:v>
                      </c:pt>
                      <c:pt idx="186">
                        <c:v>78.248627568402384</c:v>
                      </c:pt>
                      <c:pt idx="187">
                        <c:v>78.248627568402384</c:v>
                      </c:pt>
                      <c:pt idx="188">
                        <c:v>78.248627568402384</c:v>
                      </c:pt>
                      <c:pt idx="189">
                        <c:v>78.248627568402384</c:v>
                      </c:pt>
                      <c:pt idx="190">
                        <c:v>78.248627568402384</c:v>
                      </c:pt>
                      <c:pt idx="191">
                        <c:v>78.248627568402384</c:v>
                      </c:pt>
                      <c:pt idx="192">
                        <c:v>78.248627568402384</c:v>
                      </c:pt>
                      <c:pt idx="193">
                        <c:v>78.248627568402384</c:v>
                      </c:pt>
                      <c:pt idx="194">
                        <c:v>78.248627568402384</c:v>
                      </c:pt>
                      <c:pt idx="195">
                        <c:v>78.248627568402384</c:v>
                      </c:pt>
                      <c:pt idx="196">
                        <c:v>78.248627568402384</c:v>
                      </c:pt>
                      <c:pt idx="197">
                        <c:v>78.248627568402384</c:v>
                      </c:pt>
                      <c:pt idx="198">
                        <c:v>78.248627568402384</c:v>
                      </c:pt>
                      <c:pt idx="199">
                        <c:v>78.248627568402384</c:v>
                      </c:pt>
                      <c:pt idx="200">
                        <c:v>78.248627568402384</c:v>
                      </c:pt>
                      <c:pt idx="201">
                        <c:v>78.248627568402384</c:v>
                      </c:pt>
                      <c:pt idx="202">
                        <c:v>78.248627568402384</c:v>
                      </c:pt>
                      <c:pt idx="203">
                        <c:v>78.248627568402384</c:v>
                      </c:pt>
                      <c:pt idx="204">
                        <c:v>78.248627568402384</c:v>
                      </c:pt>
                      <c:pt idx="205">
                        <c:v>78.248627568402384</c:v>
                      </c:pt>
                      <c:pt idx="206">
                        <c:v>78.248627568402384</c:v>
                      </c:pt>
                      <c:pt idx="207">
                        <c:v>78.248627568402384</c:v>
                      </c:pt>
                      <c:pt idx="208">
                        <c:v>78.248627568402384</c:v>
                      </c:pt>
                      <c:pt idx="209">
                        <c:v>78.248627568402384</c:v>
                      </c:pt>
                      <c:pt idx="210">
                        <c:v>78.248627568402384</c:v>
                      </c:pt>
                      <c:pt idx="211">
                        <c:v>78.248627568402384</c:v>
                      </c:pt>
                      <c:pt idx="212">
                        <c:v>78.248627568402384</c:v>
                      </c:pt>
                      <c:pt idx="213">
                        <c:v>78.248627568402384</c:v>
                      </c:pt>
                      <c:pt idx="214">
                        <c:v>78.248627568402384</c:v>
                      </c:pt>
                      <c:pt idx="215">
                        <c:v>78.248627568402384</c:v>
                      </c:pt>
                      <c:pt idx="216">
                        <c:v>78.248627568402384</c:v>
                      </c:pt>
                      <c:pt idx="217">
                        <c:v>78.248627568402384</c:v>
                      </c:pt>
                      <c:pt idx="218">
                        <c:v>78.248627568402384</c:v>
                      </c:pt>
                      <c:pt idx="219">
                        <c:v>78.248627568402384</c:v>
                      </c:pt>
                      <c:pt idx="220">
                        <c:v>78.248627568402384</c:v>
                      </c:pt>
                      <c:pt idx="221">
                        <c:v>78.248627568402384</c:v>
                      </c:pt>
                      <c:pt idx="222">
                        <c:v>78.248627568402384</c:v>
                      </c:pt>
                      <c:pt idx="223">
                        <c:v>78.248627568402384</c:v>
                      </c:pt>
                      <c:pt idx="224">
                        <c:v>78.248627568402384</c:v>
                      </c:pt>
                      <c:pt idx="225">
                        <c:v>78.248627568402384</c:v>
                      </c:pt>
                      <c:pt idx="226">
                        <c:v>78.248627568402384</c:v>
                      </c:pt>
                      <c:pt idx="227">
                        <c:v>78.248627568402384</c:v>
                      </c:pt>
                      <c:pt idx="228">
                        <c:v>78.248627568402384</c:v>
                      </c:pt>
                      <c:pt idx="229">
                        <c:v>78.248627568402384</c:v>
                      </c:pt>
                      <c:pt idx="230">
                        <c:v>78.248627568402384</c:v>
                      </c:pt>
                      <c:pt idx="231">
                        <c:v>78.248627568402384</c:v>
                      </c:pt>
                      <c:pt idx="232">
                        <c:v>78.248627568402384</c:v>
                      </c:pt>
                      <c:pt idx="233">
                        <c:v>78.248627568402384</c:v>
                      </c:pt>
                      <c:pt idx="234">
                        <c:v>78.248627568402384</c:v>
                      </c:pt>
                      <c:pt idx="235">
                        <c:v>78.248627568402384</c:v>
                      </c:pt>
                      <c:pt idx="236">
                        <c:v>78.248627568402384</c:v>
                      </c:pt>
                      <c:pt idx="237">
                        <c:v>78.248627568402384</c:v>
                      </c:pt>
                      <c:pt idx="238">
                        <c:v>78.248627568402384</c:v>
                      </c:pt>
                      <c:pt idx="239">
                        <c:v>78.248627568402384</c:v>
                      </c:pt>
                      <c:pt idx="240">
                        <c:v>78.248627568402384</c:v>
                      </c:pt>
                      <c:pt idx="241">
                        <c:v>78.248627568402384</c:v>
                      </c:pt>
                      <c:pt idx="242">
                        <c:v>78.248627568402384</c:v>
                      </c:pt>
                      <c:pt idx="243">
                        <c:v>78.248627568402384</c:v>
                      </c:pt>
                      <c:pt idx="244">
                        <c:v>78.248627568402384</c:v>
                      </c:pt>
                      <c:pt idx="245">
                        <c:v>78.248627568402384</c:v>
                      </c:pt>
                      <c:pt idx="246">
                        <c:v>78.248627568402384</c:v>
                      </c:pt>
                      <c:pt idx="247">
                        <c:v>78.248627568402384</c:v>
                      </c:pt>
                      <c:pt idx="248">
                        <c:v>78.248627568402384</c:v>
                      </c:pt>
                      <c:pt idx="249">
                        <c:v>78.248627568402384</c:v>
                      </c:pt>
                      <c:pt idx="250">
                        <c:v>78.248627568402384</c:v>
                      </c:pt>
                      <c:pt idx="251">
                        <c:v>78.248627568402384</c:v>
                      </c:pt>
                      <c:pt idx="252">
                        <c:v>78.248627568402384</c:v>
                      </c:pt>
                      <c:pt idx="253">
                        <c:v>78.248627568402384</c:v>
                      </c:pt>
                      <c:pt idx="254">
                        <c:v>78.248627568402384</c:v>
                      </c:pt>
                      <c:pt idx="255">
                        <c:v>78.248627568402384</c:v>
                      </c:pt>
                      <c:pt idx="256">
                        <c:v>78.248627568402384</c:v>
                      </c:pt>
                      <c:pt idx="257">
                        <c:v>78.248627568402384</c:v>
                      </c:pt>
                      <c:pt idx="258">
                        <c:v>78.248627568402384</c:v>
                      </c:pt>
                      <c:pt idx="259">
                        <c:v>78.248627568402384</c:v>
                      </c:pt>
                      <c:pt idx="260">
                        <c:v>78.248627568402384</c:v>
                      </c:pt>
                      <c:pt idx="261">
                        <c:v>78.248627568402384</c:v>
                      </c:pt>
                      <c:pt idx="262">
                        <c:v>78.248627568402384</c:v>
                      </c:pt>
                      <c:pt idx="263">
                        <c:v>78.248627568402384</c:v>
                      </c:pt>
                      <c:pt idx="264">
                        <c:v>78.248627568402384</c:v>
                      </c:pt>
                      <c:pt idx="265">
                        <c:v>78.248627568402384</c:v>
                      </c:pt>
                      <c:pt idx="266">
                        <c:v>78.248627568402384</c:v>
                      </c:pt>
                      <c:pt idx="267">
                        <c:v>78.248627568402384</c:v>
                      </c:pt>
                      <c:pt idx="268">
                        <c:v>78.248627568402384</c:v>
                      </c:pt>
                      <c:pt idx="269">
                        <c:v>78.248627568402384</c:v>
                      </c:pt>
                      <c:pt idx="270">
                        <c:v>78.248627568402384</c:v>
                      </c:pt>
                      <c:pt idx="271">
                        <c:v>78.248627568402384</c:v>
                      </c:pt>
                      <c:pt idx="272">
                        <c:v>78.248627568402384</c:v>
                      </c:pt>
                      <c:pt idx="273">
                        <c:v>78.248627568402384</c:v>
                      </c:pt>
                      <c:pt idx="274">
                        <c:v>78.248627568402384</c:v>
                      </c:pt>
                      <c:pt idx="275">
                        <c:v>78.248627568402384</c:v>
                      </c:pt>
                      <c:pt idx="276">
                        <c:v>78.248627568402384</c:v>
                      </c:pt>
                      <c:pt idx="277">
                        <c:v>78.248627568402384</c:v>
                      </c:pt>
                      <c:pt idx="278">
                        <c:v>78.248627568402384</c:v>
                      </c:pt>
                      <c:pt idx="279">
                        <c:v>78.248627568402384</c:v>
                      </c:pt>
                      <c:pt idx="280">
                        <c:v>78.248627568402384</c:v>
                      </c:pt>
                      <c:pt idx="281">
                        <c:v>78.248627568402384</c:v>
                      </c:pt>
                      <c:pt idx="282">
                        <c:v>78.248627568402384</c:v>
                      </c:pt>
                      <c:pt idx="283">
                        <c:v>78.248627568402384</c:v>
                      </c:pt>
                      <c:pt idx="284">
                        <c:v>78.248627568402384</c:v>
                      </c:pt>
                      <c:pt idx="285">
                        <c:v>78.248627568402384</c:v>
                      </c:pt>
                      <c:pt idx="286">
                        <c:v>78.248627568402384</c:v>
                      </c:pt>
                      <c:pt idx="287">
                        <c:v>78.248627568402384</c:v>
                      </c:pt>
                      <c:pt idx="288">
                        <c:v>78.248627568402384</c:v>
                      </c:pt>
                      <c:pt idx="289">
                        <c:v>78.248627568402384</c:v>
                      </c:pt>
                      <c:pt idx="290">
                        <c:v>78.248627568402384</c:v>
                      </c:pt>
                      <c:pt idx="291">
                        <c:v>78.248627568402384</c:v>
                      </c:pt>
                      <c:pt idx="292">
                        <c:v>78.248627568402384</c:v>
                      </c:pt>
                      <c:pt idx="293">
                        <c:v>78.248627568402384</c:v>
                      </c:pt>
                      <c:pt idx="294">
                        <c:v>78.248627568402384</c:v>
                      </c:pt>
                      <c:pt idx="295">
                        <c:v>78.248627568402384</c:v>
                      </c:pt>
                      <c:pt idx="296">
                        <c:v>78.248627568402384</c:v>
                      </c:pt>
                      <c:pt idx="297">
                        <c:v>78.248627568402384</c:v>
                      </c:pt>
                      <c:pt idx="298">
                        <c:v>78.248627568402384</c:v>
                      </c:pt>
                      <c:pt idx="299">
                        <c:v>78.248627568402384</c:v>
                      </c:pt>
                      <c:pt idx="300">
                        <c:v>78.248627568402384</c:v>
                      </c:pt>
                      <c:pt idx="301">
                        <c:v>78.248627568402384</c:v>
                      </c:pt>
                      <c:pt idx="302">
                        <c:v>78.248627568402384</c:v>
                      </c:pt>
                      <c:pt idx="303">
                        <c:v>78.248627568402384</c:v>
                      </c:pt>
                      <c:pt idx="304">
                        <c:v>78.248627568402384</c:v>
                      </c:pt>
                      <c:pt idx="305">
                        <c:v>78.248627568402384</c:v>
                      </c:pt>
                      <c:pt idx="306">
                        <c:v>78.248627568402384</c:v>
                      </c:pt>
                      <c:pt idx="307">
                        <c:v>78.248627568402384</c:v>
                      </c:pt>
                      <c:pt idx="308">
                        <c:v>78.248627568402384</c:v>
                      </c:pt>
                      <c:pt idx="309">
                        <c:v>78.248627568402384</c:v>
                      </c:pt>
                      <c:pt idx="310">
                        <c:v>78.248627568402384</c:v>
                      </c:pt>
                      <c:pt idx="311">
                        <c:v>78.248627568402384</c:v>
                      </c:pt>
                      <c:pt idx="312">
                        <c:v>78.248627568402384</c:v>
                      </c:pt>
                      <c:pt idx="313">
                        <c:v>78.248627568402384</c:v>
                      </c:pt>
                      <c:pt idx="314">
                        <c:v>78.248627568402384</c:v>
                      </c:pt>
                      <c:pt idx="315">
                        <c:v>78.248627568402384</c:v>
                      </c:pt>
                      <c:pt idx="316">
                        <c:v>78.248627568402384</c:v>
                      </c:pt>
                      <c:pt idx="317">
                        <c:v>78.248627568402384</c:v>
                      </c:pt>
                      <c:pt idx="318">
                        <c:v>78.248627568402384</c:v>
                      </c:pt>
                      <c:pt idx="319">
                        <c:v>78.248627568402384</c:v>
                      </c:pt>
                      <c:pt idx="320">
                        <c:v>78.248627568402384</c:v>
                      </c:pt>
                      <c:pt idx="321">
                        <c:v>78.248627568402384</c:v>
                      </c:pt>
                      <c:pt idx="322">
                        <c:v>78.248627568402384</c:v>
                      </c:pt>
                      <c:pt idx="323">
                        <c:v>78.248627568402384</c:v>
                      </c:pt>
                      <c:pt idx="324">
                        <c:v>78.248627568402384</c:v>
                      </c:pt>
                      <c:pt idx="325">
                        <c:v>78.248627568402384</c:v>
                      </c:pt>
                      <c:pt idx="326">
                        <c:v>78.248627568402384</c:v>
                      </c:pt>
                      <c:pt idx="327">
                        <c:v>78.248627568402384</c:v>
                      </c:pt>
                      <c:pt idx="328">
                        <c:v>78.248627568402384</c:v>
                      </c:pt>
                      <c:pt idx="329">
                        <c:v>78.248627568402384</c:v>
                      </c:pt>
                      <c:pt idx="330">
                        <c:v>78.248627568402384</c:v>
                      </c:pt>
                      <c:pt idx="331">
                        <c:v>78.248627568402384</c:v>
                      </c:pt>
                      <c:pt idx="332">
                        <c:v>78.248627568402384</c:v>
                      </c:pt>
                      <c:pt idx="333">
                        <c:v>78.248627568402384</c:v>
                      </c:pt>
                      <c:pt idx="334">
                        <c:v>78.248627568402384</c:v>
                      </c:pt>
                      <c:pt idx="335">
                        <c:v>78.248627568402384</c:v>
                      </c:pt>
                      <c:pt idx="336">
                        <c:v>78.248627568402384</c:v>
                      </c:pt>
                      <c:pt idx="337">
                        <c:v>78.248627568402384</c:v>
                      </c:pt>
                      <c:pt idx="338">
                        <c:v>78.248627568402384</c:v>
                      </c:pt>
                      <c:pt idx="339">
                        <c:v>78.248627568402384</c:v>
                      </c:pt>
                      <c:pt idx="340">
                        <c:v>78.248627568402384</c:v>
                      </c:pt>
                      <c:pt idx="341">
                        <c:v>78.248627568402384</c:v>
                      </c:pt>
                      <c:pt idx="342">
                        <c:v>78.248627568402384</c:v>
                      </c:pt>
                      <c:pt idx="343">
                        <c:v>78.248627568402384</c:v>
                      </c:pt>
                      <c:pt idx="344">
                        <c:v>78.248627568402384</c:v>
                      </c:pt>
                      <c:pt idx="345">
                        <c:v>78.248627568402384</c:v>
                      </c:pt>
                      <c:pt idx="346">
                        <c:v>78.248627568402384</c:v>
                      </c:pt>
                      <c:pt idx="347">
                        <c:v>78.248627568402384</c:v>
                      </c:pt>
                      <c:pt idx="348">
                        <c:v>78.248627568402384</c:v>
                      </c:pt>
                      <c:pt idx="349">
                        <c:v>78.248627568402384</c:v>
                      </c:pt>
                      <c:pt idx="350">
                        <c:v>78.248627568402384</c:v>
                      </c:pt>
                      <c:pt idx="351">
                        <c:v>78.248627568402384</c:v>
                      </c:pt>
                      <c:pt idx="352">
                        <c:v>78.248627568402384</c:v>
                      </c:pt>
                      <c:pt idx="353">
                        <c:v>78.248627568402384</c:v>
                      </c:pt>
                      <c:pt idx="354">
                        <c:v>78.248627568402384</c:v>
                      </c:pt>
                      <c:pt idx="355">
                        <c:v>78.248627568402384</c:v>
                      </c:pt>
                      <c:pt idx="356">
                        <c:v>78.248627568402384</c:v>
                      </c:pt>
                      <c:pt idx="357">
                        <c:v>78.248627568402384</c:v>
                      </c:pt>
                      <c:pt idx="358">
                        <c:v>78.248627568402384</c:v>
                      </c:pt>
                      <c:pt idx="359">
                        <c:v>78.248627568402384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Sim'!$D$241</c15:sqref>
                        </c15:formulaRef>
                      </c:ext>
                    </c:extLst>
                    <c:strCache>
                      <c:ptCount val="1"/>
                      <c:pt idx="0">
                        <c:v>RE PPA @ $0.14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Sim'!$E$236:$MZ$236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Sim'!$E$241:$MZ$241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360"/>
                      <c:pt idx="0">
                        <c:v>66.29885308601591</c:v>
                      </c:pt>
                      <c:pt idx="1">
                        <c:v>66.29885308601591</c:v>
                      </c:pt>
                      <c:pt idx="2">
                        <c:v>66.29885308601591</c:v>
                      </c:pt>
                      <c:pt idx="3">
                        <c:v>66.29885308601591</c:v>
                      </c:pt>
                      <c:pt idx="4">
                        <c:v>66.29885308601591</c:v>
                      </c:pt>
                      <c:pt idx="5">
                        <c:v>66.29885308601591</c:v>
                      </c:pt>
                      <c:pt idx="6">
                        <c:v>66.29885308601591</c:v>
                      </c:pt>
                      <c:pt idx="7">
                        <c:v>66.29885308601591</c:v>
                      </c:pt>
                      <c:pt idx="8">
                        <c:v>66.29885308601591</c:v>
                      </c:pt>
                      <c:pt idx="9">
                        <c:v>66.29885308601591</c:v>
                      </c:pt>
                      <c:pt idx="10">
                        <c:v>66.29885308601591</c:v>
                      </c:pt>
                      <c:pt idx="11">
                        <c:v>66.29885308601591</c:v>
                      </c:pt>
                      <c:pt idx="12">
                        <c:v>66.29885308601591</c:v>
                      </c:pt>
                      <c:pt idx="13">
                        <c:v>66.29885308601591</c:v>
                      </c:pt>
                      <c:pt idx="14">
                        <c:v>66.29885308601591</c:v>
                      </c:pt>
                      <c:pt idx="15">
                        <c:v>66.29885308601591</c:v>
                      </c:pt>
                      <c:pt idx="16">
                        <c:v>66.29885308601591</c:v>
                      </c:pt>
                      <c:pt idx="17">
                        <c:v>66.29885308601591</c:v>
                      </c:pt>
                      <c:pt idx="18">
                        <c:v>66.29885308601591</c:v>
                      </c:pt>
                      <c:pt idx="19">
                        <c:v>66.29885308601591</c:v>
                      </c:pt>
                      <c:pt idx="20">
                        <c:v>66.29885308601591</c:v>
                      </c:pt>
                      <c:pt idx="21">
                        <c:v>66.29885308601591</c:v>
                      </c:pt>
                      <c:pt idx="22">
                        <c:v>66.29885308601591</c:v>
                      </c:pt>
                      <c:pt idx="23">
                        <c:v>66.29885308601591</c:v>
                      </c:pt>
                      <c:pt idx="24">
                        <c:v>66.29885308601591</c:v>
                      </c:pt>
                      <c:pt idx="25">
                        <c:v>66.29885308601591</c:v>
                      </c:pt>
                      <c:pt idx="26">
                        <c:v>66.29885308601591</c:v>
                      </c:pt>
                      <c:pt idx="27">
                        <c:v>66.29885308601591</c:v>
                      </c:pt>
                      <c:pt idx="28">
                        <c:v>66.29885308601591</c:v>
                      </c:pt>
                      <c:pt idx="29">
                        <c:v>66.29885308601591</c:v>
                      </c:pt>
                      <c:pt idx="30">
                        <c:v>66.29885308601591</c:v>
                      </c:pt>
                      <c:pt idx="31">
                        <c:v>66.29885308601591</c:v>
                      </c:pt>
                      <c:pt idx="32">
                        <c:v>66.29885308601591</c:v>
                      </c:pt>
                      <c:pt idx="33">
                        <c:v>66.29885308601591</c:v>
                      </c:pt>
                      <c:pt idx="34">
                        <c:v>66.29885308601591</c:v>
                      </c:pt>
                      <c:pt idx="35">
                        <c:v>66.29885308601591</c:v>
                      </c:pt>
                      <c:pt idx="36">
                        <c:v>66.29885308601591</c:v>
                      </c:pt>
                      <c:pt idx="37">
                        <c:v>66.29885308601591</c:v>
                      </c:pt>
                      <c:pt idx="38">
                        <c:v>66.29885308601591</c:v>
                      </c:pt>
                      <c:pt idx="39">
                        <c:v>66.29885308601591</c:v>
                      </c:pt>
                      <c:pt idx="40">
                        <c:v>66.29885308601591</c:v>
                      </c:pt>
                      <c:pt idx="41">
                        <c:v>66.29885308601591</c:v>
                      </c:pt>
                      <c:pt idx="42">
                        <c:v>66.29885308601591</c:v>
                      </c:pt>
                      <c:pt idx="43">
                        <c:v>66.29885308601591</c:v>
                      </c:pt>
                      <c:pt idx="44">
                        <c:v>66.29885308601591</c:v>
                      </c:pt>
                      <c:pt idx="45">
                        <c:v>66.29885308601591</c:v>
                      </c:pt>
                      <c:pt idx="46">
                        <c:v>66.29885308601591</c:v>
                      </c:pt>
                      <c:pt idx="47">
                        <c:v>66.29885308601591</c:v>
                      </c:pt>
                      <c:pt idx="48">
                        <c:v>66.29885308601591</c:v>
                      </c:pt>
                      <c:pt idx="49">
                        <c:v>66.29885308601591</c:v>
                      </c:pt>
                      <c:pt idx="50">
                        <c:v>66.29885308601591</c:v>
                      </c:pt>
                      <c:pt idx="51">
                        <c:v>66.29885308601591</c:v>
                      </c:pt>
                      <c:pt idx="52">
                        <c:v>66.29885308601591</c:v>
                      </c:pt>
                      <c:pt idx="53">
                        <c:v>66.29885308601591</c:v>
                      </c:pt>
                      <c:pt idx="54">
                        <c:v>66.29885308601591</c:v>
                      </c:pt>
                      <c:pt idx="55">
                        <c:v>66.29885308601591</c:v>
                      </c:pt>
                      <c:pt idx="56">
                        <c:v>66.29885308601591</c:v>
                      </c:pt>
                      <c:pt idx="57">
                        <c:v>66.29885308601591</c:v>
                      </c:pt>
                      <c:pt idx="58">
                        <c:v>66.29885308601591</c:v>
                      </c:pt>
                      <c:pt idx="59">
                        <c:v>66.29885308601591</c:v>
                      </c:pt>
                      <c:pt idx="60">
                        <c:v>66.29885308601591</c:v>
                      </c:pt>
                      <c:pt idx="61">
                        <c:v>66.29885308601591</c:v>
                      </c:pt>
                      <c:pt idx="62">
                        <c:v>66.29885308601591</c:v>
                      </c:pt>
                      <c:pt idx="63">
                        <c:v>66.29885308601591</c:v>
                      </c:pt>
                      <c:pt idx="64">
                        <c:v>66.29885308601591</c:v>
                      </c:pt>
                      <c:pt idx="65">
                        <c:v>66.29885308601591</c:v>
                      </c:pt>
                      <c:pt idx="66">
                        <c:v>66.29885308601591</c:v>
                      </c:pt>
                      <c:pt idx="67">
                        <c:v>66.29885308601591</c:v>
                      </c:pt>
                      <c:pt idx="68">
                        <c:v>66.29885308601591</c:v>
                      </c:pt>
                      <c:pt idx="69">
                        <c:v>66.29885308601591</c:v>
                      </c:pt>
                      <c:pt idx="70">
                        <c:v>66.29885308601591</c:v>
                      </c:pt>
                      <c:pt idx="71">
                        <c:v>66.29885308601591</c:v>
                      </c:pt>
                      <c:pt idx="72">
                        <c:v>66.29885308601591</c:v>
                      </c:pt>
                      <c:pt idx="73">
                        <c:v>66.29885308601591</c:v>
                      </c:pt>
                      <c:pt idx="74">
                        <c:v>66.29885308601591</c:v>
                      </c:pt>
                      <c:pt idx="75">
                        <c:v>66.29885308601591</c:v>
                      </c:pt>
                      <c:pt idx="76">
                        <c:v>66.29885308601591</c:v>
                      </c:pt>
                      <c:pt idx="77">
                        <c:v>66.29885308601591</c:v>
                      </c:pt>
                      <c:pt idx="78">
                        <c:v>66.29885308601591</c:v>
                      </c:pt>
                      <c:pt idx="79">
                        <c:v>66.29885308601591</c:v>
                      </c:pt>
                      <c:pt idx="80">
                        <c:v>66.29885308601591</c:v>
                      </c:pt>
                      <c:pt idx="81">
                        <c:v>66.29885308601591</c:v>
                      </c:pt>
                      <c:pt idx="82">
                        <c:v>66.29885308601591</c:v>
                      </c:pt>
                      <c:pt idx="83">
                        <c:v>66.29885308601591</c:v>
                      </c:pt>
                      <c:pt idx="84">
                        <c:v>66.29885308601591</c:v>
                      </c:pt>
                      <c:pt idx="85">
                        <c:v>66.29885308601591</c:v>
                      </c:pt>
                      <c:pt idx="86">
                        <c:v>66.29885308601591</c:v>
                      </c:pt>
                      <c:pt idx="87">
                        <c:v>66.29885308601591</c:v>
                      </c:pt>
                      <c:pt idx="88">
                        <c:v>66.29885308601591</c:v>
                      </c:pt>
                      <c:pt idx="89">
                        <c:v>66.29885308601591</c:v>
                      </c:pt>
                      <c:pt idx="90">
                        <c:v>66.29885308601591</c:v>
                      </c:pt>
                      <c:pt idx="91">
                        <c:v>66.29885308601591</c:v>
                      </c:pt>
                      <c:pt idx="92">
                        <c:v>66.29885308601591</c:v>
                      </c:pt>
                      <c:pt idx="93">
                        <c:v>66.29885308601591</c:v>
                      </c:pt>
                      <c:pt idx="94">
                        <c:v>66.29885308601591</c:v>
                      </c:pt>
                      <c:pt idx="95">
                        <c:v>66.29885308601591</c:v>
                      </c:pt>
                      <c:pt idx="96">
                        <c:v>66.29885308601591</c:v>
                      </c:pt>
                      <c:pt idx="97">
                        <c:v>66.29885308601591</c:v>
                      </c:pt>
                      <c:pt idx="98">
                        <c:v>66.29885308601591</c:v>
                      </c:pt>
                      <c:pt idx="99">
                        <c:v>66.29885308601591</c:v>
                      </c:pt>
                      <c:pt idx="100">
                        <c:v>66.29885308601591</c:v>
                      </c:pt>
                      <c:pt idx="101">
                        <c:v>66.29885308601591</c:v>
                      </c:pt>
                      <c:pt idx="102">
                        <c:v>66.29885308601591</c:v>
                      </c:pt>
                      <c:pt idx="103">
                        <c:v>66.29885308601591</c:v>
                      </c:pt>
                      <c:pt idx="104">
                        <c:v>66.29885308601591</c:v>
                      </c:pt>
                      <c:pt idx="105">
                        <c:v>66.29885308601591</c:v>
                      </c:pt>
                      <c:pt idx="106">
                        <c:v>66.29885308601591</c:v>
                      </c:pt>
                      <c:pt idx="107">
                        <c:v>66.29885308601591</c:v>
                      </c:pt>
                      <c:pt idx="108">
                        <c:v>66.29885308601591</c:v>
                      </c:pt>
                      <c:pt idx="109">
                        <c:v>66.29885308601591</c:v>
                      </c:pt>
                      <c:pt idx="110">
                        <c:v>66.29885308601591</c:v>
                      </c:pt>
                      <c:pt idx="111">
                        <c:v>66.29885308601591</c:v>
                      </c:pt>
                      <c:pt idx="112">
                        <c:v>66.29885308601591</c:v>
                      </c:pt>
                      <c:pt idx="113">
                        <c:v>66.29885308601591</c:v>
                      </c:pt>
                      <c:pt idx="114">
                        <c:v>66.29885308601591</c:v>
                      </c:pt>
                      <c:pt idx="115">
                        <c:v>66.29885308601591</c:v>
                      </c:pt>
                      <c:pt idx="116">
                        <c:v>66.29885308601591</c:v>
                      </c:pt>
                      <c:pt idx="117">
                        <c:v>66.29885308601591</c:v>
                      </c:pt>
                      <c:pt idx="118">
                        <c:v>66.29885308601591</c:v>
                      </c:pt>
                      <c:pt idx="119">
                        <c:v>66.29885308601591</c:v>
                      </c:pt>
                      <c:pt idx="120">
                        <c:v>66.29885308601591</c:v>
                      </c:pt>
                      <c:pt idx="121">
                        <c:v>66.29885308601591</c:v>
                      </c:pt>
                      <c:pt idx="122">
                        <c:v>66.29885308601591</c:v>
                      </c:pt>
                      <c:pt idx="123">
                        <c:v>66.29885308601591</c:v>
                      </c:pt>
                      <c:pt idx="124">
                        <c:v>66.29885308601591</c:v>
                      </c:pt>
                      <c:pt idx="125">
                        <c:v>66.29885308601591</c:v>
                      </c:pt>
                      <c:pt idx="126">
                        <c:v>66.29885308601591</c:v>
                      </c:pt>
                      <c:pt idx="127">
                        <c:v>66.29885308601591</c:v>
                      </c:pt>
                      <c:pt idx="128">
                        <c:v>66.29885308601591</c:v>
                      </c:pt>
                      <c:pt idx="129">
                        <c:v>66.29885308601591</c:v>
                      </c:pt>
                      <c:pt idx="130">
                        <c:v>66.29885308601591</c:v>
                      </c:pt>
                      <c:pt idx="131">
                        <c:v>66.29885308601591</c:v>
                      </c:pt>
                      <c:pt idx="132">
                        <c:v>66.29885308601591</c:v>
                      </c:pt>
                      <c:pt idx="133">
                        <c:v>66.29885308601591</c:v>
                      </c:pt>
                      <c:pt idx="134">
                        <c:v>66.29885308601591</c:v>
                      </c:pt>
                      <c:pt idx="135">
                        <c:v>66.29885308601591</c:v>
                      </c:pt>
                      <c:pt idx="136">
                        <c:v>66.29885308601591</c:v>
                      </c:pt>
                      <c:pt idx="137">
                        <c:v>66.29885308601591</c:v>
                      </c:pt>
                      <c:pt idx="138">
                        <c:v>66.29885308601591</c:v>
                      </c:pt>
                      <c:pt idx="139">
                        <c:v>66.29885308601591</c:v>
                      </c:pt>
                      <c:pt idx="140">
                        <c:v>66.29885308601591</c:v>
                      </c:pt>
                      <c:pt idx="141">
                        <c:v>66.29885308601591</c:v>
                      </c:pt>
                      <c:pt idx="142">
                        <c:v>66.29885308601591</c:v>
                      </c:pt>
                      <c:pt idx="143">
                        <c:v>66.29885308601591</c:v>
                      </c:pt>
                      <c:pt idx="144">
                        <c:v>66.29885308601591</c:v>
                      </c:pt>
                      <c:pt idx="145">
                        <c:v>66.29885308601591</c:v>
                      </c:pt>
                      <c:pt idx="146">
                        <c:v>66.29885308601591</c:v>
                      </c:pt>
                      <c:pt idx="147">
                        <c:v>66.29885308601591</c:v>
                      </c:pt>
                      <c:pt idx="148">
                        <c:v>66.29885308601591</c:v>
                      </c:pt>
                      <c:pt idx="149">
                        <c:v>66.29885308601591</c:v>
                      </c:pt>
                      <c:pt idx="150">
                        <c:v>66.29885308601591</c:v>
                      </c:pt>
                      <c:pt idx="151">
                        <c:v>66.29885308601591</c:v>
                      </c:pt>
                      <c:pt idx="152">
                        <c:v>66.29885308601591</c:v>
                      </c:pt>
                      <c:pt idx="153">
                        <c:v>66.29885308601591</c:v>
                      </c:pt>
                      <c:pt idx="154">
                        <c:v>66.29885308601591</c:v>
                      </c:pt>
                      <c:pt idx="155">
                        <c:v>66.29885308601591</c:v>
                      </c:pt>
                      <c:pt idx="156">
                        <c:v>66.29885308601591</c:v>
                      </c:pt>
                      <c:pt idx="157">
                        <c:v>66.29885308601591</c:v>
                      </c:pt>
                      <c:pt idx="158">
                        <c:v>66.29885308601591</c:v>
                      </c:pt>
                      <c:pt idx="159">
                        <c:v>66.29885308601591</c:v>
                      </c:pt>
                      <c:pt idx="160">
                        <c:v>66.29885308601591</c:v>
                      </c:pt>
                      <c:pt idx="161">
                        <c:v>66.29885308601591</c:v>
                      </c:pt>
                      <c:pt idx="162">
                        <c:v>66.29885308601591</c:v>
                      </c:pt>
                      <c:pt idx="163">
                        <c:v>66.29885308601591</c:v>
                      </c:pt>
                      <c:pt idx="164">
                        <c:v>66.29885308601591</c:v>
                      </c:pt>
                      <c:pt idx="165">
                        <c:v>66.29885308601591</c:v>
                      </c:pt>
                      <c:pt idx="166">
                        <c:v>66.29885308601591</c:v>
                      </c:pt>
                      <c:pt idx="167">
                        <c:v>66.29885308601591</c:v>
                      </c:pt>
                      <c:pt idx="168">
                        <c:v>66.29885308601591</c:v>
                      </c:pt>
                      <c:pt idx="169">
                        <c:v>66.29885308601591</c:v>
                      </c:pt>
                      <c:pt idx="170">
                        <c:v>66.29885308601591</c:v>
                      </c:pt>
                      <c:pt idx="171">
                        <c:v>66.29885308601591</c:v>
                      </c:pt>
                      <c:pt idx="172">
                        <c:v>66.29885308601591</c:v>
                      </c:pt>
                      <c:pt idx="173">
                        <c:v>66.29885308601591</c:v>
                      </c:pt>
                      <c:pt idx="174">
                        <c:v>66.29885308601591</c:v>
                      </c:pt>
                      <c:pt idx="175">
                        <c:v>66.29885308601591</c:v>
                      </c:pt>
                      <c:pt idx="176">
                        <c:v>66.29885308601591</c:v>
                      </c:pt>
                      <c:pt idx="177">
                        <c:v>66.29885308601591</c:v>
                      </c:pt>
                      <c:pt idx="178">
                        <c:v>66.29885308601591</c:v>
                      </c:pt>
                      <c:pt idx="179">
                        <c:v>66.29885308601591</c:v>
                      </c:pt>
                      <c:pt idx="180">
                        <c:v>66.29885308601591</c:v>
                      </c:pt>
                      <c:pt idx="181">
                        <c:v>66.29885308601591</c:v>
                      </c:pt>
                      <c:pt idx="182">
                        <c:v>66.29885308601591</c:v>
                      </c:pt>
                      <c:pt idx="183">
                        <c:v>66.29885308601591</c:v>
                      </c:pt>
                      <c:pt idx="184">
                        <c:v>66.29885308601591</c:v>
                      </c:pt>
                      <c:pt idx="185">
                        <c:v>66.29885308601591</c:v>
                      </c:pt>
                      <c:pt idx="186">
                        <c:v>66.29885308601591</c:v>
                      </c:pt>
                      <c:pt idx="187">
                        <c:v>66.29885308601591</c:v>
                      </c:pt>
                      <c:pt idx="188">
                        <c:v>66.29885308601591</c:v>
                      </c:pt>
                      <c:pt idx="189">
                        <c:v>66.29885308601591</c:v>
                      </c:pt>
                      <c:pt idx="190">
                        <c:v>66.29885308601591</c:v>
                      </c:pt>
                      <c:pt idx="191">
                        <c:v>66.29885308601591</c:v>
                      </c:pt>
                      <c:pt idx="192">
                        <c:v>66.29885308601591</c:v>
                      </c:pt>
                      <c:pt idx="193">
                        <c:v>66.29885308601591</c:v>
                      </c:pt>
                      <c:pt idx="194">
                        <c:v>66.29885308601591</c:v>
                      </c:pt>
                      <c:pt idx="195">
                        <c:v>66.29885308601591</c:v>
                      </c:pt>
                      <c:pt idx="196">
                        <c:v>66.29885308601591</c:v>
                      </c:pt>
                      <c:pt idx="197">
                        <c:v>66.29885308601591</c:v>
                      </c:pt>
                      <c:pt idx="198">
                        <c:v>66.29885308601591</c:v>
                      </c:pt>
                      <c:pt idx="199">
                        <c:v>66.29885308601591</c:v>
                      </c:pt>
                      <c:pt idx="200">
                        <c:v>66.29885308601591</c:v>
                      </c:pt>
                      <c:pt idx="201">
                        <c:v>66.29885308601591</c:v>
                      </c:pt>
                      <c:pt idx="202">
                        <c:v>66.29885308601591</c:v>
                      </c:pt>
                      <c:pt idx="203">
                        <c:v>66.29885308601591</c:v>
                      </c:pt>
                      <c:pt idx="204">
                        <c:v>66.29885308601591</c:v>
                      </c:pt>
                      <c:pt idx="205">
                        <c:v>66.29885308601591</c:v>
                      </c:pt>
                      <c:pt idx="206">
                        <c:v>66.29885308601591</c:v>
                      </c:pt>
                      <c:pt idx="207">
                        <c:v>66.29885308601591</c:v>
                      </c:pt>
                      <c:pt idx="208">
                        <c:v>66.29885308601591</c:v>
                      </c:pt>
                      <c:pt idx="209">
                        <c:v>66.29885308601591</c:v>
                      </c:pt>
                      <c:pt idx="210">
                        <c:v>66.29885308601591</c:v>
                      </c:pt>
                      <c:pt idx="211">
                        <c:v>66.29885308601591</c:v>
                      </c:pt>
                      <c:pt idx="212">
                        <c:v>66.29885308601591</c:v>
                      </c:pt>
                      <c:pt idx="213">
                        <c:v>66.29885308601591</c:v>
                      </c:pt>
                      <c:pt idx="214">
                        <c:v>66.29885308601591</c:v>
                      </c:pt>
                      <c:pt idx="215">
                        <c:v>66.29885308601591</c:v>
                      </c:pt>
                      <c:pt idx="216">
                        <c:v>66.29885308601591</c:v>
                      </c:pt>
                      <c:pt idx="217">
                        <c:v>66.29885308601591</c:v>
                      </c:pt>
                      <c:pt idx="218">
                        <c:v>66.29885308601591</c:v>
                      </c:pt>
                      <c:pt idx="219">
                        <c:v>66.29885308601591</c:v>
                      </c:pt>
                      <c:pt idx="220">
                        <c:v>66.29885308601591</c:v>
                      </c:pt>
                      <c:pt idx="221">
                        <c:v>66.29885308601591</c:v>
                      </c:pt>
                      <c:pt idx="222">
                        <c:v>66.29885308601591</c:v>
                      </c:pt>
                      <c:pt idx="223">
                        <c:v>66.29885308601591</c:v>
                      </c:pt>
                      <c:pt idx="224">
                        <c:v>66.29885308601591</c:v>
                      </c:pt>
                      <c:pt idx="225">
                        <c:v>66.29885308601591</c:v>
                      </c:pt>
                      <c:pt idx="226">
                        <c:v>66.29885308601591</c:v>
                      </c:pt>
                      <c:pt idx="227">
                        <c:v>66.29885308601591</c:v>
                      </c:pt>
                      <c:pt idx="228">
                        <c:v>66.29885308601591</c:v>
                      </c:pt>
                      <c:pt idx="229">
                        <c:v>66.29885308601591</c:v>
                      </c:pt>
                      <c:pt idx="230">
                        <c:v>66.29885308601591</c:v>
                      </c:pt>
                      <c:pt idx="231">
                        <c:v>66.29885308601591</c:v>
                      </c:pt>
                      <c:pt idx="232">
                        <c:v>66.29885308601591</c:v>
                      </c:pt>
                      <c:pt idx="233">
                        <c:v>66.29885308601591</c:v>
                      </c:pt>
                      <c:pt idx="234">
                        <c:v>66.29885308601591</c:v>
                      </c:pt>
                      <c:pt idx="235">
                        <c:v>66.29885308601591</c:v>
                      </c:pt>
                      <c:pt idx="236">
                        <c:v>66.29885308601591</c:v>
                      </c:pt>
                      <c:pt idx="237">
                        <c:v>66.29885308601591</c:v>
                      </c:pt>
                      <c:pt idx="238">
                        <c:v>66.29885308601591</c:v>
                      </c:pt>
                      <c:pt idx="239">
                        <c:v>66.29885308601591</c:v>
                      </c:pt>
                      <c:pt idx="240">
                        <c:v>66.29885308601591</c:v>
                      </c:pt>
                      <c:pt idx="241">
                        <c:v>66.29885308601591</c:v>
                      </c:pt>
                      <c:pt idx="242">
                        <c:v>66.29885308601591</c:v>
                      </c:pt>
                      <c:pt idx="243">
                        <c:v>66.29885308601591</c:v>
                      </c:pt>
                      <c:pt idx="244">
                        <c:v>66.29885308601591</c:v>
                      </c:pt>
                      <c:pt idx="245">
                        <c:v>66.29885308601591</c:v>
                      </c:pt>
                      <c:pt idx="246">
                        <c:v>66.29885308601591</c:v>
                      </c:pt>
                      <c:pt idx="247">
                        <c:v>66.29885308601591</c:v>
                      </c:pt>
                      <c:pt idx="248">
                        <c:v>66.29885308601591</c:v>
                      </c:pt>
                      <c:pt idx="249">
                        <c:v>66.29885308601591</c:v>
                      </c:pt>
                      <c:pt idx="250">
                        <c:v>66.29885308601591</c:v>
                      </c:pt>
                      <c:pt idx="251">
                        <c:v>66.29885308601591</c:v>
                      </c:pt>
                      <c:pt idx="252">
                        <c:v>66.29885308601591</c:v>
                      </c:pt>
                      <c:pt idx="253">
                        <c:v>66.29885308601591</c:v>
                      </c:pt>
                      <c:pt idx="254">
                        <c:v>66.29885308601591</c:v>
                      </c:pt>
                      <c:pt idx="255">
                        <c:v>66.29885308601591</c:v>
                      </c:pt>
                      <c:pt idx="256">
                        <c:v>66.29885308601591</c:v>
                      </c:pt>
                      <c:pt idx="257">
                        <c:v>66.29885308601591</c:v>
                      </c:pt>
                      <c:pt idx="258">
                        <c:v>66.29885308601591</c:v>
                      </c:pt>
                      <c:pt idx="259">
                        <c:v>66.29885308601591</c:v>
                      </c:pt>
                      <c:pt idx="260">
                        <c:v>66.29885308601591</c:v>
                      </c:pt>
                      <c:pt idx="261">
                        <c:v>66.29885308601591</c:v>
                      </c:pt>
                      <c:pt idx="262">
                        <c:v>66.29885308601591</c:v>
                      </c:pt>
                      <c:pt idx="263">
                        <c:v>66.29885308601591</c:v>
                      </c:pt>
                      <c:pt idx="264">
                        <c:v>66.29885308601591</c:v>
                      </c:pt>
                      <c:pt idx="265">
                        <c:v>66.29885308601591</c:v>
                      </c:pt>
                      <c:pt idx="266">
                        <c:v>66.29885308601591</c:v>
                      </c:pt>
                      <c:pt idx="267">
                        <c:v>66.29885308601591</c:v>
                      </c:pt>
                      <c:pt idx="268">
                        <c:v>66.29885308601591</c:v>
                      </c:pt>
                      <c:pt idx="269">
                        <c:v>66.29885308601591</c:v>
                      </c:pt>
                      <c:pt idx="270">
                        <c:v>66.29885308601591</c:v>
                      </c:pt>
                      <c:pt idx="271">
                        <c:v>66.29885308601591</c:v>
                      </c:pt>
                      <c:pt idx="272">
                        <c:v>66.29885308601591</c:v>
                      </c:pt>
                      <c:pt idx="273">
                        <c:v>66.29885308601591</c:v>
                      </c:pt>
                      <c:pt idx="274">
                        <c:v>66.29885308601591</c:v>
                      </c:pt>
                      <c:pt idx="275">
                        <c:v>66.29885308601591</c:v>
                      </c:pt>
                      <c:pt idx="276">
                        <c:v>66.29885308601591</c:v>
                      </c:pt>
                      <c:pt idx="277">
                        <c:v>66.29885308601591</c:v>
                      </c:pt>
                      <c:pt idx="278">
                        <c:v>66.29885308601591</c:v>
                      </c:pt>
                      <c:pt idx="279">
                        <c:v>66.29885308601591</c:v>
                      </c:pt>
                      <c:pt idx="280">
                        <c:v>66.29885308601591</c:v>
                      </c:pt>
                      <c:pt idx="281">
                        <c:v>66.29885308601591</c:v>
                      </c:pt>
                      <c:pt idx="282">
                        <c:v>66.29885308601591</c:v>
                      </c:pt>
                      <c:pt idx="283">
                        <c:v>66.29885308601591</c:v>
                      </c:pt>
                      <c:pt idx="284">
                        <c:v>66.29885308601591</c:v>
                      </c:pt>
                      <c:pt idx="285">
                        <c:v>66.29885308601591</c:v>
                      </c:pt>
                      <c:pt idx="286">
                        <c:v>66.29885308601591</c:v>
                      </c:pt>
                      <c:pt idx="287">
                        <c:v>66.29885308601591</c:v>
                      </c:pt>
                      <c:pt idx="288">
                        <c:v>66.29885308601591</c:v>
                      </c:pt>
                      <c:pt idx="289">
                        <c:v>66.29885308601591</c:v>
                      </c:pt>
                      <c:pt idx="290">
                        <c:v>66.29885308601591</c:v>
                      </c:pt>
                      <c:pt idx="291">
                        <c:v>66.29885308601591</c:v>
                      </c:pt>
                      <c:pt idx="292">
                        <c:v>66.29885308601591</c:v>
                      </c:pt>
                      <c:pt idx="293">
                        <c:v>66.29885308601591</c:v>
                      </c:pt>
                      <c:pt idx="294">
                        <c:v>66.29885308601591</c:v>
                      </c:pt>
                      <c:pt idx="295">
                        <c:v>66.29885308601591</c:v>
                      </c:pt>
                      <c:pt idx="296">
                        <c:v>66.29885308601591</c:v>
                      </c:pt>
                      <c:pt idx="297">
                        <c:v>66.29885308601591</c:v>
                      </c:pt>
                      <c:pt idx="298">
                        <c:v>66.29885308601591</c:v>
                      </c:pt>
                      <c:pt idx="299">
                        <c:v>66.29885308601591</c:v>
                      </c:pt>
                      <c:pt idx="300">
                        <c:v>66.29885308601591</c:v>
                      </c:pt>
                      <c:pt idx="301">
                        <c:v>66.29885308601591</c:v>
                      </c:pt>
                      <c:pt idx="302">
                        <c:v>66.29885308601591</c:v>
                      </c:pt>
                      <c:pt idx="303">
                        <c:v>66.29885308601591</c:v>
                      </c:pt>
                      <c:pt idx="304">
                        <c:v>66.29885308601591</c:v>
                      </c:pt>
                      <c:pt idx="305">
                        <c:v>66.29885308601591</c:v>
                      </c:pt>
                      <c:pt idx="306">
                        <c:v>66.29885308601591</c:v>
                      </c:pt>
                      <c:pt idx="307">
                        <c:v>66.29885308601591</c:v>
                      </c:pt>
                      <c:pt idx="308">
                        <c:v>66.29885308601591</c:v>
                      </c:pt>
                      <c:pt idx="309">
                        <c:v>66.29885308601591</c:v>
                      </c:pt>
                      <c:pt idx="310">
                        <c:v>66.29885308601591</c:v>
                      </c:pt>
                      <c:pt idx="311">
                        <c:v>66.29885308601591</c:v>
                      </c:pt>
                      <c:pt idx="312">
                        <c:v>66.29885308601591</c:v>
                      </c:pt>
                      <c:pt idx="313">
                        <c:v>66.29885308601591</c:v>
                      </c:pt>
                      <c:pt idx="314">
                        <c:v>66.29885308601591</c:v>
                      </c:pt>
                      <c:pt idx="315">
                        <c:v>66.29885308601591</c:v>
                      </c:pt>
                      <c:pt idx="316">
                        <c:v>66.29885308601591</c:v>
                      </c:pt>
                      <c:pt idx="317">
                        <c:v>66.29885308601591</c:v>
                      </c:pt>
                      <c:pt idx="318">
                        <c:v>66.29885308601591</c:v>
                      </c:pt>
                      <c:pt idx="319">
                        <c:v>66.29885308601591</c:v>
                      </c:pt>
                      <c:pt idx="320">
                        <c:v>66.29885308601591</c:v>
                      </c:pt>
                      <c:pt idx="321">
                        <c:v>66.29885308601591</c:v>
                      </c:pt>
                      <c:pt idx="322">
                        <c:v>66.29885308601591</c:v>
                      </c:pt>
                      <c:pt idx="323">
                        <c:v>66.29885308601591</c:v>
                      </c:pt>
                      <c:pt idx="324">
                        <c:v>66.29885308601591</c:v>
                      </c:pt>
                      <c:pt idx="325">
                        <c:v>66.29885308601591</c:v>
                      </c:pt>
                      <c:pt idx="326">
                        <c:v>66.29885308601591</c:v>
                      </c:pt>
                      <c:pt idx="327">
                        <c:v>66.29885308601591</c:v>
                      </c:pt>
                      <c:pt idx="328">
                        <c:v>66.29885308601591</c:v>
                      </c:pt>
                      <c:pt idx="329">
                        <c:v>66.29885308601591</c:v>
                      </c:pt>
                      <c:pt idx="330">
                        <c:v>66.29885308601591</c:v>
                      </c:pt>
                      <c:pt idx="331">
                        <c:v>66.29885308601591</c:v>
                      </c:pt>
                      <c:pt idx="332">
                        <c:v>66.29885308601591</c:v>
                      </c:pt>
                      <c:pt idx="333">
                        <c:v>66.29885308601591</c:v>
                      </c:pt>
                      <c:pt idx="334">
                        <c:v>66.29885308601591</c:v>
                      </c:pt>
                      <c:pt idx="335">
                        <c:v>66.29885308601591</c:v>
                      </c:pt>
                      <c:pt idx="336">
                        <c:v>66.29885308601591</c:v>
                      </c:pt>
                      <c:pt idx="337">
                        <c:v>66.29885308601591</c:v>
                      </c:pt>
                      <c:pt idx="338">
                        <c:v>66.29885308601591</c:v>
                      </c:pt>
                      <c:pt idx="339">
                        <c:v>66.29885308601591</c:v>
                      </c:pt>
                      <c:pt idx="340">
                        <c:v>66.29885308601591</c:v>
                      </c:pt>
                      <c:pt idx="341">
                        <c:v>66.29885308601591</c:v>
                      </c:pt>
                      <c:pt idx="342">
                        <c:v>66.29885308601591</c:v>
                      </c:pt>
                      <c:pt idx="343">
                        <c:v>66.29885308601591</c:v>
                      </c:pt>
                      <c:pt idx="344">
                        <c:v>66.29885308601591</c:v>
                      </c:pt>
                      <c:pt idx="345">
                        <c:v>66.29885308601591</c:v>
                      </c:pt>
                      <c:pt idx="346">
                        <c:v>66.29885308601591</c:v>
                      </c:pt>
                      <c:pt idx="347">
                        <c:v>66.29885308601591</c:v>
                      </c:pt>
                      <c:pt idx="348">
                        <c:v>66.29885308601591</c:v>
                      </c:pt>
                      <c:pt idx="349">
                        <c:v>66.29885308601591</c:v>
                      </c:pt>
                      <c:pt idx="350">
                        <c:v>66.29885308601591</c:v>
                      </c:pt>
                      <c:pt idx="351">
                        <c:v>66.29885308601591</c:v>
                      </c:pt>
                      <c:pt idx="352">
                        <c:v>66.29885308601591</c:v>
                      </c:pt>
                      <c:pt idx="353">
                        <c:v>66.29885308601591</c:v>
                      </c:pt>
                      <c:pt idx="354">
                        <c:v>66.29885308601591</c:v>
                      </c:pt>
                      <c:pt idx="355">
                        <c:v>66.29885308601591</c:v>
                      </c:pt>
                      <c:pt idx="356">
                        <c:v>66.29885308601591</c:v>
                      </c:pt>
                      <c:pt idx="357">
                        <c:v>66.29885308601591</c:v>
                      </c:pt>
                      <c:pt idx="358">
                        <c:v>66.29885308601591</c:v>
                      </c:pt>
                      <c:pt idx="359">
                        <c:v>66.29885308601591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101902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2256"/>
        <c:crosses val="autoZero"/>
        <c:auto val="1"/>
        <c:lblOffset val="100"/>
        <c:baseTimeUnit val="months"/>
      </c:dateAx>
      <c:valAx>
        <c:axId val="4101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Electric Bill (Fuel Costs) -- 600 KWhr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'Fuel Cost Risk Sim'!$D$239</c:f>
              <c:strCache>
                <c:ptCount val="1"/>
                <c:pt idx="0">
                  <c:v>Henry Hub Linked Gas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Sim'!$E$239:$MZ$239</c:f>
              <c:numCache>
                <c:formatCode>_("$"* #,##0.00_);_("$"* \(#,##0.00\);_("$"* "-"??_);_(@_)</c:formatCode>
                <c:ptCount val="360"/>
                <c:pt idx="0">
                  <c:v>57.396960000000007</c:v>
                </c:pt>
                <c:pt idx="1">
                  <c:v>57.438169055055404</c:v>
                </c:pt>
                <c:pt idx="2">
                  <c:v>57.479511605241555</c:v>
                </c:pt>
                <c:pt idx="3">
                  <c:v>57.520988083010756</c:v>
                </c:pt>
                <c:pt idx="4">
                  <c:v>57.562598922216189</c:v>
                </c:pt>
                <c:pt idx="5">
                  <c:v>57.604344558116509</c:v>
                </c:pt>
                <c:pt idx="6">
                  <c:v>57.646225427380351</c:v>
                </c:pt>
                <c:pt idx="7">
                  <c:v>57.688241968090949</c:v>
                </c:pt>
                <c:pt idx="8">
                  <c:v>57.730394619750662</c:v>
                </c:pt>
                <c:pt idx="9">
                  <c:v>57.772683823285639</c:v>
                </c:pt>
                <c:pt idx="10">
                  <c:v>57.815110021050344</c:v>
                </c:pt>
                <c:pt idx="11">
                  <c:v>57.857673656832269</c:v>
                </c:pt>
                <c:pt idx="12">
                  <c:v>57.900375175856524</c:v>
                </c:pt>
                <c:pt idx="13">
                  <c:v>57.94321502479049</c:v>
                </c:pt>
                <c:pt idx="14">
                  <c:v>57.98619365174855</c:v>
                </c:pt>
                <c:pt idx="15">
                  <c:v>58.029311506296715</c:v>
                </c:pt>
                <c:pt idx="16">
                  <c:v>58.072569039457342</c:v>
                </c:pt>
                <c:pt idx="17">
                  <c:v>58.115966703713838</c:v>
                </c:pt>
                <c:pt idx="18">
                  <c:v>58.159504953015464</c:v>
                </c:pt>
                <c:pt idx="19">
                  <c:v>58.203184242782008</c:v>
                </c:pt>
                <c:pt idx="20">
                  <c:v>58.247005029908557</c:v>
                </c:pt>
                <c:pt idx="21">
                  <c:v>58.290967772770315</c:v>
                </c:pt>
                <c:pt idx="22">
                  <c:v>58.335072931227344</c:v>
                </c:pt>
                <c:pt idx="23">
                  <c:v>58.379320966629443</c:v>
                </c:pt>
                <c:pt idx="24">
                  <c:v>58.423712341820902</c:v>
                </c:pt>
                <c:pt idx="25">
                  <c:v>58.468247521145422</c:v>
                </c:pt>
                <c:pt idx="26">
                  <c:v>58.512926970450863</c:v>
                </c:pt>
                <c:pt idx="27">
                  <c:v>58.557751157094238</c:v>
                </c:pt>
                <c:pt idx="28">
                  <c:v>58.602720549946504</c:v>
                </c:pt>
                <c:pt idx="29">
                  <c:v>58.647835619397554</c:v>
                </c:pt>
                <c:pt idx="30">
                  <c:v>58.693096837361033</c:v>
                </c:pt>
                <c:pt idx="31">
                  <c:v>58.738504677279373</c:v>
                </c:pt>
                <c:pt idx="32">
                  <c:v>58.784059614128708</c:v>
                </c:pt>
                <c:pt idx="33">
                  <c:v>58.829762124423802</c:v>
                </c:pt>
                <c:pt idx="34">
                  <c:v>58.8756126862231</c:v>
                </c:pt>
                <c:pt idx="35">
                  <c:v>58.921611779133691</c:v>
                </c:pt>
                <c:pt idx="36">
                  <c:v>58.967759884316337</c:v>
                </c:pt>
                <c:pt idx="37">
                  <c:v>59.014057484490479</c:v>
                </c:pt>
                <c:pt idx="38">
                  <c:v>59.060505063939345</c:v>
                </c:pt>
                <c:pt idx="39">
                  <c:v>59.107103108514956</c:v>
                </c:pt>
                <c:pt idx="40">
                  <c:v>59.153852105643239</c:v>
                </c:pt>
                <c:pt idx="41">
                  <c:v>59.200752544329113</c:v>
                </c:pt>
                <c:pt idx="42">
                  <c:v>59.247804915161609</c:v>
                </c:pt>
                <c:pt idx="43">
                  <c:v>59.295009710319007</c:v>
                </c:pt>
                <c:pt idx="44">
                  <c:v>59.342367423573975</c:v>
                </c:pt>
                <c:pt idx="45">
                  <c:v>59.389878550298739</c:v>
                </c:pt>
                <c:pt idx="46">
                  <c:v>59.437543587470287</c:v>
                </c:pt>
                <c:pt idx="47">
                  <c:v>59.485363033675505</c:v>
                </c:pt>
                <c:pt idx="48">
                  <c:v>59.533337389116454</c:v>
                </c:pt>
                <c:pt idx="49">
                  <c:v>59.581467155615591</c:v>
                </c:pt>
                <c:pt idx="50">
                  <c:v>59.629752836620973</c:v>
                </c:pt>
                <c:pt idx="51">
                  <c:v>59.678194937211579</c:v>
                </c:pt>
                <c:pt idx="52">
                  <c:v>59.726793964102583</c:v>
                </c:pt>
                <c:pt idx="53">
                  <c:v>59.775550425650628</c:v>
                </c:pt>
                <c:pt idx="54">
                  <c:v>59.824464831859153</c:v>
                </c:pt>
                <c:pt idx="55">
                  <c:v>59.873537694383757</c:v>
                </c:pt>
                <c:pt idx="56">
                  <c:v>59.922769526537486</c:v>
                </c:pt>
                <c:pt idx="57">
                  <c:v>59.972160843296294</c:v>
                </c:pt>
                <c:pt idx="58">
                  <c:v>60.021712161304343</c:v>
                </c:pt>
                <c:pt idx="59">
                  <c:v>60.071423998879439</c:v>
                </c:pt>
                <c:pt idx="60">
                  <c:v>60.121296876018533</c:v>
                </c:pt>
                <c:pt idx="61">
                  <c:v>60.171331314402963</c:v>
                </c:pt>
                <c:pt idx="62">
                  <c:v>60.221527837404111</c:v>
                </c:pt>
                <c:pt idx="63">
                  <c:v>60.271886970088822</c:v>
                </c:pt>
                <c:pt idx="64">
                  <c:v>60.322409239224811</c:v>
                </c:pt>
                <c:pt idx="65">
                  <c:v>60.373095173286288</c:v>
                </c:pt>
                <c:pt idx="66">
                  <c:v>60.423945302459387</c:v>
                </c:pt>
                <c:pt idx="67">
                  <c:v>60.474960158647782</c:v>
                </c:pt>
                <c:pt idx="68">
                  <c:v>60.526140275478269</c:v>
                </c:pt>
                <c:pt idx="69">
                  <c:v>60.577486188306224</c:v>
                </c:pt>
                <c:pt idx="70">
                  <c:v>60.628998434221366</c:v>
                </c:pt>
                <c:pt idx="71">
                  <c:v>60.680677552053233</c:v>
                </c:pt>
                <c:pt idx="72">
                  <c:v>60.732524082376933</c:v>
                </c:pt>
                <c:pt idx="73">
                  <c:v>60.784538567518702</c:v>
                </c:pt>
                <c:pt idx="74">
                  <c:v>60.836721551561645</c:v>
                </c:pt>
                <c:pt idx="75">
                  <c:v>60.889073580351386</c:v>
                </c:pt>
                <c:pt idx="76">
                  <c:v>60.941595201501833</c:v>
                </c:pt>
                <c:pt idx="77">
                  <c:v>60.994286964400821</c:v>
                </c:pt>
                <c:pt idx="78">
                  <c:v>61.047149420215938</c:v>
                </c:pt>
                <c:pt idx="79">
                  <c:v>61.100183121900237</c:v>
                </c:pt>
                <c:pt idx="80">
                  <c:v>61.153388624198037</c:v>
                </c:pt>
                <c:pt idx="81">
                  <c:v>61.206766483650767</c:v>
                </c:pt>
                <c:pt idx="82">
                  <c:v>61.260317258602711</c:v>
                </c:pt>
                <c:pt idx="83">
                  <c:v>61.314041509206923</c:v>
                </c:pt>
                <c:pt idx="84">
                  <c:v>61.367939797430992</c:v>
                </c:pt>
                <c:pt idx="85">
                  <c:v>61.422012687063038</c:v>
                </c:pt>
                <c:pt idx="86">
                  <c:v>61.476260743717539</c:v>
                </c:pt>
                <c:pt idx="87">
                  <c:v>61.530684534841235</c:v>
                </c:pt>
                <c:pt idx="88">
                  <c:v>61.585284629719112</c:v>
                </c:pt>
                <c:pt idx="89">
                  <c:v>61.640061599480319</c:v>
                </c:pt>
                <c:pt idx="90">
                  <c:v>61.695016017104159</c:v>
                </c:pt>
                <c:pt idx="91">
                  <c:v>61.750148457426086</c:v>
                </c:pt>
                <c:pt idx="92">
                  <c:v>61.805459497143708</c:v>
                </c:pt>
                <c:pt idx="93">
                  <c:v>61.860949714822802</c:v>
                </c:pt>
                <c:pt idx="94">
                  <c:v>61.91661969090341</c:v>
                </c:pt>
                <c:pt idx="95">
                  <c:v>61.972470007705887</c:v>
                </c:pt>
                <c:pt idx="96">
                  <c:v>62.028501249436985</c:v>
                </c:pt>
                <c:pt idx="97">
                  <c:v>62.084714002195959</c:v>
                </c:pt>
                <c:pt idx="98">
                  <c:v>62.141108853980754</c:v>
                </c:pt>
                <c:pt idx="99">
                  <c:v>62.197686394694045</c:v>
                </c:pt>
                <c:pt idx="100">
                  <c:v>62.254447216149543</c:v>
                </c:pt>
                <c:pt idx="101">
                  <c:v>62.311391912078051</c:v>
                </c:pt>
                <c:pt idx="102">
                  <c:v>62.368521078133789</c:v>
                </c:pt>
                <c:pt idx="103">
                  <c:v>62.425835311900542</c:v>
                </c:pt>
                <c:pt idx="104">
                  <c:v>62.483335212897991</c:v>
                </c:pt>
                <c:pt idx="105">
                  <c:v>62.541021382587878</c:v>
                </c:pt>
                <c:pt idx="106">
                  <c:v>62.598894424380404</c:v>
                </c:pt>
                <c:pt idx="107">
                  <c:v>62.656954943640457</c:v>
                </c:pt>
                <c:pt idx="108">
                  <c:v>62.71520354769401</c:v>
                </c:pt>
                <c:pt idx="109">
                  <c:v>62.773640845834443</c:v>
                </c:pt>
                <c:pt idx="110">
                  <c:v>62.832267449328896</c:v>
                </c:pt>
                <c:pt idx="111">
                  <c:v>62.89108397142472</c:v>
                </c:pt>
                <c:pt idx="112">
                  <c:v>62.950091027355796</c:v>
                </c:pt>
                <c:pt idx="113">
                  <c:v>63.009289234349119</c:v>
                </c:pt>
                <c:pt idx="114">
                  <c:v>63.068679211631093</c:v>
                </c:pt>
                <c:pt idx="115">
                  <c:v>63.128261580434106</c:v>
                </c:pt>
                <c:pt idx="116">
                  <c:v>63.188036964003025</c:v>
                </c:pt>
                <c:pt idx="117">
                  <c:v>63.248005987601637</c:v>
                </c:pt>
                <c:pt idx="118">
                  <c:v>63.308169278519337</c:v>
                </c:pt>
                <c:pt idx="119">
                  <c:v>63.368527466077509</c:v>
                </c:pt>
                <c:pt idx="120">
                  <c:v>63.429081181636256</c:v>
                </c:pt>
                <c:pt idx="121">
                  <c:v>63.48983105860092</c:v>
                </c:pt>
                <c:pt idx="122">
                  <c:v>63.550777732428735</c:v>
                </c:pt>
                <c:pt idx="123">
                  <c:v>63.611921840635532</c:v>
                </c:pt>
                <c:pt idx="124">
                  <c:v>63.673264022802236</c:v>
                </c:pt>
                <c:pt idx="125">
                  <c:v>63.734804920581773</c:v>
                </c:pt>
                <c:pt idx="126">
                  <c:v>63.796545177705646</c:v>
                </c:pt>
                <c:pt idx="127">
                  <c:v>63.858485439990673</c:v>
                </c:pt>
                <c:pt idx="128">
                  <c:v>63.920626355345803</c:v>
                </c:pt>
                <c:pt idx="129">
                  <c:v>63.982968573778848</c:v>
                </c:pt>
                <c:pt idx="130">
                  <c:v>64.045512747403308</c:v>
                </c:pt>
                <c:pt idx="131">
                  <c:v>64.108259530445153</c:v>
                </c:pt>
                <c:pt idx="132">
                  <c:v>64.171209579249719</c:v>
                </c:pt>
                <c:pt idx="133">
                  <c:v>64.234363552288542</c:v>
                </c:pt>
                <c:pt idx="134">
                  <c:v>64.29772211016622</c:v>
                </c:pt>
                <c:pt idx="135">
                  <c:v>64.361285915627406</c:v>
                </c:pt>
                <c:pt idx="136">
                  <c:v>64.425055633563673</c:v>
                </c:pt>
                <c:pt idx="137">
                  <c:v>64.489031931020435</c:v>
                </c:pt>
                <c:pt idx="138">
                  <c:v>64.553215477204049</c:v>
                </c:pt>
                <c:pt idx="139">
                  <c:v>64.617606943488681</c:v>
                </c:pt>
                <c:pt idx="140">
                  <c:v>64.682207003423414</c:v>
                </c:pt>
                <c:pt idx="141">
                  <c:v>64.747016332739264</c:v>
                </c:pt>
                <c:pt idx="142">
                  <c:v>64.812035609356258</c:v>
                </c:pt>
                <c:pt idx="143">
                  <c:v>64.877265513390498</c:v>
                </c:pt>
                <c:pt idx="144">
                  <c:v>64.942706727161337</c:v>
                </c:pt>
                <c:pt idx="145">
                  <c:v>65.008359935198399</c:v>
                </c:pt>
                <c:pt idx="146">
                  <c:v>65.074225824248899</c:v>
                </c:pt>
                <c:pt idx="147">
                  <c:v>65.140305083284687</c:v>
                </c:pt>
                <c:pt idx="148">
                  <c:v>65.206598403509545</c:v>
                </c:pt>
                <c:pt idx="149">
                  <c:v>65.273106478366373</c:v>
                </c:pt>
                <c:pt idx="150">
                  <c:v>65.339830003544407</c:v>
                </c:pt>
                <c:pt idx="151">
                  <c:v>65.406769676986613</c:v>
                </c:pt>
                <c:pt idx="152">
                  <c:v>65.473926198896905</c:v>
                </c:pt>
                <c:pt idx="153">
                  <c:v>65.541300271747417</c:v>
                </c:pt>
                <c:pt idx="154">
                  <c:v>65.608892600285969</c:v>
                </c:pt>
                <c:pt idx="155">
                  <c:v>65.676703891543397</c:v>
                </c:pt>
                <c:pt idx="156">
                  <c:v>65.744734854840871</c:v>
                </c:pt>
                <c:pt idx="157">
                  <c:v>65.812986201797457</c:v>
                </c:pt>
                <c:pt idx="158">
                  <c:v>65.881458646337421</c:v>
                </c:pt>
                <c:pt idx="159">
                  <c:v>65.950152904697802</c:v>
                </c:pt>
                <c:pt idx="160">
                  <c:v>66.019069695435803</c:v>
                </c:pt>
                <c:pt idx="161">
                  <c:v>66.088209739436451</c:v>
                </c:pt>
                <c:pt idx="162">
                  <c:v>66.157573759919984</c:v>
                </c:pt>
                <c:pt idx="163">
                  <c:v>66.227162482449515</c:v>
                </c:pt>
                <c:pt idx="164">
                  <c:v>66.296976634938559</c:v>
                </c:pt>
                <c:pt idx="165">
                  <c:v>66.367016947658726</c:v>
                </c:pt>
                <c:pt idx="166">
                  <c:v>66.437284153247276</c:v>
                </c:pt>
                <c:pt idx="167">
                  <c:v>66.507778986714825</c:v>
                </c:pt>
                <c:pt idx="168">
                  <c:v>66.578502185453047</c:v>
                </c:pt>
                <c:pt idx="169">
                  <c:v>66.649454489242316</c:v>
                </c:pt>
                <c:pt idx="170">
                  <c:v>66.720636640259585</c:v>
                </c:pt>
                <c:pt idx="171">
                  <c:v>66.792049383085967</c:v>
                </c:pt>
                <c:pt idx="172">
                  <c:v>66.863693464714686</c:v>
                </c:pt>
                <c:pt idx="173">
                  <c:v>66.93556963455876</c:v>
                </c:pt>
                <c:pt idx="174">
                  <c:v>67.007678644458963</c:v>
                </c:pt>
                <c:pt idx="175">
                  <c:v>67.080021248691594</c:v>
                </c:pt>
                <c:pt idx="176">
                  <c:v>67.152598203976382</c:v>
                </c:pt>
                <c:pt idx="177">
                  <c:v>67.22541026948447</c:v>
                </c:pt>
                <c:pt idx="178">
                  <c:v>67.298458206846263</c:v>
                </c:pt>
                <c:pt idx="179">
                  <c:v>67.371742780159479</c:v>
                </c:pt>
                <c:pt idx="180">
                  <c:v>67.445264755997044</c:v>
                </c:pt>
                <c:pt idx="181">
                  <c:v>67.519024903415243</c:v>
                </c:pt>
                <c:pt idx="182">
                  <c:v>67.593023993961609</c:v>
                </c:pt>
                <c:pt idx="183">
                  <c:v>67.667262801683123</c:v>
                </c:pt>
                <c:pt idx="184">
                  <c:v>67.741742103134257</c:v>
                </c:pt>
                <c:pt idx="185">
                  <c:v>67.816462677385076</c:v>
                </c:pt>
                <c:pt idx="186">
                  <c:v>67.891425306029433</c:v>
                </c:pt>
                <c:pt idx="187">
                  <c:v>67.966630773193131</c:v>
                </c:pt>
                <c:pt idx="188">
                  <c:v>68.042079865542092</c:v>
                </c:pt>
                <c:pt idx="189">
                  <c:v>68.117773372290642</c:v>
                </c:pt>
                <c:pt idx="190">
                  <c:v>68.193712085209711</c:v>
                </c:pt>
                <c:pt idx="191">
                  <c:v>68.269896798635159</c:v>
                </c:pt>
                <c:pt idx="192">
                  <c:v>68.346328309476036</c:v>
                </c:pt>
                <c:pt idx="193">
                  <c:v>68.423007417222976</c:v>
                </c:pt>
                <c:pt idx="194">
                  <c:v>68.499934923956516</c:v>
                </c:pt>
                <c:pt idx="195">
                  <c:v>68.57711163435556</c:v>
                </c:pt>
                <c:pt idx="196">
                  <c:v>68.654538355705625</c:v>
                </c:pt>
                <c:pt idx="197">
                  <c:v>68.732215897907494</c:v>
                </c:pt>
                <c:pt idx="198">
                  <c:v>68.810145073485543</c:v>
                </c:pt>
                <c:pt idx="199">
                  <c:v>68.888326697596341</c:v>
                </c:pt>
                <c:pt idx="200">
                  <c:v>68.966761588037045</c:v>
                </c:pt>
                <c:pt idx="201">
                  <c:v>69.045450565254086</c:v>
                </c:pt>
                <c:pt idx="202">
                  <c:v>69.124394452351723</c:v>
                </c:pt>
                <c:pt idx="203">
                  <c:v>69.203594075100554</c:v>
                </c:pt>
                <c:pt idx="204">
                  <c:v>69.2830502619463</c:v>
                </c:pt>
                <c:pt idx="205">
                  <c:v>69.362763844018374</c:v>
                </c:pt>
                <c:pt idx="206">
                  <c:v>69.442735655138605</c:v>
                </c:pt>
                <c:pt idx="207">
                  <c:v>69.522966531829908</c:v>
                </c:pt>
                <c:pt idx="208">
                  <c:v>69.603457313325151</c:v>
                </c:pt>
                <c:pt idx="209">
                  <c:v>69.684208841575852</c:v>
                </c:pt>
                <c:pt idx="210">
                  <c:v>69.765221961260963</c:v>
                </c:pt>
                <c:pt idx="211">
                  <c:v>69.846497519795747</c:v>
                </c:pt>
                <c:pt idx="212">
                  <c:v>69.928036367340667</c:v>
                </c:pt>
                <c:pt idx="213">
                  <c:v>70.009839356810218</c:v>
                </c:pt>
                <c:pt idx="214">
                  <c:v>70.091907343881914</c:v>
                </c:pt>
                <c:pt idx="215">
                  <c:v>70.174241187005151</c:v>
                </c:pt>
                <c:pt idx="216">
                  <c:v>70.256841747410277</c:v>
                </c:pt>
                <c:pt idx="217">
                  <c:v>70.339709889117543</c:v>
                </c:pt>
                <c:pt idx="218">
                  <c:v>70.422846478946184</c:v>
                </c:pt>
                <c:pt idx="219">
                  <c:v>70.506252386523414</c:v>
                </c:pt>
                <c:pt idx="220">
                  <c:v>70.589928484293651</c:v>
                </c:pt>
                <c:pt idx="221">
                  <c:v>70.673875647527481</c:v>
                </c:pt>
                <c:pt idx="222">
                  <c:v>70.758094754330926</c:v>
                </c:pt>
                <c:pt idx="223">
                  <c:v>70.842586685654609</c:v>
                </c:pt>
                <c:pt idx="224">
                  <c:v>70.927352325302948</c:v>
                </c:pt>
                <c:pt idx="225">
                  <c:v>71.012392559943436</c:v>
                </c:pt>
                <c:pt idx="226">
                  <c:v>71.097708279115821</c:v>
                </c:pt>
                <c:pt idx="227">
                  <c:v>71.183300375241572</c:v>
                </c:pt>
                <c:pt idx="228">
                  <c:v>71.269169743633057</c:v>
                </c:pt>
                <c:pt idx="229">
                  <c:v>71.355317282503009</c:v>
                </c:pt>
                <c:pt idx="230">
                  <c:v>71.441743892973847</c:v>
                </c:pt>
                <c:pt idx="231">
                  <c:v>71.528450479087184</c:v>
                </c:pt>
                <c:pt idx="232">
                  <c:v>71.61543794781322</c:v>
                </c:pt>
                <c:pt idx="233">
                  <c:v>71.70270720906025</c:v>
                </c:pt>
                <c:pt idx="234">
                  <c:v>71.79025917568417</c:v>
                </c:pt>
                <c:pt idx="235">
                  <c:v>71.878094763498083</c:v>
                </c:pt>
                <c:pt idx="236">
                  <c:v>71.966214891281766</c:v>
                </c:pt>
                <c:pt idx="237">
                  <c:v>72.054620480791399</c:v>
                </c:pt>
                <c:pt idx="238">
                  <c:v>72.143312456769152</c:v>
                </c:pt>
                <c:pt idx="239">
                  <c:v>72.232291746952811</c:v>
                </c:pt>
                <c:pt idx="240">
                  <c:v>72.321559282085616</c:v>
                </c:pt>
                <c:pt idx="241">
                  <c:v>72.411115995925826</c:v>
                </c:pt>
                <c:pt idx="242">
                  <c:v>72.500962825256636</c:v>
                </c:pt>
                <c:pt idx="243">
                  <c:v>72.591100709895883</c:v>
                </c:pt>
                <c:pt idx="244">
                  <c:v>72.681530592705911</c:v>
                </c:pt>
                <c:pt idx="245">
                  <c:v>72.772253419603459</c:v>
                </c:pt>
                <c:pt idx="246">
                  <c:v>72.863270139569465</c:v>
                </c:pt>
                <c:pt idx="247">
                  <c:v>72.95458170465912</c:v>
                </c:pt>
                <c:pt idx="248">
                  <c:v>73.046189070011735</c:v>
                </c:pt>
                <c:pt idx="249">
                  <c:v>73.138093193860726</c:v>
                </c:pt>
                <c:pt idx="250">
                  <c:v>73.230295037543726</c:v>
                </c:pt>
                <c:pt idx="251">
                  <c:v>73.322795565512578</c:v>
                </c:pt>
                <c:pt idx="252">
                  <c:v>73.415595745343325</c:v>
                </c:pt>
                <c:pt idx="253">
                  <c:v>73.508696547746595</c:v>
                </c:pt>
                <c:pt idx="254">
                  <c:v>73.60209894657747</c:v>
                </c:pt>
                <c:pt idx="255">
                  <c:v>73.695803918845883</c:v>
                </c:pt>
                <c:pt idx="256">
                  <c:v>73.789812444726692</c:v>
                </c:pt>
                <c:pt idx="257">
                  <c:v>73.884125507570005</c:v>
                </c:pt>
                <c:pt idx="258">
                  <c:v>73.978744093911473</c:v>
                </c:pt>
                <c:pt idx="259">
                  <c:v>74.073669193482601</c:v>
                </c:pt>
                <c:pt idx="260">
                  <c:v>74.168901799221061</c:v>
                </c:pt>
                <c:pt idx="261">
                  <c:v>74.264442907281122</c:v>
                </c:pt>
                <c:pt idx="262">
                  <c:v>74.360293517044028</c:v>
                </c:pt>
                <c:pt idx="263">
                  <c:v>74.456454631128551</c:v>
                </c:pt>
                <c:pt idx="264">
                  <c:v>74.552927255401315</c:v>
                </c:pt>
                <c:pt idx="265">
                  <c:v>74.649712398987504</c:v>
                </c:pt>
                <c:pt idx="266">
                  <c:v>74.74681107428124</c:v>
                </c:pt>
                <c:pt idx="267">
                  <c:v>74.844224296956298</c:v>
                </c:pt>
                <c:pt idx="268">
                  <c:v>74.941953085976692</c:v>
                </c:pt>
                <c:pt idx="269">
                  <c:v>75.039998463607319</c:v>
                </c:pt>
                <c:pt idx="270">
                  <c:v>75.138361455424686</c:v>
                </c:pt>
                <c:pt idx="271">
                  <c:v>75.23704309032756</c:v>
                </c:pt>
                <c:pt idx="272">
                  <c:v>75.336044400547848</c:v>
                </c:pt>
                <c:pt idx="273">
                  <c:v>75.435366421661271</c:v>
                </c:pt>
                <c:pt idx="274">
                  <c:v>75.535010192598321</c:v>
                </c:pt>
                <c:pt idx="275">
                  <c:v>75.634976755655032</c:v>
                </c:pt>
                <c:pt idx="276">
                  <c:v>75.735267156503909</c:v>
                </c:pt>
                <c:pt idx="277">
                  <c:v>75.835882444204913</c:v>
                </c:pt>
                <c:pt idx="278">
                  <c:v>75.936823671216317</c:v>
                </c:pt>
                <c:pt idx="279">
                  <c:v>76.038091893405863</c:v>
                </c:pt>
                <c:pt idx="280">
                  <c:v>76.139688170061703</c:v>
                </c:pt>
                <c:pt idx="281">
                  <c:v>76.241613563903528</c:v>
                </c:pt>
                <c:pt idx="282">
                  <c:v>76.343869141093634</c:v>
                </c:pt>
                <c:pt idx="283">
                  <c:v>76.44645597124817</c:v>
                </c:pt>
                <c:pt idx="284">
                  <c:v>76.549375127448201</c:v>
                </c:pt>
                <c:pt idx="285">
                  <c:v>76.652627686251023</c:v>
                </c:pt>
                <c:pt idx="286">
                  <c:v>76.756214727701405</c:v>
                </c:pt>
                <c:pt idx="287">
                  <c:v>76.860137335342898</c:v>
                </c:pt>
                <c:pt idx="288">
                  <c:v>76.964396596229065</c:v>
                </c:pt>
                <c:pt idx="289">
                  <c:v>77.068993600935059</c:v>
                </c:pt>
                <c:pt idx="290">
                  <c:v>77.173929443568795</c:v>
                </c:pt>
                <c:pt idx="291">
                  <c:v>77.279205221782576</c:v>
                </c:pt>
                <c:pt idx="292">
                  <c:v>77.384822036784527</c:v>
                </c:pt>
                <c:pt idx="293">
                  <c:v>77.490780993349986</c:v>
                </c:pt>
                <c:pt idx="294">
                  <c:v>77.597083199833278</c:v>
                </c:pt>
                <c:pt idx="295">
                  <c:v>77.703729768179173</c:v>
                </c:pt>
                <c:pt idx="296">
                  <c:v>77.810721813934521</c:v>
                </c:pt>
                <c:pt idx="297">
                  <c:v>77.918060456259909</c:v>
                </c:pt>
                <c:pt idx="298">
                  <c:v>78.025746817941481</c:v>
                </c:pt>
                <c:pt idx="299">
                  <c:v>78.133782025402581</c:v>
                </c:pt>
                <c:pt idx="300">
                  <c:v>78.242167208715514</c:v>
                </c:pt>
                <c:pt idx="301">
                  <c:v>78.350903501613416</c:v>
                </c:pt>
                <c:pt idx="302">
                  <c:v>78.45999204150219</c:v>
                </c:pt>
                <c:pt idx="303">
                  <c:v>78.569433969472215</c:v>
                </c:pt>
                <c:pt idx="304">
                  <c:v>78.679230430310426</c:v>
                </c:pt>
                <c:pt idx="305">
                  <c:v>78.789382572512281</c:v>
                </c:pt>
                <c:pt idx="306">
                  <c:v>78.899891548293709</c:v>
                </c:pt>
                <c:pt idx="307">
                  <c:v>79.010758513603221</c:v>
                </c:pt>
                <c:pt idx="308">
                  <c:v>79.121984628133958</c:v>
                </c:pt>
                <c:pt idx="309">
                  <c:v>79.233571055335858</c:v>
                </c:pt>
                <c:pt idx="310">
                  <c:v>79.345518962427789</c:v>
                </c:pt>
                <c:pt idx="311">
                  <c:v>79.457829520409817</c:v>
                </c:pt>
                <c:pt idx="312">
                  <c:v>79.570503904075366</c:v>
                </c:pt>
                <c:pt idx="313">
                  <c:v>79.6835432920236</c:v>
                </c:pt>
                <c:pt idx="314">
                  <c:v>79.796948866671684</c:v>
                </c:pt>
                <c:pt idx="315">
                  <c:v>79.910721814267177</c:v>
                </c:pt>
                <c:pt idx="316">
                  <c:v>80.02486332490048</c:v>
                </c:pt>
                <c:pt idx="317">
                  <c:v>80.1393745925172</c:v>
                </c:pt>
                <c:pt idx="318">
                  <c:v>80.254256814930741</c:v>
                </c:pt>
                <c:pt idx="319">
                  <c:v>80.369511193834626</c:v>
                </c:pt>
                <c:pt idx="320">
                  <c:v>80.485138934815453</c:v>
                </c:pt>
                <c:pt idx="321">
                  <c:v>80.601141247365078</c:v>
                </c:pt>
                <c:pt idx="322">
                  <c:v>80.717519344893546</c:v>
                </c:pt>
                <c:pt idx="323">
                  <c:v>80.834274444741666</c:v>
                </c:pt>
                <c:pt idx="324">
                  <c:v>80.951407768193789</c:v>
                </c:pt>
                <c:pt idx="325">
                  <c:v>81.068920540490581</c:v>
                </c:pt>
                <c:pt idx="326">
                  <c:v>81.186813990841799</c:v>
                </c:pt>
                <c:pt idx="327">
                  <c:v>81.305089352439225</c:v>
                </c:pt>
                <c:pt idx="328">
                  <c:v>81.423747862469412</c:v>
                </c:pt>
                <c:pt idx="329">
                  <c:v>81.54279076212687</c:v>
                </c:pt>
                <c:pt idx="330">
                  <c:v>81.662219296626802</c:v>
                </c:pt>
                <c:pt idx="331">
                  <c:v>81.782034715218316</c:v>
                </c:pt>
                <c:pt idx="332">
                  <c:v>81.902238271197362</c:v>
                </c:pt>
                <c:pt idx="333">
                  <c:v>82.022831221919873</c:v>
                </c:pt>
                <c:pt idx="334">
                  <c:v>82.143814828815024</c:v>
                </c:pt>
                <c:pt idx="335">
                  <c:v>82.265190357398239</c:v>
                </c:pt>
                <c:pt idx="336">
                  <c:v>82.386959077284644</c:v>
                </c:pt>
                <c:pt idx="337">
                  <c:v>82.509122262202098</c:v>
                </c:pt>
                <c:pt idx="338">
                  <c:v>82.631681190004798</c:v>
                </c:pt>
                <c:pt idx="339">
                  <c:v>82.754637142686363</c:v>
                </c:pt>
                <c:pt idx="340">
                  <c:v>82.877991406393463</c:v>
                </c:pt>
                <c:pt idx="341">
                  <c:v>83.001745271439191</c:v>
                </c:pt>
                <c:pt idx="342">
                  <c:v>83.125900032316508</c:v>
                </c:pt>
                <c:pt idx="343">
                  <c:v>83.250456987711885</c:v>
                </c:pt>
                <c:pt idx="344">
                  <c:v>83.375417440518817</c:v>
                </c:pt>
                <c:pt idx="345">
                  <c:v>83.500782697851463</c:v>
                </c:pt>
                <c:pt idx="346">
                  <c:v>83.626554071058322</c:v>
                </c:pt>
                <c:pt idx="347">
                  <c:v>83.752732875736015</c:v>
                </c:pt>
                <c:pt idx="348">
                  <c:v>83.879320431742883</c:v>
                </c:pt>
                <c:pt idx="349">
                  <c:v>84.006318063213016</c:v>
                </c:pt>
                <c:pt idx="350">
                  <c:v>84.133727098569864</c:v>
                </c:pt>
                <c:pt idx="351">
                  <c:v>84.261548870540381</c:v>
                </c:pt>
                <c:pt idx="352">
                  <c:v>84.389784716168734</c:v>
                </c:pt>
                <c:pt idx="353">
                  <c:v>84.518435976830403</c:v>
                </c:pt>
                <c:pt idx="354">
                  <c:v>84.647503998246293</c:v>
                </c:pt>
                <c:pt idx="355">
                  <c:v>84.776990130496586</c:v>
                </c:pt>
                <c:pt idx="356">
                  <c:v>84.90689572803511</c:v>
                </c:pt>
                <c:pt idx="357">
                  <c:v>85.037222149703339</c:v>
                </c:pt>
                <c:pt idx="358">
                  <c:v>85.167970758744659</c:v>
                </c:pt>
                <c:pt idx="359">
                  <c:v>85.299142922818675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'Fuel Cost Risk Sim'!$D$240</c:f>
              <c:strCache>
                <c:ptCount val="1"/>
                <c:pt idx="0">
                  <c:v>RE PPA Weighted Avg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Sim'!$E$240:$MZ$240</c:f>
              <c:numCache>
                <c:formatCode>_("$"* #,##0.00_);_("$"* \(#,##0.00\);_("$"* "-"??_);_(@_)</c:formatCode>
                <c:ptCount val="360"/>
                <c:pt idx="0">
                  <c:v>78.248627568402384</c:v>
                </c:pt>
                <c:pt idx="1">
                  <c:v>78.248627568402384</c:v>
                </c:pt>
                <c:pt idx="2">
                  <c:v>78.248627568402384</c:v>
                </c:pt>
                <c:pt idx="3">
                  <c:v>78.248627568402384</c:v>
                </c:pt>
                <c:pt idx="4">
                  <c:v>78.248627568402384</c:v>
                </c:pt>
                <c:pt idx="5">
                  <c:v>78.248627568402384</c:v>
                </c:pt>
                <c:pt idx="6">
                  <c:v>78.248627568402384</c:v>
                </c:pt>
                <c:pt idx="7">
                  <c:v>78.248627568402384</c:v>
                </c:pt>
                <c:pt idx="8">
                  <c:v>78.248627568402384</c:v>
                </c:pt>
                <c:pt idx="9">
                  <c:v>78.248627568402384</c:v>
                </c:pt>
                <c:pt idx="10">
                  <c:v>78.248627568402384</c:v>
                </c:pt>
                <c:pt idx="11">
                  <c:v>78.248627568402384</c:v>
                </c:pt>
                <c:pt idx="12">
                  <c:v>78.248627568402384</c:v>
                </c:pt>
                <c:pt idx="13">
                  <c:v>78.248627568402384</c:v>
                </c:pt>
                <c:pt idx="14">
                  <c:v>78.248627568402384</c:v>
                </c:pt>
                <c:pt idx="15">
                  <c:v>78.248627568402384</c:v>
                </c:pt>
                <c:pt idx="16">
                  <c:v>78.248627568402384</c:v>
                </c:pt>
                <c:pt idx="17">
                  <c:v>78.248627568402384</c:v>
                </c:pt>
                <c:pt idx="18">
                  <c:v>78.248627568402384</c:v>
                </c:pt>
                <c:pt idx="19">
                  <c:v>78.248627568402384</c:v>
                </c:pt>
                <c:pt idx="20">
                  <c:v>78.248627568402384</c:v>
                </c:pt>
                <c:pt idx="21">
                  <c:v>78.248627568402384</c:v>
                </c:pt>
                <c:pt idx="22">
                  <c:v>78.248627568402384</c:v>
                </c:pt>
                <c:pt idx="23">
                  <c:v>78.248627568402384</c:v>
                </c:pt>
                <c:pt idx="24">
                  <c:v>78.248627568402384</c:v>
                </c:pt>
                <c:pt idx="25">
                  <c:v>78.248627568402384</c:v>
                </c:pt>
                <c:pt idx="26">
                  <c:v>78.248627568402384</c:v>
                </c:pt>
                <c:pt idx="27">
                  <c:v>78.248627568402384</c:v>
                </c:pt>
                <c:pt idx="28">
                  <c:v>78.248627568402384</c:v>
                </c:pt>
                <c:pt idx="29">
                  <c:v>78.248627568402384</c:v>
                </c:pt>
                <c:pt idx="30">
                  <c:v>78.248627568402384</c:v>
                </c:pt>
                <c:pt idx="31">
                  <c:v>78.248627568402384</c:v>
                </c:pt>
                <c:pt idx="32">
                  <c:v>78.248627568402384</c:v>
                </c:pt>
                <c:pt idx="33">
                  <c:v>78.248627568402384</c:v>
                </c:pt>
                <c:pt idx="34">
                  <c:v>78.248627568402384</c:v>
                </c:pt>
                <c:pt idx="35">
                  <c:v>78.248627568402384</c:v>
                </c:pt>
                <c:pt idx="36">
                  <c:v>78.248627568402384</c:v>
                </c:pt>
                <c:pt idx="37">
                  <c:v>78.248627568402384</c:v>
                </c:pt>
                <c:pt idx="38">
                  <c:v>78.248627568402384</c:v>
                </c:pt>
                <c:pt idx="39">
                  <c:v>78.248627568402384</c:v>
                </c:pt>
                <c:pt idx="40">
                  <c:v>78.248627568402384</c:v>
                </c:pt>
                <c:pt idx="41">
                  <c:v>78.248627568402384</c:v>
                </c:pt>
                <c:pt idx="42">
                  <c:v>78.248627568402384</c:v>
                </c:pt>
                <c:pt idx="43">
                  <c:v>78.248627568402384</c:v>
                </c:pt>
                <c:pt idx="44">
                  <c:v>78.248627568402384</c:v>
                </c:pt>
                <c:pt idx="45">
                  <c:v>78.248627568402384</c:v>
                </c:pt>
                <c:pt idx="46">
                  <c:v>78.248627568402384</c:v>
                </c:pt>
                <c:pt idx="47">
                  <c:v>78.248627568402384</c:v>
                </c:pt>
                <c:pt idx="48">
                  <c:v>78.248627568402384</c:v>
                </c:pt>
                <c:pt idx="49">
                  <c:v>78.248627568402384</c:v>
                </c:pt>
                <c:pt idx="50">
                  <c:v>78.248627568402384</c:v>
                </c:pt>
                <c:pt idx="51">
                  <c:v>78.248627568402384</c:v>
                </c:pt>
                <c:pt idx="52">
                  <c:v>78.248627568402384</c:v>
                </c:pt>
                <c:pt idx="53">
                  <c:v>78.248627568402384</c:v>
                </c:pt>
                <c:pt idx="54">
                  <c:v>78.248627568402384</c:v>
                </c:pt>
                <c:pt idx="55">
                  <c:v>78.248627568402384</c:v>
                </c:pt>
                <c:pt idx="56">
                  <c:v>78.248627568402384</c:v>
                </c:pt>
                <c:pt idx="57">
                  <c:v>78.248627568402384</c:v>
                </c:pt>
                <c:pt idx="58">
                  <c:v>78.248627568402384</c:v>
                </c:pt>
                <c:pt idx="59">
                  <c:v>78.248627568402384</c:v>
                </c:pt>
                <c:pt idx="60">
                  <c:v>78.248627568402384</c:v>
                </c:pt>
                <c:pt idx="61">
                  <c:v>78.248627568402384</c:v>
                </c:pt>
                <c:pt idx="62">
                  <c:v>78.248627568402384</c:v>
                </c:pt>
                <c:pt idx="63">
                  <c:v>78.248627568402384</c:v>
                </c:pt>
                <c:pt idx="64">
                  <c:v>78.248627568402384</c:v>
                </c:pt>
                <c:pt idx="65">
                  <c:v>78.248627568402384</c:v>
                </c:pt>
                <c:pt idx="66">
                  <c:v>78.248627568402384</c:v>
                </c:pt>
                <c:pt idx="67">
                  <c:v>78.248627568402384</c:v>
                </c:pt>
                <c:pt idx="68">
                  <c:v>78.248627568402384</c:v>
                </c:pt>
                <c:pt idx="69">
                  <c:v>78.248627568402384</c:v>
                </c:pt>
                <c:pt idx="70">
                  <c:v>78.248627568402384</c:v>
                </c:pt>
                <c:pt idx="71">
                  <c:v>78.248627568402384</c:v>
                </c:pt>
                <c:pt idx="72">
                  <c:v>78.248627568402384</c:v>
                </c:pt>
                <c:pt idx="73">
                  <c:v>78.248627568402384</c:v>
                </c:pt>
                <c:pt idx="74">
                  <c:v>78.248627568402384</c:v>
                </c:pt>
                <c:pt idx="75">
                  <c:v>78.248627568402384</c:v>
                </c:pt>
                <c:pt idx="76">
                  <c:v>78.248627568402384</c:v>
                </c:pt>
                <c:pt idx="77">
                  <c:v>78.248627568402384</c:v>
                </c:pt>
                <c:pt idx="78">
                  <c:v>78.248627568402384</c:v>
                </c:pt>
                <c:pt idx="79">
                  <c:v>78.248627568402384</c:v>
                </c:pt>
                <c:pt idx="80">
                  <c:v>78.248627568402384</c:v>
                </c:pt>
                <c:pt idx="81">
                  <c:v>78.248627568402384</c:v>
                </c:pt>
                <c:pt idx="82">
                  <c:v>78.248627568402384</c:v>
                </c:pt>
                <c:pt idx="83">
                  <c:v>78.248627568402384</c:v>
                </c:pt>
                <c:pt idx="84">
                  <c:v>78.248627568402384</c:v>
                </c:pt>
                <c:pt idx="85">
                  <c:v>78.248627568402384</c:v>
                </c:pt>
                <c:pt idx="86">
                  <c:v>78.248627568402384</c:v>
                </c:pt>
                <c:pt idx="87">
                  <c:v>78.248627568402384</c:v>
                </c:pt>
                <c:pt idx="88">
                  <c:v>78.248627568402384</c:v>
                </c:pt>
                <c:pt idx="89">
                  <c:v>78.248627568402384</c:v>
                </c:pt>
                <c:pt idx="90">
                  <c:v>78.248627568402384</c:v>
                </c:pt>
                <c:pt idx="91">
                  <c:v>78.248627568402384</c:v>
                </c:pt>
                <c:pt idx="92">
                  <c:v>78.248627568402384</c:v>
                </c:pt>
                <c:pt idx="93">
                  <c:v>78.248627568402384</c:v>
                </c:pt>
                <c:pt idx="94">
                  <c:v>78.248627568402384</c:v>
                </c:pt>
                <c:pt idx="95">
                  <c:v>78.248627568402384</c:v>
                </c:pt>
                <c:pt idx="96">
                  <c:v>78.248627568402384</c:v>
                </c:pt>
                <c:pt idx="97">
                  <c:v>78.248627568402384</c:v>
                </c:pt>
                <c:pt idx="98">
                  <c:v>78.248627568402384</c:v>
                </c:pt>
                <c:pt idx="99">
                  <c:v>78.248627568402384</c:v>
                </c:pt>
                <c:pt idx="100">
                  <c:v>78.248627568402384</c:v>
                </c:pt>
                <c:pt idx="101">
                  <c:v>78.248627568402384</c:v>
                </c:pt>
                <c:pt idx="102">
                  <c:v>78.248627568402384</c:v>
                </c:pt>
                <c:pt idx="103">
                  <c:v>78.248627568402384</c:v>
                </c:pt>
                <c:pt idx="104">
                  <c:v>78.248627568402384</c:v>
                </c:pt>
                <c:pt idx="105">
                  <c:v>78.248627568402384</c:v>
                </c:pt>
                <c:pt idx="106">
                  <c:v>78.248627568402384</c:v>
                </c:pt>
                <c:pt idx="107">
                  <c:v>78.248627568402384</c:v>
                </c:pt>
                <c:pt idx="108">
                  <c:v>78.248627568402384</c:v>
                </c:pt>
                <c:pt idx="109">
                  <c:v>78.248627568402384</c:v>
                </c:pt>
                <c:pt idx="110">
                  <c:v>78.248627568402384</c:v>
                </c:pt>
                <c:pt idx="111">
                  <c:v>78.248627568402384</c:v>
                </c:pt>
                <c:pt idx="112">
                  <c:v>78.248627568402384</c:v>
                </c:pt>
                <c:pt idx="113">
                  <c:v>78.248627568402384</c:v>
                </c:pt>
                <c:pt idx="114">
                  <c:v>78.248627568402384</c:v>
                </c:pt>
                <c:pt idx="115">
                  <c:v>78.248627568402384</c:v>
                </c:pt>
                <c:pt idx="116">
                  <c:v>78.248627568402384</c:v>
                </c:pt>
                <c:pt idx="117">
                  <c:v>78.248627568402384</c:v>
                </c:pt>
                <c:pt idx="118">
                  <c:v>78.248627568402384</c:v>
                </c:pt>
                <c:pt idx="119">
                  <c:v>78.248627568402384</c:v>
                </c:pt>
                <c:pt idx="120">
                  <c:v>78.248627568402384</c:v>
                </c:pt>
                <c:pt idx="121">
                  <c:v>78.248627568402384</c:v>
                </c:pt>
                <c:pt idx="122">
                  <c:v>78.248627568402384</c:v>
                </c:pt>
                <c:pt idx="123">
                  <c:v>78.248627568402384</c:v>
                </c:pt>
                <c:pt idx="124">
                  <c:v>78.248627568402384</c:v>
                </c:pt>
                <c:pt idx="125">
                  <c:v>78.248627568402384</c:v>
                </c:pt>
                <c:pt idx="126">
                  <c:v>78.248627568402384</c:v>
                </c:pt>
                <c:pt idx="127">
                  <c:v>78.248627568402384</c:v>
                </c:pt>
                <c:pt idx="128">
                  <c:v>78.248627568402384</c:v>
                </c:pt>
                <c:pt idx="129">
                  <c:v>78.248627568402384</c:v>
                </c:pt>
                <c:pt idx="130">
                  <c:v>78.248627568402384</c:v>
                </c:pt>
                <c:pt idx="131">
                  <c:v>78.248627568402384</c:v>
                </c:pt>
                <c:pt idx="132">
                  <c:v>78.248627568402384</c:v>
                </c:pt>
                <c:pt idx="133">
                  <c:v>78.248627568402384</c:v>
                </c:pt>
                <c:pt idx="134">
                  <c:v>78.248627568402384</c:v>
                </c:pt>
                <c:pt idx="135">
                  <c:v>78.248627568402384</c:v>
                </c:pt>
                <c:pt idx="136">
                  <c:v>78.248627568402384</c:v>
                </c:pt>
                <c:pt idx="137">
                  <c:v>78.248627568402384</c:v>
                </c:pt>
                <c:pt idx="138">
                  <c:v>78.248627568402384</c:v>
                </c:pt>
                <c:pt idx="139">
                  <c:v>78.248627568402384</c:v>
                </c:pt>
                <c:pt idx="140">
                  <c:v>78.248627568402384</c:v>
                </c:pt>
                <c:pt idx="141">
                  <c:v>78.248627568402384</c:v>
                </c:pt>
                <c:pt idx="142">
                  <c:v>78.248627568402384</c:v>
                </c:pt>
                <c:pt idx="143">
                  <c:v>78.248627568402384</c:v>
                </c:pt>
                <c:pt idx="144">
                  <c:v>78.248627568402384</c:v>
                </c:pt>
                <c:pt idx="145">
                  <c:v>78.248627568402384</c:v>
                </c:pt>
                <c:pt idx="146">
                  <c:v>78.248627568402384</c:v>
                </c:pt>
                <c:pt idx="147">
                  <c:v>78.248627568402384</c:v>
                </c:pt>
                <c:pt idx="148">
                  <c:v>78.248627568402384</c:v>
                </c:pt>
                <c:pt idx="149">
                  <c:v>78.248627568402384</c:v>
                </c:pt>
                <c:pt idx="150">
                  <c:v>78.248627568402384</c:v>
                </c:pt>
                <c:pt idx="151">
                  <c:v>78.248627568402384</c:v>
                </c:pt>
                <c:pt idx="152">
                  <c:v>78.248627568402384</c:v>
                </c:pt>
                <c:pt idx="153">
                  <c:v>78.248627568402384</c:v>
                </c:pt>
                <c:pt idx="154">
                  <c:v>78.248627568402384</c:v>
                </c:pt>
                <c:pt idx="155">
                  <c:v>78.248627568402384</c:v>
                </c:pt>
                <c:pt idx="156">
                  <c:v>78.248627568402384</c:v>
                </c:pt>
                <c:pt idx="157">
                  <c:v>78.248627568402384</c:v>
                </c:pt>
                <c:pt idx="158">
                  <c:v>78.248627568402384</c:v>
                </c:pt>
                <c:pt idx="159">
                  <c:v>78.248627568402384</c:v>
                </c:pt>
                <c:pt idx="160">
                  <c:v>78.248627568402384</c:v>
                </c:pt>
                <c:pt idx="161">
                  <c:v>78.248627568402384</c:v>
                </c:pt>
                <c:pt idx="162">
                  <c:v>78.248627568402384</c:v>
                </c:pt>
                <c:pt idx="163">
                  <c:v>78.248627568402384</c:v>
                </c:pt>
                <c:pt idx="164">
                  <c:v>78.248627568402384</c:v>
                </c:pt>
                <c:pt idx="165">
                  <c:v>78.248627568402384</c:v>
                </c:pt>
                <c:pt idx="166">
                  <c:v>78.248627568402384</c:v>
                </c:pt>
                <c:pt idx="167">
                  <c:v>78.248627568402384</c:v>
                </c:pt>
                <c:pt idx="168">
                  <c:v>78.248627568402384</c:v>
                </c:pt>
                <c:pt idx="169">
                  <c:v>78.248627568402384</c:v>
                </c:pt>
                <c:pt idx="170">
                  <c:v>78.248627568402384</c:v>
                </c:pt>
                <c:pt idx="171">
                  <c:v>78.248627568402384</c:v>
                </c:pt>
                <c:pt idx="172">
                  <c:v>78.248627568402384</c:v>
                </c:pt>
                <c:pt idx="173">
                  <c:v>78.248627568402384</c:v>
                </c:pt>
                <c:pt idx="174">
                  <c:v>78.248627568402384</c:v>
                </c:pt>
                <c:pt idx="175">
                  <c:v>78.248627568402384</c:v>
                </c:pt>
                <c:pt idx="176">
                  <c:v>78.248627568402384</c:v>
                </c:pt>
                <c:pt idx="177">
                  <c:v>78.248627568402384</c:v>
                </c:pt>
                <c:pt idx="178">
                  <c:v>78.248627568402384</c:v>
                </c:pt>
                <c:pt idx="179">
                  <c:v>78.248627568402384</c:v>
                </c:pt>
                <c:pt idx="180">
                  <c:v>78.248627568402384</c:v>
                </c:pt>
                <c:pt idx="181">
                  <c:v>78.248627568402384</c:v>
                </c:pt>
                <c:pt idx="182">
                  <c:v>78.248627568402384</c:v>
                </c:pt>
                <c:pt idx="183">
                  <c:v>78.248627568402384</c:v>
                </c:pt>
                <c:pt idx="184">
                  <c:v>78.248627568402384</c:v>
                </c:pt>
                <c:pt idx="185">
                  <c:v>78.248627568402384</c:v>
                </c:pt>
                <c:pt idx="186">
                  <c:v>78.248627568402384</c:v>
                </c:pt>
                <c:pt idx="187">
                  <c:v>78.248627568402384</c:v>
                </c:pt>
                <c:pt idx="188">
                  <c:v>78.248627568402384</c:v>
                </c:pt>
                <c:pt idx="189">
                  <c:v>78.248627568402384</c:v>
                </c:pt>
                <c:pt idx="190">
                  <c:v>78.248627568402384</c:v>
                </c:pt>
                <c:pt idx="191">
                  <c:v>78.248627568402384</c:v>
                </c:pt>
                <c:pt idx="192">
                  <c:v>78.248627568402384</c:v>
                </c:pt>
                <c:pt idx="193">
                  <c:v>78.248627568402384</c:v>
                </c:pt>
                <c:pt idx="194">
                  <c:v>78.248627568402384</c:v>
                </c:pt>
                <c:pt idx="195">
                  <c:v>78.248627568402384</c:v>
                </c:pt>
                <c:pt idx="196">
                  <c:v>78.248627568402384</c:v>
                </c:pt>
                <c:pt idx="197">
                  <c:v>78.248627568402384</c:v>
                </c:pt>
                <c:pt idx="198">
                  <c:v>78.248627568402384</c:v>
                </c:pt>
                <c:pt idx="199">
                  <c:v>78.248627568402384</c:v>
                </c:pt>
                <c:pt idx="200">
                  <c:v>78.248627568402384</c:v>
                </c:pt>
                <c:pt idx="201">
                  <c:v>78.248627568402384</c:v>
                </c:pt>
                <c:pt idx="202">
                  <c:v>78.248627568402384</c:v>
                </c:pt>
                <c:pt idx="203">
                  <c:v>78.248627568402384</c:v>
                </c:pt>
                <c:pt idx="204">
                  <c:v>78.248627568402384</c:v>
                </c:pt>
                <c:pt idx="205">
                  <c:v>78.248627568402384</c:v>
                </c:pt>
                <c:pt idx="206">
                  <c:v>78.248627568402384</c:v>
                </c:pt>
                <c:pt idx="207">
                  <c:v>78.248627568402384</c:v>
                </c:pt>
                <c:pt idx="208">
                  <c:v>78.248627568402384</c:v>
                </c:pt>
                <c:pt idx="209">
                  <c:v>78.248627568402384</c:v>
                </c:pt>
                <c:pt idx="210">
                  <c:v>78.248627568402384</c:v>
                </c:pt>
                <c:pt idx="211">
                  <c:v>78.248627568402384</c:v>
                </c:pt>
                <c:pt idx="212">
                  <c:v>78.248627568402384</c:v>
                </c:pt>
                <c:pt idx="213">
                  <c:v>78.248627568402384</c:v>
                </c:pt>
                <c:pt idx="214">
                  <c:v>78.248627568402384</c:v>
                </c:pt>
                <c:pt idx="215">
                  <c:v>78.248627568402384</c:v>
                </c:pt>
                <c:pt idx="216">
                  <c:v>78.248627568402384</c:v>
                </c:pt>
                <c:pt idx="217">
                  <c:v>78.248627568402384</c:v>
                </c:pt>
                <c:pt idx="218">
                  <c:v>78.248627568402384</c:v>
                </c:pt>
                <c:pt idx="219">
                  <c:v>78.248627568402384</c:v>
                </c:pt>
                <c:pt idx="220">
                  <c:v>78.248627568402384</c:v>
                </c:pt>
                <c:pt idx="221">
                  <c:v>78.248627568402384</c:v>
                </c:pt>
                <c:pt idx="222">
                  <c:v>78.248627568402384</c:v>
                </c:pt>
                <c:pt idx="223">
                  <c:v>78.248627568402384</c:v>
                </c:pt>
                <c:pt idx="224">
                  <c:v>78.248627568402384</c:v>
                </c:pt>
                <c:pt idx="225">
                  <c:v>78.248627568402384</c:v>
                </c:pt>
                <c:pt idx="226">
                  <c:v>78.248627568402384</c:v>
                </c:pt>
                <c:pt idx="227">
                  <c:v>78.248627568402384</c:v>
                </c:pt>
                <c:pt idx="228">
                  <c:v>78.248627568402384</c:v>
                </c:pt>
                <c:pt idx="229">
                  <c:v>78.248627568402384</c:v>
                </c:pt>
                <c:pt idx="230">
                  <c:v>78.248627568402384</c:v>
                </c:pt>
                <c:pt idx="231">
                  <c:v>78.248627568402384</c:v>
                </c:pt>
                <c:pt idx="232">
                  <c:v>78.248627568402384</c:v>
                </c:pt>
                <c:pt idx="233">
                  <c:v>78.248627568402384</c:v>
                </c:pt>
                <c:pt idx="234">
                  <c:v>78.248627568402384</c:v>
                </c:pt>
                <c:pt idx="235">
                  <c:v>78.248627568402384</c:v>
                </c:pt>
                <c:pt idx="236">
                  <c:v>78.248627568402384</c:v>
                </c:pt>
                <c:pt idx="237">
                  <c:v>78.248627568402384</c:v>
                </c:pt>
                <c:pt idx="238">
                  <c:v>78.248627568402384</c:v>
                </c:pt>
                <c:pt idx="239">
                  <c:v>78.248627568402384</c:v>
                </c:pt>
                <c:pt idx="240">
                  <c:v>78.248627568402384</c:v>
                </c:pt>
                <c:pt idx="241">
                  <c:v>78.248627568402384</c:v>
                </c:pt>
                <c:pt idx="242">
                  <c:v>78.248627568402384</c:v>
                </c:pt>
                <c:pt idx="243">
                  <c:v>78.248627568402384</c:v>
                </c:pt>
                <c:pt idx="244">
                  <c:v>78.248627568402384</c:v>
                </c:pt>
                <c:pt idx="245">
                  <c:v>78.248627568402384</c:v>
                </c:pt>
                <c:pt idx="246">
                  <c:v>78.248627568402384</c:v>
                </c:pt>
                <c:pt idx="247">
                  <c:v>78.248627568402384</c:v>
                </c:pt>
                <c:pt idx="248">
                  <c:v>78.248627568402384</c:v>
                </c:pt>
                <c:pt idx="249">
                  <c:v>78.248627568402384</c:v>
                </c:pt>
                <c:pt idx="250">
                  <c:v>78.248627568402384</c:v>
                </c:pt>
                <c:pt idx="251">
                  <c:v>78.248627568402384</c:v>
                </c:pt>
                <c:pt idx="252">
                  <c:v>78.248627568402384</c:v>
                </c:pt>
                <c:pt idx="253">
                  <c:v>78.248627568402384</c:v>
                </c:pt>
                <c:pt idx="254">
                  <c:v>78.248627568402384</c:v>
                </c:pt>
                <c:pt idx="255">
                  <c:v>78.248627568402384</c:v>
                </c:pt>
                <c:pt idx="256">
                  <c:v>78.248627568402384</c:v>
                </c:pt>
                <c:pt idx="257">
                  <c:v>78.248627568402384</c:v>
                </c:pt>
                <c:pt idx="258">
                  <c:v>78.248627568402384</c:v>
                </c:pt>
                <c:pt idx="259">
                  <c:v>78.248627568402384</c:v>
                </c:pt>
                <c:pt idx="260">
                  <c:v>78.248627568402384</c:v>
                </c:pt>
                <c:pt idx="261">
                  <c:v>78.248627568402384</c:v>
                </c:pt>
                <c:pt idx="262">
                  <c:v>78.248627568402384</c:v>
                </c:pt>
                <c:pt idx="263">
                  <c:v>78.248627568402384</c:v>
                </c:pt>
                <c:pt idx="264">
                  <c:v>78.248627568402384</c:v>
                </c:pt>
                <c:pt idx="265">
                  <c:v>78.248627568402384</c:v>
                </c:pt>
                <c:pt idx="266">
                  <c:v>78.248627568402384</c:v>
                </c:pt>
                <c:pt idx="267">
                  <c:v>78.248627568402384</c:v>
                </c:pt>
                <c:pt idx="268">
                  <c:v>78.248627568402384</c:v>
                </c:pt>
                <c:pt idx="269">
                  <c:v>78.248627568402384</c:v>
                </c:pt>
                <c:pt idx="270">
                  <c:v>78.248627568402384</c:v>
                </c:pt>
                <c:pt idx="271">
                  <c:v>78.248627568402384</c:v>
                </c:pt>
                <c:pt idx="272">
                  <c:v>78.248627568402384</c:v>
                </c:pt>
                <c:pt idx="273">
                  <c:v>78.248627568402384</c:v>
                </c:pt>
                <c:pt idx="274">
                  <c:v>78.248627568402384</c:v>
                </c:pt>
                <c:pt idx="275">
                  <c:v>78.248627568402384</c:v>
                </c:pt>
                <c:pt idx="276">
                  <c:v>78.248627568402384</c:v>
                </c:pt>
                <c:pt idx="277">
                  <c:v>78.248627568402384</c:v>
                </c:pt>
                <c:pt idx="278">
                  <c:v>78.248627568402384</c:v>
                </c:pt>
                <c:pt idx="279">
                  <c:v>78.248627568402384</c:v>
                </c:pt>
                <c:pt idx="280">
                  <c:v>78.248627568402384</c:v>
                </c:pt>
                <c:pt idx="281">
                  <c:v>78.248627568402384</c:v>
                </c:pt>
                <c:pt idx="282">
                  <c:v>78.248627568402384</c:v>
                </c:pt>
                <c:pt idx="283">
                  <c:v>78.248627568402384</c:v>
                </c:pt>
                <c:pt idx="284">
                  <c:v>78.248627568402384</c:v>
                </c:pt>
                <c:pt idx="285">
                  <c:v>78.248627568402384</c:v>
                </c:pt>
                <c:pt idx="286">
                  <c:v>78.248627568402384</c:v>
                </c:pt>
                <c:pt idx="287">
                  <c:v>78.248627568402384</c:v>
                </c:pt>
                <c:pt idx="288">
                  <c:v>78.248627568402384</c:v>
                </c:pt>
                <c:pt idx="289">
                  <c:v>78.248627568402384</c:v>
                </c:pt>
                <c:pt idx="290">
                  <c:v>78.248627568402384</c:v>
                </c:pt>
                <c:pt idx="291">
                  <c:v>78.248627568402384</c:v>
                </c:pt>
                <c:pt idx="292">
                  <c:v>78.248627568402384</c:v>
                </c:pt>
                <c:pt idx="293">
                  <c:v>78.248627568402384</c:v>
                </c:pt>
                <c:pt idx="294">
                  <c:v>78.248627568402384</c:v>
                </c:pt>
                <c:pt idx="295">
                  <c:v>78.248627568402384</c:v>
                </c:pt>
                <c:pt idx="296">
                  <c:v>78.248627568402384</c:v>
                </c:pt>
                <c:pt idx="297">
                  <c:v>78.248627568402384</c:v>
                </c:pt>
                <c:pt idx="298">
                  <c:v>78.248627568402384</c:v>
                </c:pt>
                <c:pt idx="299">
                  <c:v>78.248627568402384</c:v>
                </c:pt>
                <c:pt idx="300">
                  <c:v>78.248627568402384</c:v>
                </c:pt>
                <c:pt idx="301">
                  <c:v>78.248627568402384</c:v>
                </c:pt>
                <c:pt idx="302">
                  <c:v>78.248627568402384</c:v>
                </c:pt>
                <c:pt idx="303">
                  <c:v>78.248627568402384</c:v>
                </c:pt>
                <c:pt idx="304">
                  <c:v>78.248627568402384</c:v>
                </c:pt>
                <c:pt idx="305">
                  <c:v>78.248627568402384</c:v>
                </c:pt>
                <c:pt idx="306">
                  <c:v>78.248627568402384</c:v>
                </c:pt>
                <c:pt idx="307">
                  <c:v>78.248627568402384</c:v>
                </c:pt>
                <c:pt idx="308">
                  <c:v>78.248627568402384</c:v>
                </c:pt>
                <c:pt idx="309">
                  <c:v>78.248627568402384</c:v>
                </c:pt>
                <c:pt idx="310">
                  <c:v>78.248627568402384</c:v>
                </c:pt>
                <c:pt idx="311">
                  <c:v>78.248627568402384</c:v>
                </c:pt>
                <c:pt idx="312">
                  <c:v>78.248627568402384</c:v>
                </c:pt>
                <c:pt idx="313">
                  <c:v>78.248627568402384</c:v>
                </c:pt>
                <c:pt idx="314">
                  <c:v>78.248627568402384</c:v>
                </c:pt>
                <c:pt idx="315">
                  <c:v>78.248627568402384</c:v>
                </c:pt>
                <c:pt idx="316">
                  <c:v>78.248627568402384</c:v>
                </c:pt>
                <c:pt idx="317">
                  <c:v>78.248627568402384</c:v>
                </c:pt>
                <c:pt idx="318">
                  <c:v>78.248627568402384</c:v>
                </c:pt>
                <c:pt idx="319">
                  <c:v>78.248627568402384</c:v>
                </c:pt>
                <c:pt idx="320">
                  <c:v>78.248627568402384</c:v>
                </c:pt>
                <c:pt idx="321">
                  <c:v>78.248627568402384</c:v>
                </c:pt>
                <c:pt idx="322">
                  <c:v>78.248627568402384</c:v>
                </c:pt>
                <c:pt idx="323">
                  <c:v>78.248627568402384</c:v>
                </c:pt>
                <c:pt idx="324">
                  <c:v>78.248627568402384</c:v>
                </c:pt>
                <c:pt idx="325">
                  <c:v>78.248627568402384</c:v>
                </c:pt>
                <c:pt idx="326">
                  <c:v>78.248627568402384</c:v>
                </c:pt>
                <c:pt idx="327">
                  <c:v>78.248627568402384</c:v>
                </c:pt>
                <c:pt idx="328">
                  <c:v>78.248627568402384</c:v>
                </c:pt>
                <c:pt idx="329">
                  <c:v>78.248627568402384</c:v>
                </c:pt>
                <c:pt idx="330">
                  <c:v>78.248627568402384</c:v>
                </c:pt>
                <c:pt idx="331">
                  <c:v>78.248627568402384</c:v>
                </c:pt>
                <c:pt idx="332">
                  <c:v>78.248627568402384</c:v>
                </c:pt>
                <c:pt idx="333">
                  <c:v>78.248627568402384</c:v>
                </c:pt>
                <c:pt idx="334">
                  <c:v>78.248627568402384</c:v>
                </c:pt>
                <c:pt idx="335">
                  <c:v>78.248627568402384</c:v>
                </c:pt>
                <c:pt idx="336">
                  <c:v>78.248627568402384</c:v>
                </c:pt>
                <c:pt idx="337">
                  <c:v>78.248627568402384</c:v>
                </c:pt>
                <c:pt idx="338">
                  <c:v>78.248627568402384</c:v>
                </c:pt>
                <c:pt idx="339">
                  <c:v>78.248627568402384</c:v>
                </c:pt>
                <c:pt idx="340">
                  <c:v>78.248627568402384</c:v>
                </c:pt>
                <c:pt idx="341">
                  <c:v>78.248627568402384</c:v>
                </c:pt>
                <c:pt idx="342">
                  <c:v>78.248627568402384</c:v>
                </c:pt>
                <c:pt idx="343">
                  <c:v>78.248627568402384</c:v>
                </c:pt>
                <c:pt idx="344">
                  <c:v>78.248627568402384</c:v>
                </c:pt>
                <c:pt idx="345">
                  <c:v>78.248627568402384</c:v>
                </c:pt>
                <c:pt idx="346">
                  <c:v>78.248627568402384</c:v>
                </c:pt>
                <c:pt idx="347">
                  <c:v>78.248627568402384</c:v>
                </c:pt>
                <c:pt idx="348">
                  <c:v>78.248627568402384</c:v>
                </c:pt>
                <c:pt idx="349">
                  <c:v>78.248627568402384</c:v>
                </c:pt>
                <c:pt idx="350">
                  <c:v>78.248627568402384</c:v>
                </c:pt>
                <c:pt idx="351">
                  <c:v>78.248627568402384</c:v>
                </c:pt>
                <c:pt idx="352">
                  <c:v>78.248627568402384</c:v>
                </c:pt>
                <c:pt idx="353">
                  <c:v>78.248627568402384</c:v>
                </c:pt>
                <c:pt idx="354">
                  <c:v>78.248627568402384</c:v>
                </c:pt>
                <c:pt idx="355">
                  <c:v>78.248627568402384</c:v>
                </c:pt>
                <c:pt idx="356">
                  <c:v>78.248627568402384</c:v>
                </c:pt>
                <c:pt idx="357">
                  <c:v>78.248627568402384</c:v>
                </c:pt>
                <c:pt idx="358">
                  <c:v>78.248627568402384</c:v>
                </c:pt>
                <c:pt idx="359">
                  <c:v>78.248627568402384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97352"/>
        <c:axId val="410196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'Fuel Cost Risk Sim'!$D$237</c15:sqref>
                        </c15:formulaRef>
                      </c:ext>
                    </c:extLst>
                    <c:strCache>
                      <c:ptCount val="1"/>
                      <c:pt idx="0">
                        <c:v>Oil/Diesel Blend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'Fuel Cost Risk Sim'!$E$236:$MZ$236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'Fuel Cost Risk Sim'!$E$237:$MZ$237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360"/>
                      <c:pt idx="0">
                        <c:v>81.522976287816832</c:v>
                      </c:pt>
                      <c:pt idx="1">
                        <c:v>81.787110834109271</c:v>
                      </c:pt>
                      <c:pt idx="2">
                        <c:v>82.052101176665815</c:v>
                      </c:pt>
                      <c:pt idx="3">
                        <c:v>82.317950088267423</c:v>
                      </c:pt>
                      <c:pt idx="4">
                        <c:v>82.584660350678902</c:v>
                      </c:pt>
                      <c:pt idx="5">
                        <c:v>82.852234754677966</c:v>
                      </c:pt>
                      <c:pt idx="6">
                        <c:v>83.12067610008441</c:v>
                      </c:pt>
                      <c:pt idx="7">
                        <c:v>83.389987195789544</c:v>
                      </c:pt>
                      <c:pt idx="8">
                        <c:v>83.66017085978541</c:v>
                      </c:pt>
                      <c:pt idx="9">
                        <c:v>83.931229919194422</c:v>
                      </c:pt>
                      <c:pt idx="10">
                        <c:v>84.203167210298744</c:v>
                      </c:pt>
                      <c:pt idx="11">
                        <c:v>84.475985578570231</c:v>
                      </c:pt>
                      <c:pt idx="12">
                        <c:v>84.749687878700016</c:v>
                      </c:pt>
                      <c:pt idx="13">
                        <c:v>85.024276974628449</c:v>
                      </c:pt>
                      <c:pt idx="14">
                        <c:v>85.299755739574991</c:v>
                      </c:pt>
                      <c:pt idx="15">
                        <c:v>85.576127056068458</c:v>
                      </c:pt>
                      <c:pt idx="16">
                        <c:v>85.853393815976915</c:v>
                      </c:pt>
                      <c:pt idx="17">
                        <c:v>86.131558920538197</c:v>
                      </c:pt>
                      <c:pt idx="18">
                        <c:v>86.410625280390121</c:v>
                      </c:pt>
                      <c:pt idx="19">
                        <c:v>86.690595815600972</c:v>
                      </c:pt>
                      <c:pt idx="20">
                        <c:v>86.971473455700036</c:v>
                      </c:pt>
                      <c:pt idx="21">
                        <c:v>87.253261139708329</c:v>
                      </c:pt>
                      <c:pt idx="22">
                        <c:v>87.535961816169234</c:v>
                      </c:pt>
                      <c:pt idx="23">
                        <c:v>87.819578443179466</c:v>
                      </c:pt>
                      <c:pt idx="24">
                        <c:v>88.104113988419968</c:v>
                      </c:pt>
                      <c:pt idx="25">
                        <c:v>88.389571429186958</c:v>
                      </c:pt>
                      <c:pt idx="26">
                        <c:v>88.675953752423112</c:v>
                      </c:pt>
                      <c:pt idx="27">
                        <c:v>88.963263954748811</c:v>
                      </c:pt>
                      <c:pt idx="28">
                        <c:v>89.251505042493434</c:v>
                      </c:pt>
                      <c:pt idx="29">
                        <c:v>89.540680031726978</c:v>
                      </c:pt>
                      <c:pt idx="30">
                        <c:v>89.830791948291434</c:v>
                      </c:pt>
                      <c:pt idx="31">
                        <c:v>90.121843827832521</c:v>
                      </c:pt>
                      <c:pt idx="32">
                        <c:v>90.41383871583146</c:v>
                      </c:pt>
                      <c:pt idx="33">
                        <c:v>90.706779667636866</c:v>
                      </c:pt>
                      <c:pt idx="34">
                        <c:v>91.000669748496676</c:v>
                      </c:pt>
                      <c:pt idx="35">
                        <c:v>91.295512033590214</c:v>
                      </c:pt>
                      <c:pt idx="36">
                        <c:v>91.591309608060413</c:v>
                      </c:pt>
                      <c:pt idx="37">
                        <c:v>91.888065567046056</c:v>
                      </c:pt>
                      <c:pt idx="38">
                        <c:v>92.185783015714179</c:v>
                      </c:pt>
                      <c:pt idx="39">
                        <c:v>92.484465069292582</c:v>
                      </c:pt>
                      <c:pt idx="40">
                        <c:v>92.784114853102352</c:v>
                      </c:pt>
                      <c:pt idx="41">
                        <c:v>93.084735502590732</c:v>
                      </c:pt>
                      <c:pt idx="42">
                        <c:v>93.386330163363723</c:v>
                      </c:pt>
                      <c:pt idx="43">
                        <c:v>93.688901991219112</c:v>
                      </c:pt>
                      <c:pt idx="44">
                        <c:v>93.992454152179448</c:v>
                      </c:pt>
                      <c:pt idx="45">
                        <c:v>94.29698982252529</c:v>
                      </c:pt>
                      <c:pt idx="46">
                        <c:v>94.602512188828271</c:v>
                      </c:pt>
                      <c:pt idx="47">
                        <c:v>94.909024447984521</c:v>
                      </c:pt>
                      <c:pt idx="48">
                        <c:v>95.216529807248151</c:v>
                      </c:pt>
                      <c:pt idx="49">
                        <c:v>95.525031484264787</c:v>
                      </c:pt>
                      <c:pt idx="50">
                        <c:v>95.834532707105154</c:v>
                      </c:pt>
                      <c:pt idx="51">
                        <c:v>96.145036714299039</c:v>
                      </c:pt>
                      <c:pt idx="52">
                        <c:v>96.456546754868953</c:v>
                      </c:pt>
                      <c:pt idx="53">
                        <c:v>96.769066088364397</c:v>
                      </c:pt>
                      <c:pt idx="54">
                        <c:v>97.082597984895656</c:v>
                      </c:pt>
                      <c:pt idx="55">
                        <c:v>97.397145725168301</c:v>
                      </c:pt>
                      <c:pt idx="56">
                        <c:v>97.712712600517264</c:v>
                      </c:pt>
                      <c:pt idx="57">
                        <c:v>98.029301912941548</c:v>
                      </c:pt>
                      <c:pt idx="58">
                        <c:v>98.346916975138541</c:v>
                      </c:pt>
                      <c:pt idx="59">
                        <c:v>98.665561110538803</c:v>
                      </c:pt>
                      <c:pt idx="60">
                        <c:v>98.985237653340818</c:v>
                      </c:pt>
                      <c:pt idx="61">
                        <c:v>99.305949948545901</c:v>
                      </c:pt>
                      <c:pt idx="62">
                        <c:v>99.627701351993082</c:v>
                      </c:pt>
                      <c:pt idx="63">
                        <c:v>99.950495230394438</c:v>
                      </c:pt>
                      <c:pt idx="64">
                        <c:v>100.27433496137014</c:v>
                      </c:pt>
                      <c:pt idx="65">
                        <c:v>100.59922393348381</c:v>
                      </c:pt>
                      <c:pt idx="66">
                        <c:v>100.92516554627811</c:v>
                      </c:pt>
                      <c:pt idx="67">
                        <c:v>101.25216321031016</c:v>
                      </c:pt>
                      <c:pt idx="68">
                        <c:v>101.58022034718726</c:v>
                      </c:pt>
                      <c:pt idx="69">
                        <c:v>101.90934038960283</c:v>
                      </c:pt>
                      <c:pt idx="70">
                        <c:v>102.23952678137213</c:v>
                      </c:pt>
                      <c:pt idx="71">
                        <c:v>102.57078297746843</c:v>
                      </c:pt>
                      <c:pt idx="72">
                        <c:v>102.90311244405909</c:v>
                      </c:pt>
                      <c:pt idx="73">
                        <c:v>103.23651865854188</c:v>
                      </c:pt>
                      <c:pt idx="74">
                        <c:v>103.57100510958129</c:v>
                      </c:pt>
                      <c:pt idx="75">
                        <c:v>103.90657529714521</c:v>
                      </c:pt>
                      <c:pt idx="76">
                        <c:v>104.2432327325413</c:v>
                      </c:pt>
                      <c:pt idx="77">
                        <c:v>104.58098093845391</c:v>
                      </c:pt>
                      <c:pt idx="78">
                        <c:v>104.91982344898092</c:v>
                      </c:pt>
                      <c:pt idx="79">
                        <c:v>105.25976380967057</c:v>
                      </c:pt>
                      <c:pt idx="80">
                        <c:v>105.60080557755892</c:v>
                      </c:pt>
                      <c:pt idx="81">
                        <c:v>105.94295232120662</c:v>
                      </c:pt>
                      <c:pt idx="82">
                        <c:v>106.28620762073649</c:v>
                      </c:pt>
                      <c:pt idx="83">
                        <c:v>106.63057506787105</c:v>
                      </c:pt>
                      <c:pt idx="84">
                        <c:v>106.97605826596991</c:v>
                      </c:pt>
                      <c:pt idx="85">
                        <c:v>107.32266083006763</c:v>
                      </c:pt>
                      <c:pt idx="86">
                        <c:v>107.67038638691146</c:v>
                      </c:pt>
                      <c:pt idx="87">
                        <c:v>108.01923857499931</c:v>
                      </c:pt>
                      <c:pt idx="88">
                        <c:v>108.3692210446178</c:v>
                      </c:pt>
                      <c:pt idx="89">
                        <c:v>108.72033745788058</c:v>
                      </c:pt>
                      <c:pt idx="90">
                        <c:v>109.07259148876646</c:v>
                      </c:pt>
                      <c:pt idx="91">
                        <c:v>109.42598682315798</c:v>
                      </c:pt>
                      <c:pt idx="92">
                        <c:v>109.78052715887995</c:v>
                      </c:pt>
                      <c:pt idx="93">
                        <c:v>110.13621620573809</c:v>
                      </c:pt>
                      <c:pt idx="94">
                        <c:v>110.493057685558</c:v>
                      </c:pt>
                      <c:pt idx="95">
                        <c:v>110.85105533222391</c:v>
                      </c:pt>
                      <c:pt idx="96">
                        <c:v>111.21021289171784</c:v>
                      </c:pt>
                      <c:pt idx="97">
                        <c:v>111.57053412215886</c:v>
                      </c:pt>
                      <c:pt idx="98">
                        <c:v>111.93202279384225</c:v>
                      </c:pt>
                      <c:pt idx="99">
                        <c:v>112.29468268927917</c:v>
                      </c:pt>
                      <c:pt idx="100">
                        <c:v>112.65851760323604</c:v>
                      </c:pt>
                      <c:pt idx="101">
                        <c:v>113.02353134277431</c:v>
                      </c:pt>
                      <c:pt idx="102">
                        <c:v>113.38972772729046</c:v>
                      </c:pt>
                      <c:pt idx="103">
                        <c:v>113.75711058855562</c:v>
                      </c:pt>
                      <c:pt idx="104">
                        <c:v>114.12568377075597</c:v>
                      </c:pt>
                      <c:pt idx="105">
                        <c:v>114.49545113053291</c:v>
                      </c:pt>
                      <c:pt idx="106">
                        <c:v>114.86641653702321</c:v>
                      </c:pt>
                      <c:pt idx="107">
                        <c:v>115.23858387189982</c:v>
                      </c:pt>
                      <c:pt idx="108">
                        <c:v>115.61195702941217</c:v>
                      </c:pt>
                      <c:pt idx="109">
                        <c:v>115.98653991642712</c:v>
                      </c:pt>
                      <c:pt idx="110">
                        <c:v>116.36233645246988</c:v>
                      </c:pt>
                      <c:pt idx="111">
                        <c:v>116.73935056976471</c:v>
                      </c:pt>
                      <c:pt idx="112">
                        <c:v>117.1175862132765</c:v>
                      </c:pt>
                      <c:pt idx="113">
                        <c:v>117.49704734075168</c:v>
                      </c:pt>
                      <c:pt idx="114">
                        <c:v>117.87773792275988</c:v>
                      </c:pt>
                      <c:pt idx="115">
                        <c:v>118.25966194273532</c:v>
                      </c:pt>
                      <c:pt idx="116">
                        <c:v>118.6428233970186</c:v>
                      </c:pt>
                      <c:pt idx="117">
                        <c:v>119.02722629489843</c:v>
                      </c:pt>
                      <c:pt idx="118">
                        <c:v>119.41287465865362</c:v>
                      </c:pt>
                      <c:pt idx="119">
                        <c:v>119.79977252359518</c:v>
                      </c:pt>
                      <c:pt idx="120">
                        <c:v>120.18792393810857</c:v>
                      </c:pt>
                      <c:pt idx="121">
                        <c:v>120.57733296369594</c:v>
                      </c:pt>
                      <c:pt idx="122">
                        <c:v>120.96800367501879</c:v>
                      </c:pt>
                      <c:pt idx="123">
                        <c:v>121.35994015994049</c:v>
                      </c:pt>
                      <c:pt idx="124">
                        <c:v>121.75314651956911</c:v>
                      </c:pt>
                      <c:pt idx="125">
                        <c:v>122.14762686830031</c:v>
                      </c:pt>
                      <c:pt idx="126">
                        <c:v>122.54338533386034</c:v>
                      </c:pt>
                      <c:pt idx="127">
                        <c:v>122.94042605734946</c:v>
                      </c:pt>
                      <c:pt idx="128">
                        <c:v>123.33875319328487</c:v>
                      </c:pt>
                      <c:pt idx="129">
                        <c:v>123.73837090964454</c:v>
                      </c:pt>
                      <c:pt idx="130">
                        <c:v>124.13928338791074</c:v>
                      </c:pt>
                      <c:pt idx="131">
                        <c:v>124.5414948231136</c:v>
                      </c:pt>
                      <c:pt idx="132">
                        <c:v>124.94500942387531</c:v>
                      </c:pt>
                      <c:pt idx="133">
                        <c:v>125.34983141245391</c:v>
                      </c:pt>
                      <c:pt idx="134">
                        <c:v>125.75596502478757</c:v>
                      </c:pt>
                      <c:pt idx="135">
                        <c:v>126.16341451053887</c:v>
                      </c:pt>
                      <c:pt idx="136">
                        <c:v>126.57218413313942</c:v>
                      </c:pt>
                      <c:pt idx="137">
                        <c:v>126.98227816983429</c:v>
                      </c:pt>
                      <c:pt idx="138">
                        <c:v>127.39370091172675</c:v>
                      </c:pt>
                      <c:pt idx="139">
                        <c:v>127.80645666382338</c:v>
                      </c:pt>
                      <c:pt idx="140">
                        <c:v>128.22054974507887</c:v>
                      </c:pt>
                      <c:pt idx="141">
                        <c:v>128.63598448844147</c:v>
                      </c:pt>
                      <c:pt idx="142">
                        <c:v>129.05276524089803</c:v>
                      </c:pt>
                      <c:pt idx="143">
                        <c:v>129.47089636351973</c:v>
                      </c:pt>
                      <c:pt idx="144">
                        <c:v>129.89038223150766</c:v>
                      </c:pt>
                      <c:pt idx="145">
                        <c:v>130.31122723423846</c:v>
                      </c:pt>
                      <c:pt idx="146">
                        <c:v>130.73343577531045</c:v>
                      </c:pt>
                      <c:pt idx="147">
                        <c:v>131.15701227258955</c:v>
                      </c:pt>
                      <c:pt idx="148">
                        <c:v>131.58196115825567</c:v>
                      </c:pt>
                      <c:pt idx="149">
                        <c:v>132.00828687884882</c:v>
                      </c:pt>
                      <c:pt idx="150">
                        <c:v>132.43599389531602</c:v>
                      </c:pt>
                      <c:pt idx="151">
                        <c:v>132.86508668305754</c:v>
                      </c:pt>
                      <c:pt idx="152">
                        <c:v>133.29556973197413</c:v>
                      </c:pt>
                      <c:pt idx="153">
                        <c:v>133.72744754651373</c:v>
                      </c:pt>
                      <c:pt idx="154">
                        <c:v>134.16072464571872</c:v>
                      </c:pt>
                      <c:pt idx="155">
                        <c:v>134.59540556327323</c:v>
                      </c:pt>
                      <c:pt idx="156">
                        <c:v>135.03149484755039</c:v>
                      </c:pt>
                      <c:pt idx="157">
                        <c:v>135.46899706166027</c:v>
                      </c:pt>
                      <c:pt idx="158">
                        <c:v>135.90791678349726</c:v>
                      </c:pt>
                      <c:pt idx="159">
                        <c:v>136.34825860578817</c:v>
                      </c:pt>
                      <c:pt idx="160">
                        <c:v>136.79002713614037</c:v>
                      </c:pt>
                      <c:pt idx="161">
                        <c:v>137.23322699708964</c:v>
                      </c:pt>
                      <c:pt idx="162">
                        <c:v>137.67786282614904</c:v>
                      </c:pt>
                      <c:pt idx="163">
                        <c:v>138.12393927585703</c:v>
                      </c:pt>
                      <c:pt idx="164">
                        <c:v>138.57146101382631</c:v>
                      </c:pt>
                      <c:pt idx="165">
                        <c:v>139.02043272279272</c:v>
                      </c:pt>
                      <c:pt idx="166">
                        <c:v>139.47085910066403</c:v>
                      </c:pt>
                      <c:pt idx="167">
                        <c:v>139.92274486056942</c:v>
                      </c:pt>
                      <c:pt idx="168">
                        <c:v>140.37609473090851</c:v>
                      </c:pt>
                      <c:pt idx="169">
                        <c:v>140.83091345540092</c:v>
                      </c:pt>
                      <c:pt idx="170">
                        <c:v>141.28720579313602</c:v>
                      </c:pt>
                      <c:pt idx="171">
                        <c:v>141.74497651862259</c:v>
                      </c:pt>
                      <c:pt idx="172">
                        <c:v>142.20423042183876</c:v>
                      </c:pt>
                      <c:pt idx="173">
                        <c:v>142.66497230828222</c:v>
                      </c:pt>
                      <c:pt idx="174">
                        <c:v>143.12720699902059</c:v>
                      </c:pt>
                      <c:pt idx="175">
                        <c:v>143.59093933074163</c:v>
                      </c:pt>
                      <c:pt idx="176">
                        <c:v>144.05617415580409</c:v>
                      </c:pt>
                      <c:pt idx="177">
                        <c:v>144.52291634228817</c:v>
                      </c:pt>
                      <c:pt idx="178">
                        <c:v>144.99117077404685</c:v>
                      </c:pt>
                      <c:pt idx="179">
                        <c:v>145.46094235075677</c:v>
                      </c:pt>
                      <c:pt idx="180">
                        <c:v>145.93223598796942</c:v>
                      </c:pt>
                      <c:pt idx="181">
                        <c:v>146.40505661716278</c:v>
                      </c:pt>
                      <c:pt idx="182">
                        <c:v>146.87940918579281</c:v>
                      </c:pt>
                      <c:pt idx="183">
                        <c:v>147.35529865734523</c:v>
                      </c:pt>
                      <c:pt idx="184">
                        <c:v>147.83273001138747</c:v>
                      </c:pt>
                      <c:pt idx="185">
                        <c:v>148.31170824362067</c:v>
                      </c:pt>
                      <c:pt idx="186">
                        <c:v>148.79223836593223</c:v>
                      </c:pt>
                      <c:pt idx="187">
                        <c:v>149.27432540644787</c:v>
                      </c:pt>
                      <c:pt idx="188">
                        <c:v>149.75797440958456</c:v>
                      </c:pt>
                      <c:pt idx="189">
                        <c:v>150.24319043610325</c:v>
                      </c:pt>
                      <c:pt idx="190">
                        <c:v>150.72997856316158</c:v>
                      </c:pt>
                      <c:pt idx="191">
                        <c:v>151.21834388436733</c:v>
                      </c:pt>
                      <c:pt idx="192">
                        <c:v>151.70829150983153</c:v>
                      </c:pt>
                      <c:pt idx="193">
                        <c:v>152.19982656622199</c:v>
                      </c:pt>
                      <c:pt idx="194">
                        <c:v>152.69295419681688</c:v>
                      </c:pt>
                      <c:pt idx="195">
                        <c:v>153.1876795615587</c:v>
                      </c:pt>
                      <c:pt idx="196">
                        <c:v>153.68400783710808</c:v>
                      </c:pt>
                      <c:pt idx="197">
                        <c:v>154.18194421689802</c:v>
                      </c:pt>
                      <c:pt idx="198">
                        <c:v>154.68149391118834</c:v>
                      </c:pt>
                      <c:pt idx="199">
                        <c:v>155.18266214712006</c:v>
                      </c:pt>
                      <c:pt idx="200">
                        <c:v>155.68545416877009</c:v>
                      </c:pt>
                      <c:pt idx="201">
                        <c:v>156.18987523720628</c:v>
                      </c:pt>
                      <c:pt idx="202">
                        <c:v>156.69593063054225</c:v>
                      </c:pt>
                      <c:pt idx="203">
                        <c:v>157.20362564399278</c:v>
                      </c:pt>
                      <c:pt idx="204">
                        <c:v>157.71296558992907</c:v>
                      </c:pt>
                      <c:pt idx="205">
                        <c:v>158.22395579793445</c:v>
                      </c:pt>
                      <c:pt idx="206">
                        <c:v>158.73660161486012</c:v>
                      </c:pt>
                      <c:pt idx="207">
                        <c:v>159.2509084048811</c:v>
                      </c:pt>
                      <c:pt idx="208">
                        <c:v>159.76688154955229</c:v>
                      </c:pt>
                      <c:pt idx="209">
                        <c:v>160.28452644786492</c:v>
                      </c:pt>
                      <c:pt idx="210">
                        <c:v>160.80384851630282</c:v>
                      </c:pt>
                      <c:pt idx="211">
                        <c:v>161.32485318889934</c:v>
                      </c:pt>
                      <c:pt idx="212">
                        <c:v>161.84754591729416</c:v>
                      </c:pt>
                      <c:pt idx="213">
                        <c:v>162.37193217079007</c:v>
                      </c:pt>
                      <c:pt idx="214">
                        <c:v>162.89801743641067</c:v>
                      </c:pt>
                      <c:pt idx="215">
                        <c:v>163.42580721895729</c:v>
                      </c:pt>
                      <c:pt idx="216">
                        <c:v>163.95530704106699</c:v>
                      </c:pt>
                      <c:pt idx="217">
                        <c:v>164.48652244327016</c:v>
                      </c:pt>
                      <c:pt idx="218">
                        <c:v>165.01945898404833</c:v>
                      </c:pt>
                      <c:pt idx="219">
                        <c:v>165.55412223989279</c:v>
                      </c:pt>
                      <c:pt idx="220">
                        <c:v>166.09051780536248</c:v>
                      </c:pt>
                      <c:pt idx="221">
                        <c:v>166.62865129314281</c:v>
                      </c:pt>
                      <c:pt idx="222">
                        <c:v>167.1685283341042</c:v>
                      </c:pt>
                      <c:pt idx="223">
                        <c:v>167.71015457736124</c:v>
                      </c:pt>
                      <c:pt idx="224">
                        <c:v>168.25353569033155</c:v>
                      </c:pt>
                      <c:pt idx="225">
                        <c:v>168.7986773587952</c:v>
                      </c:pt>
                      <c:pt idx="226">
                        <c:v>169.34558528695425</c:v>
                      </c:pt>
                      <c:pt idx="227">
                        <c:v>169.8942651974923</c:v>
                      </c:pt>
                      <c:pt idx="228">
                        <c:v>170.44472283163452</c:v>
                      </c:pt>
                      <c:pt idx="229">
                        <c:v>170.99696394920764</c:v>
                      </c:pt>
                      <c:pt idx="230">
                        <c:v>171.55099432870026</c:v>
                      </c:pt>
                      <c:pt idx="231">
                        <c:v>172.10681976732326</c:v>
                      </c:pt>
                      <c:pt idx="232">
                        <c:v>172.66444608107042</c:v>
                      </c:pt>
                      <c:pt idx="233">
                        <c:v>173.22387910477954</c:v>
                      </c:pt>
                      <c:pt idx="234">
                        <c:v>173.78512469219305</c:v>
                      </c:pt>
                      <c:pt idx="235">
                        <c:v>174.34818871601971</c:v>
                      </c:pt>
                      <c:pt idx="236">
                        <c:v>174.91307706799586</c:v>
                      </c:pt>
                      <c:pt idx="237">
                        <c:v>175.47979565894693</c:v>
                      </c:pt>
                      <c:pt idx="238">
                        <c:v>176.04835041884951</c:v>
                      </c:pt>
                      <c:pt idx="239">
                        <c:v>176.61874729689336</c:v>
                      </c:pt>
                      <c:pt idx="240">
                        <c:v>177.19099226154356</c:v>
                      </c:pt>
                      <c:pt idx="241">
                        <c:v>177.76509130060307</c:v>
                      </c:pt>
                      <c:pt idx="242">
                        <c:v>178.34105042127538</c:v>
                      </c:pt>
                      <c:pt idx="243">
                        <c:v>178.91887565022716</c:v>
                      </c:pt>
                      <c:pt idx="244">
                        <c:v>179.49857303365167</c:v>
                      </c:pt>
                      <c:pt idx="245">
                        <c:v>180.08014863733169</c:v>
                      </c:pt>
                      <c:pt idx="246">
                        <c:v>180.66360854670336</c:v>
                      </c:pt>
                      <c:pt idx="247">
                        <c:v>181.24895886691937</c:v>
                      </c:pt>
                      <c:pt idx="248">
                        <c:v>181.83620572291335</c:v>
                      </c:pt>
                      <c:pt idx="249">
                        <c:v>182.42535525946352</c:v>
                      </c:pt>
                      <c:pt idx="250">
                        <c:v>183.01641364125734</c:v>
                      </c:pt>
                      <c:pt idx="251">
                        <c:v>183.60938705295587</c:v>
                      </c:pt>
                      <c:pt idx="252">
                        <c:v>184.2042816992583</c:v>
                      </c:pt>
                      <c:pt idx="253">
                        <c:v>184.80110380496725</c:v>
                      </c:pt>
                      <c:pt idx="254">
                        <c:v>185.39985961505363</c:v>
                      </c:pt>
                      <c:pt idx="255">
                        <c:v>186.00055539472208</c:v>
                      </c:pt>
                      <c:pt idx="256">
                        <c:v>186.6031974294765</c:v>
                      </c:pt>
                      <c:pt idx="257">
                        <c:v>187.20779202518577</c:v>
                      </c:pt>
                      <c:pt idx="258">
                        <c:v>187.81434550814996</c:v>
                      </c:pt>
                      <c:pt idx="259">
                        <c:v>188.42286422516614</c:v>
                      </c:pt>
                      <c:pt idx="260">
                        <c:v>189.03335454359521</c:v>
                      </c:pt>
                      <c:pt idx="261">
                        <c:v>189.64582285142819</c:v>
                      </c:pt>
                      <c:pt idx="262">
                        <c:v>190.26027555735325</c:v>
                      </c:pt>
                      <c:pt idx="263">
                        <c:v>190.87671909082277</c:v>
                      </c:pt>
                      <c:pt idx="264">
                        <c:v>191.49515990212055</c:v>
                      </c:pt>
                      <c:pt idx="265">
                        <c:v>192.11560446242913</c:v>
                      </c:pt>
                      <c:pt idx="266">
                        <c:v>192.73805926389795</c:v>
                      </c:pt>
                      <c:pt idx="267">
                        <c:v>193.36253081971086</c:v>
                      </c:pt>
                      <c:pt idx="268">
                        <c:v>193.98902566415455</c:v>
                      </c:pt>
                      <c:pt idx="269">
                        <c:v>194.61755035268666</c:v>
                      </c:pt>
                      <c:pt idx="270">
                        <c:v>195.24811146200466</c:v>
                      </c:pt>
                      <c:pt idx="271">
                        <c:v>195.88071559011448</c:v>
                      </c:pt>
                      <c:pt idx="272">
                        <c:v>196.51536935639956</c:v>
                      </c:pt>
                      <c:pt idx="273">
                        <c:v>197.15207940169017</c:v>
                      </c:pt>
                      <c:pt idx="274">
                        <c:v>197.79085238833292</c:v>
                      </c:pt>
                      <c:pt idx="275">
                        <c:v>198.43169500026039</c:v>
                      </c:pt>
                      <c:pt idx="276">
                        <c:v>199.07461394306114</c:v>
                      </c:pt>
                      <c:pt idx="277">
                        <c:v>199.71961594404974</c:v>
                      </c:pt>
                      <c:pt idx="278">
                        <c:v>200.3667077523375</c:v>
                      </c:pt>
                      <c:pt idx="279">
                        <c:v>201.01589613890255</c:v>
                      </c:pt>
                      <c:pt idx="280">
                        <c:v>201.66718789666129</c:v>
                      </c:pt>
                      <c:pt idx="281">
                        <c:v>202.32058984053901</c:v>
                      </c:pt>
                      <c:pt idx="282">
                        <c:v>202.97610880754138</c:v>
                      </c:pt>
                      <c:pt idx="283">
                        <c:v>203.63375165682604</c:v>
                      </c:pt>
                      <c:pt idx="284">
                        <c:v>204.29352526977414</c:v>
                      </c:pt>
                      <c:pt idx="285">
                        <c:v>204.95543655006284</c:v>
                      </c:pt>
                      <c:pt idx="286">
                        <c:v>205.61949242373692</c:v>
                      </c:pt>
                      <c:pt idx="287">
                        <c:v>206.28569983928173</c:v>
                      </c:pt>
                      <c:pt idx="288">
                        <c:v>206.95406576769551</c:v>
                      </c:pt>
                      <c:pt idx="289">
                        <c:v>207.62459720256285</c:v>
                      </c:pt>
                      <c:pt idx="290">
                        <c:v>208.29730116012732</c:v>
                      </c:pt>
                      <c:pt idx="291">
                        <c:v>208.97218467936517</c:v>
                      </c:pt>
                      <c:pt idx="292">
                        <c:v>209.64925482205905</c:v>
                      </c:pt>
                      <c:pt idx="293">
                        <c:v>210.32851867287172</c:v>
                      </c:pt>
                      <c:pt idx="294">
                        <c:v>211.00998333942022</c:v>
                      </c:pt>
                      <c:pt idx="295">
                        <c:v>211.69365595235035</c:v>
                      </c:pt>
                      <c:pt idx="296">
                        <c:v>212.37954366541115</c:v>
                      </c:pt>
                      <c:pt idx="297">
                        <c:v>213.06765365552985</c:v>
                      </c:pt>
                      <c:pt idx="298">
                        <c:v>213.75799312288694</c:v>
                      </c:pt>
                      <c:pt idx="299">
                        <c:v>214.45056929099144</c:v>
                      </c:pt>
                      <c:pt idx="300">
                        <c:v>215.14538940675672</c:v>
                      </c:pt>
                      <c:pt idx="301">
                        <c:v>215.842460740576</c:v>
                      </c:pt>
                      <c:pt idx="302">
                        <c:v>216.54179058639852</c:v>
                      </c:pt>
                      <c:pt idx="303">
                        <c:v>217.24338626180611</c:v>
                      </c:pt>
                      <c:pt idx="304">
                        <c:v>217.94725510808951</c:v>
                      </c:pt>
                      <c:pt idx="305">
                        <c:v>218.65340449032519</c:v>
                      </c:pt>
                      <c:pt idx="306">
                        <c:v>219.36184179745254</c:v>
                      </c:pt>
                      <c:pt idx="307">
                        <c:v>220.07257444235105</c:v>
                      </c:pt>
                      <c:pt idx="308">
                        <c:v>220.78560986191812</c:v>
                      </c:pt>
                      <c:pt idx="309">
                        <c:v>221.50095551714648</c:v>
                      </c:pt>
                      <c:pt idx="310">
                        <c:v>222.21861889320266</c:v>
                      </c:pt>
                      <c:pt idx="311">
                        <c:v>222.93860749950508</c:v>
                      </c:pt>
                      <c:pt idx="312">
                        <c:v>223.66092886980255</c:v>
                      </c:pt>
                      <c:pt idx="313">
                        <c:v>224.38559056225353</c:v>
                      </c:pt>
                      <c:pt idx="314">
                        <c:v>225.11260015950464</c:v>
                      </c:pt>
                      <c:pt idx="315">
                        <c:v>225.84196526877051</c:v>
                      </c:pt>
                      <c:pt idx="316">
                        <c:v>226.5736935219129</c:v>
                      </c:pt>
                      <c:pt idx="317">
                        <c:v>227.30779257552115</c:v>
                      </c:pt>
                      <c:pt idx="318">
                        <c:v>228.04427011099162</c:v>
                      </c:pt>
                      <c:pt idx="319">
                        <c:v>228.78313383460861</c:v>
                      </c:pt>
                      <c:pt idx="320">
                        <c:v>229.52439147762473</c:v>
                      </c:pt>
                      <c:pt idx="321">
                        <c:v>230.26805079634184</c:v>
                      </c:pt>
                      <c:pt idx="322">
                        <c:v>231.01411957219224</c:v>
                      </c:pt>
                      <c:pt idx="323">
                        <c:v>231.76260561182016</c:v>
                      </c:pt>
                      <c:pt idx="324">
                        <c:v>232.51351674716324</c:v>
                      </c:pt>
                      <c:pt idx="325">
                        <c:v>233.26686083553466</c:v>
                      </c:pt>
                      <c:pt idx="326">
                        <c:v>234.02264575970528</c:v>
                      </c:pt>
                      <c:pt idx="327">
                        <c:v>234.78087942798629</c:v>
                      </c:pt>
                      <c:pt idx="328">
                        <c:v>235.54156977431154</c:v>
                      </c:pt>
                      <c:pt idx="329">
                        <c:v>236.30472475832119</c:v>
                      </c:pt>
                      <c:pt idx="330">
                        <c:v>237.07035236544428</c:v>
                      </c:pt>
                      <c:pt idx="331">
                        <c:v>237.83846060698295</c:v>
                      </c:pt>
                      <c:pt idx="332">
                        <c:v>238.60905752019585</c:v>
                      </c:pt>
                      <c:pt idx="333">
                        <c:v>239.38215116838225</c:v>
                      </c:pt>
                      <c:pt idx="334">
                        <c:v>240.15774964096664</c:v>
                      </c:pt>
                      <c:pt idx="335">
                        <c:v>240.93586105358335</c:v>
                      </c:pt>
                      <c:pt idx="336">
                        <c:v>241.71649354816114</c:v>
                      </c:pt>
                      <c:pt idx="337">
                        <c:v>242.4996552930088</c:v>
                      </c:pt>
                      <c:pt idx="338">
                        <c:v>243.28535448290037</c:v>
                      </c:pt>
                      <c:pt idx="339">
                        <c:v>244.07359933916109</c:v>
                      </c:pt>
                      <c:pt idx="340">
                        <c:v>244.8643981097531</c:v>
                      </c:pt>
                      <c:pt idx="341">
                        <c:v>245.65775906936221</c:v>
                      </c:pt>
                      <c:pt idx="342">
                        <c:v>246.45369051948396</c:v>
                      </c:pt>
                      <c:pt idx="343">
                        <c:v>247.25220078851081</c:v>
                      </c:pt>
                      <c:pt idx="344">
                        <c:v>248.05329823181944</c:v>
                      </c:pt>
                      <c:pt idx="345">
                        <c:v>248.85699123185771</c:v>
                      </c:pt>
                      <c:pt idx="346">
                        <c:v>249.66328819823264</c:v>
                      </c:pt>
                      <c:pt idx="347">
                        <c:v>250.47219756779862</c:v>
                      </c:pt>
                      <c:pt idx="348">
                        <c:v>251.28372780474513</c:v>
                      </c:pt>
                      <c:pt idx="349">
                        <c:v>252.09788740068589</c:v>
                      </c:pt>
                      <c:pt idx="350">
                        <c:v>252.91468487474737</c:v>
                      </c:pt>
                      <c:pt idx="351">
                        <c:v>253.73412877365794</c:v>
                      </c:pt>
                      <c:pt idx="352">
                        <c:v>254.55622767183758</c:v>
                      </c:pt>
                      <c:pt idx="353">
                        <c:v>255.38099017148713</c:v>
                      </c:pt>
                      <c:pt idx="354">
                        <c:v>256.20842490267887</c:v>
                      </c:pt>
                      <c:pt idx="355">
                        <c:v>257.03854052344627</c:v>
                      </c:pt>
                      <c:pt idx="356">
                        <c:v>257.87134571987497</c:v>
                      </c:pt>
                      <c:pt idx="357">
                        <c:v>258.70684920619351</c:v>
                      </c:pt>
                      <c:pt idx="358">
                        <c:v>259.54505972486464</c:v>
                      </c:pt>
                      <c:pt idx="359">
                        <c:v>260.38598604667652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Sim'!$D$238</c15:sqref>
                        </c15:formulaRef>
                      </c:ext>
                    </c:extLst>
                    <c:strCache>
                      <c:ptCount val="1"/>
                      <c:pt idx="0">
                        <c:v>Oil/Diesel Linked Gas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Sim'!$E$236:$MZ$236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Sim'!$E$238:$MZ$238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360"/>
                      <c:pt idx="0">
                        <c:v>64.808869991823386</c:v>
                      </c:pt>
                      <c:pt idx="1">
                        <c:v>64.95574854793928</c:v>
                      </c:pt>
                      <c:pt idx="2">
                        <c:v>65.103102990762764</c:v>
                      </c:pt>
                      <c:pt idx="3">
                        <c:v>65.250934862167398</c:v>
                      </c:pt>
                      <c:pt idx="4">
                        <c:v>65.399245709022381</c:v>
                      </c:pt>
                      <c:pt idx="5">
                        <c:v>65.548037083208769</c:v>
                      </c:pt>
                      <c:pt idx="6">
                        <c:v>65.69731054163573</c:v>
                      </c:pt>
                      <c:pt idx="7">
                        <c:v>65.847067646256804</c:v>
                      </c:pt>
                      <c:pt idx="8">
                        <c:v>65.997309964086284</c:v>
                      </c:pt>
                      <c:pt idx="9">
                        <c:v>66.148039067215592</c:v>
                      </c:pt>
                      <c:pt idx="10">
                        <c:v>66.299256532829673</c:v>
                      </c:pt>
                      <c:pt idx="11">
                        <c:v>66.450963943223641</c:v>
                      </c:pt>
                      <c:pt idx="12">
                        <c:v>66.603162885819174</c:v>
                      </c:pt>
                      <c:pt idx="13">
                        <c:v>66.755854953181256</c:v>
                      </c:pt>
                      <c:pt idx="14">
                        <c:v>66.909041743034692</c:v>
                      </c:pt>
                      <c:pt idx="15">
                        <c:v>67.062724858281058</c:v>
                      </c:pt>
                      <c:pt idx="16">
                        <c:v>67.216905907015189</c:v>
                      </c:pt>
                      <c:pt idx="17">
                        <c:v>67.371586502542272</c:v>
                      </c:pt>
                      <c:pt idx="18">
                        <c:v>67.526768263394516</c:v>
                      </c:pt>
                      <c:pt idx="19">
                        <c:v>67.682452813348206</c:v>
                      </c:pt>
                      <c:pt idx="20">
                        <c:v>67.838641781440685</c:v>
                      </c:pt>
                      <c:pt idx="21">
                        <c:v>67.995336801987335</c:v>
                      </c:pt>
                      <c:pt idx="22">
                        <c:v>68.152539514598772</c:v>
                      </c:pt>
                      <c:pt idx="23">
                        <c:v>68.310251564197927</c:v>
                      </c:pt>
                      <c:pt idx="24">
                        <c:v>68.468474601037272</c:v>
                      </c:pt>
                      <c:pt idx="25">
                        <c:v>68.627210280716099</c:v>
                      </c:pt>
                      <c:pt idx="26">
                        <c:v>68.786460264197885</c:v>
                      </c:pt>
                      <c:pt idx="27">
                        <c:v>68.946226217827615</c:v>
                      </c:pt>
                      <c:pt idx="28">
                        <c:v>69.106509813349163</c:v>
                      </c:pt>
                      <c:pt idx="29">
                        <c:v>69.267312727922956</c:v>
                      </c:pt>
                      <c:pt idx="30">
                        <c:v>69.428636644143367</c:v>
                      </c:pt>
                      <c:pt idx="31">
                        <c:v>69.590483250056394</c:v>
                      </c:pt>
                      <c:pt idx="32">
                        <c:v>69.75285423917731</c:v>
                      </c:pt>
                      <c:pt idx="33">
                        <c:v>69.915751310508341</c:v>
                      </c:pt>
                      <c:pt idx="34">
                        <c:v>70.079176168556558</c:v>
                      </c:pt>
                      <c:pt idx="35">
                        <c:v>70.243130523351567</c:v>
                      </c:pt>
                      <c:pt idx="36">
                        <c:v>70.407616090463492</c:v>
                      </c:pt>
                      <c:pt idx="37">
                        <c:v>70.572634591020929</c:v>
                      </c:pt>
                      <c:pt idx="38">
                        <c:v>70.738187751728915</c:v>
                      </c:pt>
                      <c:pt idx="39">
                        <c:v>70.904277304886989</c:v>
                      </c:pt>
                      <c:pt idx="40">
                        <c:v>71.070904988407392</c:v>
                      </c:pt>
                      <c:pt idx="41">
                        <c:v>71.238072545833163</c:v>
                      </c:pt>
                      <c:pt idx="42">
                        <c:v>71.405781726356466</c:v>
                      </c:pt>
                      <c:pt idx="43">
                        <c:v>71.574034284836785</c:v>
                      </c:pt>
                      <c:pt idx="44">
                        <c:v>71.742831981819407</c:v>
                      </c:pt>
                      <c:pt idx="45">
                        <c:v>71.912176583553787</c:v>
                      </c:pt>
                      <c:pt idx="46">
                        <c:v>72.082069862011977</c:v>
                      </c:pt>
                      <c:pt idx="47">
                        <c:v>72.252513594907285</c:v>
                      </c:pt>
                      <c:pt idx="48">
                        <c:v>72.423509565712763</c:v>
                      </c:pt>
                      <c:pt idx="49">
                        <c:v>72.595059563679939</c:v>
                      </c:pt>
                      <c:pt idx="50">
                        <c:v>72.767165383857531</c:v>
                      </c:pt>
                      <c:pt idx="51">
                        <c:v>72.939828827110219</c:v>
                      </c:pt>
                      <c:pt idx="52">
                        <c:v>73.113051700137419</c:v>
                      </c:pt>
                      <c:pt idx="53">
                        <c:v>73.286835815492353</c:v>
                      </c:pt>
                      <c:pt idx="54">
                        <c:v>73.46118299160085</c:v>
                      </c:pt>
                      <c:pt idx="55">
                        <c:v>73.63609505278049</c:v>
                      </c:pt>
                      <c:pt idx="56">
                        <c:v>73.811573829259601</c:v>
                      </c:pt>
                      <c:pt idx="57">
                        <c:v>73.987621157196457</c:v>
                      </c:pt>
                      <c:pt idx="58">
                        <c:v>74.164238878698526</c:v>
                      </c:pt>
                      <c:pt idx="59">
                        <c:v>74.341428841841662</c:v>
                      </c:pt>
                      <c:pt idx="60">
                        <c:v>74.519192900689532</c:v>
                      </c:pt>
                      <c:pt idx="61">
                        <c:v>74.697532915312905</c:v>
                      </c:pt>
                      <c:pt idx="62">
                        <c:v>74.876450751809244</c:v>
                      </c:pt>
                      <c:pt idx="63">
                        <c:v>75.055948282322149</c:v>
                      </c:pt>
                      <c:pt idx="64">
                        <c:v>75.236027385060964</c:v>
                      </c:pt>
                      <c:pt idx="65">
                        <c:v>75.416689944320439</c:v>
                      </c:pt>
                      <c:pt idx="66">
                        <c:v>75.597937850500443</c:v>
                      </c:pt>
                      <c:pt idx="67">
                        <c:v>75.779773000125729</c:v>
                      </c:pt>
                      <c:pt idx="68">
                        <c:v>75.96219729586582</c:v>
                      </c:pt>
                      <c:pt idx="69">
                        <c:v>76.145212646554839</c:v>
                      </c:pt>
                      <c:pt idx="70">
                        <c:v>76.328820967211612</c:v>
                      </c:pt>
                      <c:pt idx="71">
                        <c:v>76.513024179059542</c:v>
                      </c:pt>
                      <c:pt idx="72">
                        <c:v>76.697824209546866</c:v>
                      </c:pt>
                      <c:pt idx="73">
                        <c:v>76.88322299236674</c:v>
                      </c:pt>
                      <c:pt idx="74">
                        <c:v>77.069222467477459</c:v>
                      </c:pt>
                      <c:pt idx="75">
                        <c:v>77.255824581122795</c:v>
                      </c:pt>
                      <c:pt idx="76">
                        <c:v>77.443031285852399</c:v>
                      </c:pt>
                      <c:pt idx="77">
                        <c:v>77.630844540542128</c:v>
                      </c:pt>
                      <c:pt idx="78">
                        <c:v>77.819266310414605</c:v>
                      </c:pt>
                      <c:pt idx="79">
                        <c:v>78.008298567059796</c:v>
                      </c:pt>
                      <c:pt idx="80">
                        <c:v>78.197943288455676</c:v>
                      </c:pt>
                      <c:pt idx="81">
                        <c:v>78.388202458988715</c:v>
                      </c:pt>
                      <c:pt idx="82">
                        <c:v>78.579078069474988</c:v>
                      </c:pt>
                      <c:pt idx="83">
                        <c:v>78.770572117180635</c:v>
                      </c:pt>
                      <c:pt idx="84">
                        <c:v>78.962686605843089</c:v>
                      </c:pt>
                      <c:pt idx="85">
                        <c:v>79.155423545691818</c:v>
                      </c:pt>
                      <c:pt idx="86">
                        <c:v>79.348784953469462</c:v>
                      </c:pt>
                      <c:pt idx="87">
                        <c:v>79.542772852452885</c:v>
                      </c:pt>
                      <c:pt idx="88">
                        <c:v>79.737389272474374</c:v>
                      </c:pt>
                      <c:pt idx="89">
                        <c:v>79.932636249942931</c:v>
                      </c:pt>
                      <c:pt idx="90">
                        <c:v>80.128515827865456</c:v>
                      </c:pt>
                      <c:pt idx="91">
                        <c:v>80.325030055868211</c:v>
                      </c:pt>
                      <c:pt idx="92">
                        <c:v>80.522180990218288</c:v>
                      </c:pt>
                      <c:pt idx="93">
                        <c:v>80.719970693845028</c:v>
                      </c:pt>
                      <c:pt idx="94">
                        <c:v>80.918401236361703</c:v>
                      </c:pt>
                      <c:pt idx="95">
                        <c:v>81.117474694087122</c:v>
                      </c:pt>
                      <c:pt idx="96">
                        <c:v>81.317193150067411</c:v>
                      </c:pt>
                      <c:pt idx="97">
                        <c:v>81.517558694097687</c:v>
                      </c:pt>
                      <c:pt idx="98">
                        <c:v>81.718573422744072</c:v>
                      </c:pt>
                      <c:pt idx="99">
                        <c:v>81.920239439365517</c:v>
                      </c:pt>
                      <c:pt idx="100">
                        <c:v>82.122558854135917</c:v>
                      </c:pt>
                      <c:pt idx="101">
                        <c:v>82.325533784066096</c:v>
                      </c:pt>
                      <c:pt idx="102">
                        <c:v>82.529166353026</c:v>
                      </c:pt>
                      <c:pt idx="103">
                        <c:v>82.733458691766899</c:v>
                      </c:pt>
                      <c:pt idx="104">
                        <c:v>82.938412937943752</c:v>
                      </c:pt>
                      <c:pt idx="105">
                        <c:v>83.144031236137451</c:v>
                      </c:pt>
                      <c:pt idx="106">
                        <c:v>83.350315737877409</c:v>
                      </c:pt>
                      <c:pt idx="107">
                        <c:v>83.557268601663921</c:v>
                      </c:pt>
                      <c:pt idx="108">
                        <c:v>83.764891992990883</c:v>
                      </c:pt>
                      <c:pt idx="109">
                        <c:v>83.97318808436836</c:v>
                      </c:pt>
                      <c:pt idx="110">
                        <c:v>84.182159055345394</c:v>
                      </c:pt>
                      <c:pt idx="111">
                        <c:v>84.39180709253273</c:v>
                      </c:pt>
                      <c:pt idx="112">
                        <c:v>84.602134389625718</c:v>
                      </c:pt>
                      <c:pt idx="113">
                        <c:v>84.81314314742734</c:v>
                      </c:pt>
                      <c:pt idx="114">
                        <c:v>85.024835573871144</c:v>
                      </c:pt>
                      <c:pt idx="115">
                        <c:v>85.237213884044408</c:v>
                      </c:pt>
                      <c:pt idx="116">
                        <c:v>85.45028030021129</c:v>
                      </c:pt>
                      <c:pt idx="117">
                        <c:v>85.664037051836047</c:v>
                      </c:pt>
                      <c:pt idx="118">
                        <c:v>85.878486375606442</c:v>
                      </c:pt>
                      <c:pt idx="119">
                        <c:v>86.093630515457136</c:v>
                      </c:pt>
                      <c:pt idx="120">
                        <c:v>86.309471722593088</c:v>
                      </c:pt>
                      <c:pt idx="121">
                        <c:v>86.52601225551318</c:v>
                      </c:pt>
                      <c:pt idx="122">
                        <c:v>86.74325438003379</c:v>
                      </c:pt>
                      <c:pt idx="123">
                        <c:v>86.961200369312692</c:v>
                      </c:pt>
                      <c:pt idx="124">
                        <c:v>87.179852503872553</c:v>
                      </c:pt>
                      <c:pt idx="125">
                        <c:v>87.399213071624942</c:v>
                      </c:pt>
                      <c:pt idx="126">
                        <c:v>87.619284367894295</c:v>
                      </c:pt>
                      <c:pt idx="127">
                        <c:v>87.840068695441971</c:v>
                      </c:pt>
                      <c:pt idx="128">
                        <c:v>88.061568364490171</c:v>
                      </c:pt>
                      <c:pt idx="129">
                        <c:v>88.28378569274625</c:v>
                      </c:pt>
                      <c:pt idx="130">
                        <c:v>88.506723005426977</c:v>
                      </c:pt>
                      <c:pt idx="131">
                        <c:v>88.730382635282794</c:v>
                      </c:pt>
                      <c:pt idx="132">
                        <c:v>88.954766922622269</c:v>
                      </c:pt>
                      <c:pt idx="133">
                        <c:v>89.179878215336515</c:v>
                      </c:pt>
                      <c:pt idx="134">
                        <c:v>89.405718868923913</c:v>
                      </c:pt>
                      <c:pt idx="135">
                        <c:v>89.632291246514612</c:v>
                      </c:pt>
                      <c:pt idx="136">
                        <c:v>89.859597718895301</c:v>
                      </c:pt>
                      <c:pt idx="137">
                        <c:v>90.087640664534021</c:v>
                      </c:pt>
                      <c:pt idx="138">
                        <c:v>90.316422469605044</c:v>
                      </c:pt>
                      <c:pt idx="139">
                        <c:v>90.545945528013931</c:v>
                      </c:pt>
                      <c:pt idx="140">
                        <c:v>90.776212241422357</c:v>
                      </c:pt>
                      <c:pt idx="141">
                        <c:v>91.007225019273534</c:v>
                      </c:pt>
                      <c:pt idx="142">
                        <c:v>91.238986278817137</c:v>
                      </c:pt>
                      <c:pt idx="143">
                        <c:v>91.471498445134785</c:v>
                      </c:pt>
                      <c:pt idx="144">
                        <c:v>91.704763951165475</c:v>
                      </c:pt>
                      <c:pt idx="145">
                        <c:v>91.938785237730727</c:v>
                      </c:pt>
                      <c:pt idx="146">
                        <c:v>92.173564753560484</c:v>
                      </c:pt>
                      <c:pt idx="147">
                        <c:v>92.409104955318512</c:v>
                      </c:pt>
                      <c:pt idx="148">
                        <c:v>92.645408307628159</c:v>
                      </c:pt>
                      <c:pt idx="149">
                        <c:v>92.882477283098183</c:v>
                      </c:pt>
                      <c:pt idx="150">
                        <c:v>93.120314362348623</c:v>
                      </c:pt>
                      <c:pt idx="151">
                        <c:v>93.358922034036681</c:v>
                      </c:pt>
                      <c:pt idx="152">
                        <c:v>93.598302794882798</c:v>
                      </c:pt>
                      <c:pt idx="153">
                        <c:v>93.838459149696902</c:v>
                      </c:pt>
                      <c:pt idx="154">
                        <c:v>94.079393611404342</c:v>
                      </c:pt>
                      <c:pt idx="155">
                        <c:v>94.32110870107249</c:v>
                      </c:pt>
                      <c:pt idx="156">
                        <c:v>94.563606947936904</c:v>
                      </c:pt>
                      <c:pt idx="157">
                        <c:v>94.806890889427919</c:v>
                      </c:pt>
                      <c:pt idx="158">
                        <c:v>95.050963071197074</c:v>
                      </c:pt>
                      <c:pt idx="159">
                        <c:v>95.29582604714389</c:v>
                      </c:pt>
                      <c:pt idx="160">
                        <c:v>95.541482379442527</c:v>
                      </c:pt>
                      <c:pt idx="161">
                        <c:v>95.78793463856853</c:v>
                      </c:pt>
                      <c:pt idx="162">
                        <c:v>96.035185403325869</c:v>
                      </c:pt>
                      <c:pt idx="163">
                        <c:v>96.283237260873761</c:v>
                      </c:pt>
                      <c:pt idx="164">
                        <c:v>96.532092806753894</c:v>
                      </c:pt>
                      <c:pt idx="165">
                        <c:v>96.781754644917427</c:v>
                      </c:pt>
                      <c:pt idx="166">
                        <c:v>97.032225387752447</c:v>
                      </c:pt>
                      <c:pt idx="167">
                        <c:v>97.283507656111041</c:v>
                      </c:pt>
                      <c:pt idx="168">
                        <c:v>97.535604079336963</c:v>
                      </c:pt>
                      <c:pt idx="169">
                        <c:v>97.788517295293047</c:v>
                      </c:pt>
                      <c:pt idx="170">
                        <c:v>98.042249950388722</c:v>
                      </c:pt>
                      <c:pt idx="171">
                        <c:v>98.29680469960789</c:v>
                      </c:pt>
                      <c:pt idx="172">
                        <c:v>98.552184206536481</c:v>
                      </c:pt>
                      <c:pt idx="173">
                        <c:v>98.808391143390566</c:v>
                      </c:pt>
                      <c:pt idx="174">
                        <c:v>99.065428191044163</c:v>
                      </c:pt>
                      <c:pt idx="175">
                        <c:v>99.323298039057278</c:v>
                      </c:pt>
                      <c:pt idx="176">
                        <c:v>99.582003385704127</c:v>
                      </c:pt>
                      <c:pt idx="177">
                        <c:v>99.841546938001358</c:v>
                      </c:pt>
                      <c:pt idx="178">
                        <c:v>100.10193141173635</c:v>
                      </c:pt>
                      <c:pt idx="179">
                        <c:v>100.36315953149561</c:v>
                      </c:pt>
                      <c:pt idx="180">
                        <c:v>100.62523403069326</c:v>
                      </c:pt>
                      <c:pt idx="181">
                        <c:v>100.88815765159987</c:v>
                      </c:pt>
                      <c:pt idx="182">
                        <c:v>101.15193314537076</c:v>
                      </c:pt>
                      <c:pt idx="183">
                        <c:v>101.41656327207514</c:v>
                      </c:pt>
                      <c:pt idx="184">
                        <c:v>101.6820508007248</c:v>
                      </c:pt>
                      <c:pt idx="185">
                        <c:v>101.9483985093031</c:v>
                      </c:pt>
                      <c:pt idx="186">
                        <c:v>102.21560918479408</c:v>
                      </c:pt>
                      <c:pt idx="187">
                        <c:v>102.48368562321166</c:v>
                      </c:pt>
                      <c:pt idx="188">
                        <c:v>102.75263062962877</c:v>
                      </c:pt>
                      <c:pt idx="189">
                        <c:v>103.02244701820695</c:v>
                      </c:pt>
                      <c:pt idx="190">
                        <c:v>103.29313761222538</c:v>
                      </c:pt>
                      <c:pt idx="191">
                        <c:v>103.56470524411083</c:v>
                      </c:pt>
                      <c:pt idx="192">
                        <c:v>103.83715275546705</c:v>
                      </c:pt>
                      <c:pt idx="193">
                        <c:v>104.11048299710477</c:v>
                      </c:pt>
                      <c:pt idx="194">
                        <c:v>104.3846988290711</c:v>
                      </c:pt>
                      <c:pt idx="195">
                        <c:v>104.65980312067985</c:v>
                      </c:pt>
                      <c:pt idx="196">
                        <c:v>104.93579875054138</c:v>
                      </c:pt>
                      <c:pt idx="197">
                        <c:v>105.21268860659279</c:v>
                      </c:pt>
                      <c:pt idx="198">
                        <c:v>105.49047558612808</c:v>
                      </c:pt>
                      <c:pt idx="199">
                        <c:v>105.7691625958284</c:v>
                      </c:pt>
                      <c:pt idx="200">
                        <c:v>106.04875255179272</c:v>
                      </c:pt>
                      <c:pt idx="201">
                        <c:v>106.32924837956799</c:v>
                      </c:pt>
                      <c:pt idx="202">
                        <c:v>106.61065301418004</c:v>
                      </c:pt>
                      <c:pt idx="203">
                        <c:v>106.8929694001642</c:v>
                      </c:pt>
                      <c:pt idx="204">
                        <c:v>107.17620049159609</c:v>
                      </c:pt>
                      <c:pt idx="205">
                        <c:v>107.46034925212241</c:v>
                      </c:pt>
                      <c:pt idx="206">
                        <c:v>107.74541865499229</c:v>
                      </c:pt>
                      <c:pt idx="207">
                        <c:v>108.03141168308808</c:v>
                      </c:pt>
                      <c:pt idx="208">
                        <c:v>108.31833132895665</c:v>
                      </c:pt>
                      <c:pt idx="209">
                        <c:v>108.60618059484075</c:v>
                      </c:pt>
                      <c:pt idx="210">
                        <c:v>108.89496249271042</c:v>
                      </c:pt>
                      <c:pt idx="211">
                        <c:v>109.1846800442945</c:v>
                      </c:pt>
                      <c:pt idx="212">
                        <c:v>109.47533628111216</c:v>
                      </c:pt>
                      <c:pt idx="213">
                        <c:v>109.76693424450477</c:v>
                      </c:pt>
                      <c:pt idx="214">
                        <c:v>110.05947698566763</c:v>
                      </c:pt>
                      <c:pt idx="215">
                        <c:v>110.35296756568187</c:v>
                      </c:pt>
                      <c:pt idx="216">
                        <c:v>110.64740905554662</c:v>
                      </c:pt>
                      <c:pt idx="217">
                        <c:v>110.94280453621097</c:v>
                      </c:pt>
                      <c:pt idx="218">
                        <c:v>111.23915709860633</c:v>
                      </c:pt>
                      <c:pt idx="219">
                        <c:v>111.5364698436787</c:v>
                      </c:pt>
                      <c:pt idx="220">
                        <c:v>111.83474588242119</c:v>
                      </c:pt>
                      <c:pt idx="221">
                        <c:v>112.13398833590651</c:v>
                      </c:pt>
                      <c:pt idx="222">
                        <c:v>112.43420033531963</c:v>
                      </c:pt>
                      <c:pt idx="223">
                        <c:v>112.73538502199057</c:v>
                      </c:pt>
                      <c:pt idx="224">
                        <c:v>113.03754554742736</c:v>
                      </c:pt>
                      <c:pt idx="225">
                        <c:v>113.34068507334875</c:v>
                      </c:pt>
                      <c:pt idx="226">
                        <c:v>113.64480677171753</c:v>
                      </c:pt>
                      <c:pt idx="227">
                        <c:v>113.94991382477374</c:v>
                      </c:pt>
                      <c:pt idx="228">
                        <c:v>114.2560094250678</c:v>
                      </c:pt>
                      <c:pt idx="229">
                        <c:v>114.56309677549397</c:v>
                      </c:pt>
                      <c:pt idx="230">
                        <c:v>114.87117908932402</c:v>
                      </c:pt>
                      <c:pt idx="231">
                        <c:v>115.18025959024051</c:v>
                      </c:pt>
                      <c:pt idx="232">
                        <c:v>115.49034151237095</c:v>
                      </c:pt>
                      <c:pt idx="233">
                        <c:v>115.80142810032133</c:v>
                      </c:pt>
                      <c:pt idx="234">
                        <c:v>116.11352260921016</c:v>
                      </c:pt>
                      <c:pt idx="235">
                        <c:v>116.42662830470258</c:v>
                      </c:pt>
                      <c:pt idx="236">
                        <c:v>116.74074846304444</c:v>
                      </c:pt>
                      <c:pt idx="237">
                        <c:v>117.05588637109665</c:v>
                      </c:pt>
                      <c:pt idx="238">
                        <c:v>117.3720453263696</c:v>
                      </c:pt>
                      <c:pt idx="239">
                        <c:v>117.68922863705751</c:v>
                      </c:pt>
                      <c:pt idx="240">
                        <c:v>118.00743962207332</c:v>
                      </c:pt>
                      <c:pt idx="241">
                        <c:v>118.32668161108305</c:v>
                      </c:pt>
                      <c:pt idx="242">
                        <c:v>118.64695794454099</c:v>
                      </c:pt>
                      <c:pt idx="243">
                        <c:v>118.96827197372446</c:v>
                      </c:pt>
                      <c:pt idx="244">
                        <c:v>119.2906270607689</c:v>
                      </c:pt>
                      <c:pt idx="245">
                        <c:v>119.61402657870315</c:v>
                      </c:pt>
                      <c:pt idx="246">
                        <c:v>119.93847391148455</c:v>
                      </c:pt>
                      <c:pt idx="247">
                        <c:v>120.2639724540346</c:v>
                      </c:pt>
                      <c:pt idx="248">
                        <c:v>120.59052561227425</c:v>
                      </c:pt>
                      <c:pt idx="249">
                        <c:v>120.91813680315963</c:v>
                      </c:pt>
                      <c:pt idx="250">
                        <c:v>121.24680945471786</c:v>
                      </c:pt>
                      <c:pt idx="251">
                        <c:v>121.57654700608293</c:v>
                      </c:pt>
                      <c:pt idx="252">
                        <c:v>121.90735290753148</c:v>
                      </c:pt>
                      <c:pt idx="253">
                        <c:v>122.23923062051917</c:v>
                      </c:pt>
                      <c:pt idx="254">
                        <c:v>122.57218361771673</c:v>
                      </c:pt>
                      <c:pt idx="255">
                        <c:v>122.90621538304639</c:v>
                      </c:pt>
                      <c:pt idx="256">
                        <c:v>123.24132941171825</c:v>
                      </c:pt>
                      <c:pt idx="257">
                        <c:v>123.57752921026687</c:v>
                      </c:pt>
                      <c:pt idx="258">
                        <c:v>123.91481829658805</c:v>
                      </c:pt>
                      <c:pt idx="259">
                        <c:v>124.25320019997555</c:v>
                      </c:pt>
                      <c:pt idx="260">
                        <c:v>124.59267846115807</c:v>
                      </c:pt>
                      <c:pt idx="261">
                        <c:v>124.93325663233627</c:v>
                      </c:pt>
                      <c:pt idx="262">
                        <c:v>125.2749382772198</c:v>
                      </c:pt>
                      <c:pt idx="263">
                        <c:v>125.61772697106501</c:v>
                      </c:pt>
                      <c:pt idx="264">
                        <c:v>125.96162630071188</c:v>
                      </c:pt>
                      <c:pt idx="265">
                        <c:v>126.3066398646218</c:v>
                      </c:pt>
                      <c:pt idx="266">
                        <c:v>126.65277127291522</c:v>
                      </c:pt>
                      <c:pt idx="267">
                        <c:v>127.00002414740931</c:v>
                      </c:pt>
                      <c:pt idx="268">
                        <c:v>127.34840212165602</c:v>
                      </c:pt>
                      <c:pt idx="269">
                        <c:v>127.69790884097998</c:v>
                      </c:pt>
                      <c:pt idx="270">
                        <c:v>128.04854796251664</c:v>
                      </c:pt>
                      <c:pt idx="271">
                        <c:v>128.40032315525053</c:v>
                      </c:pt>
                      <c:pt idx="272">
                        <c:v>128.75323810005398</c:v>
                      </c:pt>
                      <c:pt idx="273">
                        <c:v>129.10729648972492</c:v>
                      </c:pt>
                      <c:pt idx="274">
                        <c:v>129.46250202902627</c:v>
                      </c:pt>
                      <c:pt idx="275">
                        <c:v>129.81885843472426</c:v>
                      </c:pt>
                      <c:pt idx="276">
                        <c:v>130.17636943562741</c:v>
                      </c:pt>
                      <c:pt idx="277">
                        <c:v>130.5350387726258</c:v>
                      </c:pt>
                      <c:pt idx="278">
                        <c:v>130.89487019872971</c:v>
                      </c:pt>
                      <c:pt idx="279">
                        <c:v>131.25586747910938</c:v>
                      </c:pt>
                      <c:pt idx="280">
                        <c:v>131.61803439113407</c:v>
                      </c:pt>
                      <c:pt idx="281">
                        <c:v>131.98137472441186</c:v>
                      </c:pt>
                      <c:pt idx="282">
                        <c:v>132.34589228082908</c:v>
                      </c:pt>
                      <c:pt idx="283">
                        <c:v>132.71159087459017</c:v>
                      </c:pt>
                      <c:pt idx="284">
                        <c:v>133.07847433225763</c:v>
                      </c:pt>
                      <c:pt idx="285">
                        <c:v>133.44654649279195</c:v>
                      </c:pt>
                      <c:pt idx="286">
                        <c:v>133.81581120759205</c:v>
                      </c:pt>
                      <c:pt idx="287">
                        <c:v>134.18627234053514</c:v>
                      </c:pt>
                      <c:pt idx="288">
                        <c:v>134.55793376801762</c:v>
                      </c:pt>
                      <c:pt idx="289">
                        <c:v>134.93079937899523</c:v>
                      </c:pt>
                      <c:pt idx="290">
                        <c:v>135.30487307502406</c:v>
                      </c:pt>
                      <c:pt idx="291">
                        <c:v>135.6801587703012</c:v>
                      </c:pt>
                      <c:pt idx="292">
                        <c:v>136.05666039170572</c:v>
                      </c:pt>
                      <c:pt idx="293">
                        <c:v>136.43438187883987</c:v>
                      </c:pt>
                      <c:pt idx="294">
                        <c:v>136.81332718407012</c:v>
                      </c:pt>
                      <c:pt idx="295">
                        <c:v>137.19350027256866</c:v>
                      </c:pt>
                      <c:pt idx="296">
                        <c:v>137.57490512235481</c:v>
                      </c:pt>
                      <c:pt idx="297">
                        <c:v>137.95754572433665</c:v>
                      </c:pt>
                      <c:pt idx="298">
                        <c:v>138.341426082353</c:v>
                      </c:pt>
                      <c:pt idx="299">
                        <c:v>138.72655021321486</c:v>
                      </c:pt>
                      <c:pt idx="300">
                        <c:v>139.11292214674791</c:v>
                      </c:pt>
                      <c:pt idx="301">
                        <c:v>139.5005459258343</c:v>
                      </c:pt>
                      <c:pt idx="302">
                        <c:v>139.88942560645526</c:v>
                      </c:pt>
                      <c:pt idx="303">
                        <c:v>140.27956525773331</c:v>
                      </c:pt>
                      <c:pt idx="304">
                        <c:v>140.67096896197498</c:v>
                      </c:pt>
                      <c:pt idx="305">
                        <c:v>141.06364081471352</c:v>
                      </c:pt>
                      <c:pt idx="306">
                        <c:v>141.45758492475161</c:v>
                      </c:pt>
                      <c:pt idx="307">
                        <c:v>141.85280541420457</c:v>
                      </c:pt>
                      <c:pt idx="308">
                        <c:v>142.24930641854326</c:v>
                      </c:pt>
                      <c:pt idx="309">
                        <c:v>142.64709208663754</c:v>
                      </c:pt>
                      <c:pt idx="310">
                        <c:v>143.04616658079959</c:v>
                      </c:pt>
                      <c:pt idx="311">
                        <c:v>143.44653407682756</c:v>
                      </c:pt>
                      <c:pt idx="312">
                        <c:v>143.84819876404907</c:v>
                      </c:pt>
                      <c:pt idx="313">
                        <c:v>144.25116484536525</c:v>
                      </c:pt>
                      <c:pt idx="314">
                        <c:v>144.65543653729463</c:v>
                      </c:pt>
                      <c:pt idx="315">
                        <c:v>145.06101807001724</c:v>
                      </c:pt>
                      <c:pt idx="316">
                        <c:v>145.46791368741887</c:v>
                      </c:pt>
                      <c:pt idx="317">
                        <c:v>145.87612764713558</c:v>
                      </c:pt>
                      <c:pt idx="318">
                        <c:v>146.28566422059814</c:v>
                      </c:pt>
                      <c:pt idx="319">
                        <c:v>146.69652769307675</c:v>
                      </c:pt>
                      <c:pt idx="320">
                        <c:v>147.10872236372592</c:v>
                      </c:pt>
                      <c:pt idx="321">
                        <c:v>147.52225254562933</c:v>
                      </c:pt>
                      <c:pt idx="322">
                        <c:v>147.93712256584521</c:v>
                      </c:pt>
                      <c:pt idx="323">
                        <c:v>148.35333676545136</c:v>
                      </c:pt>
                      <c:pt idx="324">
                        <c:v>148.77089949959077</c:v>
                      </c:pt>
                      <c:pt idx="325">
                        <c:v>149.18981513751694</c:v>
                      </c:pt>
                      <c:pt idx="326">
                        <c:v>149.61008806263985</c:v>
                      </c:pt>
                      <c:pt idx="327">
                        <c:v>150.03172267257182</c:v>
                      </c:pt>
                      <c:pt idx="328">
                        <c:v>150.45472337917326</c:v>
                      </c:pt>
                      <c:pt idx="329">
                        <c:v>150.87909460859916</c:v>
                      </c:pt>
                      <c:pt idx="330">
                        <c:v>151.30484080134519</c:v>
                      </c:pt>
                      <c:pt idx="331">
                        <c:v>151.73196641229427</c:v>
                      </c:pt>
                      <c:pt idx="332">
                        <c:v>152.1604759107631</c:v>
                      </c:pt>
                      <c:pt idx="333">
                        <c:v>152.59037378054899</c:v>
                      </c:pt>
                      <c:pt idx="334">
                        <c:v>153.02166451997678</c:v>
                      </c:pt>
                      <c:pt idx="335">
                        <c:v>153.45435264194586</c:v>
                      </c:pt>
                      <c:pt idx="336">
                        <c:v>153.88844267397744</c:v>
                      </c:pt>
                      <c:pt idx="337">
                        <c:v>154.32393915826191</c:v>
                      </c:pt>
                      <c:pt idx="338">
                        <c:v>154.76084665170629</c:v>
                      </c:pt>
                      <c:pt idx="339">
                        <c:v>155.1991697259821</c:v>
                      </c:pt>
                      <c:pt idx="340">
                        <c:v>155.63891296757302</c:v>
                      </c:pt>
                      <c:pt idx="341">
                        <c:v>156.08008097782292</c:v>
                      </c:pt>
                      <c:pt idx="342">
                        <c:v>156.52267837298405</c:v>
                      </c:pt>
                      <c:pt idx="343">
                        <c:v>156.96670978426536</c:v>
                      </c:pt>
                      <c:pt idx="344">
                        <c:v>157.41217985788091</c:v>
                      </c:pt>
                      <c:pt idx="345">
                        <c:v>157.85909325509843</c:v>
                      </c:pt>
                      <c:pt idx="346">
                        <c:v>158.30745465228827</c:v>
                      </c:pt>
                      <c:pt idx="347">
                        <c:v>158.75726874097214</c:v>
                      </c:pt>
                      <c:pt idx="348">
                        <c:v>159.20854022787231</c:v>
                      </c:pt>
                      <c:pt idx="349">
                        <c:v>159.66127383496084</c:v>
                      </c:pt>
                      <c:pt idx="350">
                        <c:v>160.11547429950903</c:v>
                      </c:pt>
                      <c:pt idx="351">
                        <c:v>160.57114637413687</c:v>
                      </c:pt>
                      <c:pt idx="352">
                        <c:v>161.02829482686289</c:v>
                      </c:pt>
                      <c:pt idx="353">
                        <c:v>161.48692444115403</c:v>
                      </c:pt>
                      <c:pt idx="354">
                        <c:v>161.9470400159756</c:v>
                      </c:pt>
                      <c:pt idx="355">
                        <c:v>162.40864636584161</c:v>
                      </c:pt>
                      <c:pt idx="356">
                        <c:v>162.87174832086504</c:v>
                      </c:pt>
                      <c:pt idx="357">
                        <c:v>163.33635072680858</c:v>
                      </c:pt>
                      <c:pt idx="358">
                        <c:v>163.80245844513502</c:v>
                      </c:pt>
                      <c:pt idx="359">
                        <c:v>164.27007635305841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Sim'!$D$241</c15:sqref>
                        </c15:formulaRef>
                      </c:ext>
                    </c:extLst>
                    <c:strCache>
                      <c:ptCount val="1"/>
                      <c:pt idx="0">
                        <c:v>RE PPA @ $0.14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Sim'!$E$236:$MZ$236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Sim'!$E$241:$MZ$241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360"/>
                      <c:pt idx="0">
                        <c:v>66.29885308601591</c:v>
                      </c:pt>
                      <c:pt idx="1">
                        <c:v>66.29885308601591</c:v>
                      </c:pt>
                      <c:pt idx="2">
                        <c:v>66.29885308601591</c:v>
                      </c:pt>
                      <c:pt idx="3">
                        <c:v>66.29885308601591</c:v>
                      </c:pt>
                      <c:pt idx="4">
                        <c:v>66.29885308601591</c:v>
                      </c:pt>
                      <c:pt idx="5">
                        <c:v>66.29885308601591</c:v>
                      </c:pt>
                      <c:pt idx="6">
                        <c:v>66.29885308601591</c:v>
                      </c:pt>
                      <c:pt idx="7">
                        <c:v>66.29885308601591</c:v>
                      </c:pt>
                      <c:pt idx="8">
                        <c:v>66.29885308601591</c:v>
                      </c:pt>
                      <c:pt idx="9">
                        <c:v>66.29885308601591</c:v>
                      </c:pt>
                      <c:pt idx="10">
                        <c:v>66.29885308601591</c:v>
                      </c:pt>
                      <c:pt idx="11">
                        <c:v>66.29885308601591</c:v>
                      </c:pt>
                      <c:pt idx="12">
                        <c:v>66.29885308601591</c:v>
                      </c:pt>
                      <c:pt idx="13">
                        <c:v>66.29885308601591</c:v>
                      </c:pt>
                      <c:pt idx="14">
                        <c:v>66.29885308601591</c:v>
                      </c:pt>
                      <c:pt idx="15">
                        <c:v>66.29885308601591</c:v>
                      </c:pt>
                      <c:pt idx="16">
                        <c:v>66.29885308601591</c:v>
                      </c:pt>
                      <c:pt idx="17">
                        <c:v>66.29885308601591</c:v>
                      </c:pt>
                      <c:pt idx="18">
                        <c:v>66.29885308601591</c:v>
                      </c:pt>
                      <c:pt idx="19">
                        <c:v>66.29885308601591</c:v>
                      </c:pt>
                      <c:pt idx="20">
                        <c:v>66.29885308601591</c:v>
                      </c:pt>
                      <c:pt idx="21">
                        <c:v>66.29885308601591</c:v>
                      </c:pt>
                      <c:pt idx="22">
                        <c:v>66.29885308601591</c:v>
                      </c:pt>
                      <c:pt idx="23">
                        <c:v>66.29885308601591</c:v>
                      </c:pt>
                      <c:pt idx="24">
                        <c:v>66.29885308601591</c:v>
                      </c:pt>
                      <c:pt idx="25">
                        <c:v>66.29885308601591</c:v>
                      </c:pt>
                      <c:pt idx="26">
                        <c:v>66.29885308601591</c:v>
                      </c:pt>
                      <c:pt idx="27">
                        <c:v>66.29885308601591</c:v>
                      </c:pt>
                      <c:pt idx="28">
                        <c:v>66.29885308601591</c:v>
                      </c:pt>
                      <c:pt idx="29">
                        <c:v>66.29885308601591</c:v>
                      </c:pt>
                      <c:pt idx="30">
                        <c:v>66.29885308601591</c:v>
                      </c:pt>
                      <c:pt idx="31">
                        <c:v>66.29885308601591</c:v>
                      </c:pt>
                      <c:pt idx="32">
                        <c:v>66.29885308601591</c:v>
                      </c:pt>
                      <c:pt idx="33">
                        <c:v>66.29885308601591</c:v>
                      </c:pt>
                      <c:pt idx="34">
                        <c:v>66.29885308601591</c:v>
                      </c:pt>
                      <c:pt idx="35">
                        <c:v>66.29885308601591</c:v>
                      </c:pt>
                      <c:pt idx="36">
                        <c:v>66.29885308601591</c:v>
                      </c:pt>
                      <c:pt idx="37">
                        <c:v>66.29885308601591</c:v>
                      </c:pt>
                      <c:pt idx="38">
                        <c:v>66.29885308601591</c:v>
                      </c:pt>
                      <c:pt idx="39">
                        <c:v>66.29885308601591</c:v>
                      </c:pt>
                      <c:pt idx="40">
                        <c:v>66.29885308601591</c:v>
                      </c:pt>
                      <c:pt idx="41">
                        <c:v>66.29885308601591</c:v>
                      </c:pt>
                      <c:pt idx="42">
                        <c:v>66.29885308601591</c:v>
                      </c:pt>
                      <c:pt idx="43">
                        <c:v>66.29885308601591</c:v>
                      </c:pt>
                      <c:pt idx="44">
                        <c:v>66.29885308601591</c:v>
                      </c:pt>
                      <c:pt idx="45">
                        <c:v>66.29885308601591</c:v>
                      </c:pt>
                      <c:pt idx="46">
                        <c:v>66.29885308601591</c:v>
                      </c:pt>
                      <c:pt idx="47">
                        <c:v>66.29885308601591</c:v>
                      </c:pt>
                      <c:pt idx="48">
                        <c:v>66.29885308601591</c:v>
                      </c:pt>
                      <c:pt idx="49">
                        <c:v>66.29885308601591</c:v>
                      </c:pt>
                      <c:pt idx="50">
                        <c:v>66.29885308601591</c:v>
                      </c:pt>
                      <c:pt idx="51">
                        <c:v>66.29885308601591</c:v>
                      </c:pt>
                      <c:pt idx="52">
                        <c:v>66.29885308601591</c:v>
                      </c:pt>
                      <c:pt idx="53">
                        <c:v>66.29885308601591</c:v>
                      </c:pt>
                      <c:pt idx="54">
                        <c:v>66.29885308601591</c:v>
                      </c:pt>
                      <c:pt idx="55">
                        <c:v>66.29885308601591</c:v>
                      </c:pt>
                      <c:pt idx="56">
                        <c:v>66.29885308601591</c:v>
                      </c:pt>
                      <c:pt idx="57">
                        <c:v>66.29885308601591</c:v>
                      </c:pt>
                      <c:pt idx="58">
                        <c:v>66.29885308601591</c:v>
                      </c:pt>
                      <c:pt idx="59">
                        <c:v>66.29885308601591</c:v>
                      </c:pt>
                      <c:pt idx="60">
                        <c:v>66.29885308601591</c:v>
                      </c:pt>
                      <c:pt idx="61">
                        <c:v>66.29885308601591</c:v>
                      </c:pt>
                      <c:pt idx="62">
                        <c:v>66.29885308601591</c:v>
                      </c:pt>
                      <c:pt idx="63">
                        <c:v>66.29885308601591</c:v>
                      </c:pt>
                      <c:pt idx="64">
                        <c:v>66.29885308601591</c:v>
                      </c:pt>
                      <c:pt idx="65">
                        <c:v>66.29885308601591</c:v>
                      </c:pt>
                      <c:pt idx="66">
                        <c:v>66.29885308601591</c:v>
                      </c:pt>
                      <c:pt idx="67">
                        <c:v>66.29885308601591</c:v>
                      </c:pt>
                      <c:pt idx="68">
                        <c:v>66.29885308601591</c:v>
                      </c:pt>
                      <c:pt idx="69">
                        <c:v>66.29885308601591</c:v>
                      </c:pt>
                      <c:pt idx="70">
                        <c:v>66.29885308601591</c:v>
                      </c:pt>
                      <c:pt idx="71">
                        <c:v>66.29885308601591</c:v>
                      </c:pt>
                      <c:pt idx="72">
                        <c:v>66.29885308601591</c:v>
                      </c:pt>
                      <c:pt idx="73">
                        <c:v>66.29885308601591</c:v>
                      </c:pt>
                      <c:pt idx="74">
                        <c:v>66.29885308601591</c:v>
                      </c:pt>
                      <c:pt idx="75">
                        <c:v>66.29885308601591</c:v>
                      </c:pt>
                      <c:pt idx="76">
                        <c:v>66.29885308601591</c:v>
                      </c:pt>
                      <c:pt idx="77">
                        <c:v>66.29885308601591</c:v>
                      </c:pt>
                      <c:pt idx="78">
                        <c:v>66.29885308601591</c:v>
                      </c:pt>
                      <c:pt idx="79">
                        <c:v>66.29885308601591</c:v>
                      </c:pt>
                      <c:pt idx="80">
                        <c:v>66.29885308601591</c:v>
                      </c:pt>
                      <c:pt idx="81">
                        <c:v>66.29885308601591</c:v>
                      </c:pt>
                      <c:pt idx="82">
                        <c:v>66.29885308601591</c:v>
                      </c:pt>
                      <c:pt idx="83">
                        <c:v>66.29885308601591</c:v>
                      </c:pt>
                      <c:pt idx="84">
                        <c:v>66.29885308601591</c:v>
                      </c:pt>
                      <c:pt idx="85">
                        <c:v>66.29885308601591</c:v>
                      </c:pt>
                      <c:pt idx="86">
                        <c:v>66.29885308601591</c:v>
                      </c:pt>
                      <c:pt idx="87">
                        <c:v>66.29885308601591</c:v>
                      </c:pt>
                      <c:pt idx="88">
                        <c:v>66.29885308601591</c:v>
                      </c:pt>
                      <c:pt idx="89">
                        <c:v>66.29885308601591</c:v>
                      </c:pt>
                      <c:pt idx="90">
                        <c:v>66.29885308601591</c:v>
                      </c:pt>
                      <c:pt idx="91">
                        <c:v>66.29885308601591</c:v>
                      </c:pt>
                      <c:pt idx="92">
                        <c:v>66.29885308601591</c:v>
                      </c:pt>
                      <c:pt idx="93">
                        <c:v>66.29885308601591</c:v>
                      </c:pt>
                      <c:pt idx="94">
                        <c:v>66.29885308601591</c:v>
                      </c:pt>
                      <c:pt idx="95">
                        <c:v>66.29885308601591</c:v>
                      </c:pt>
                      <c:pt idx="96">
                        <c:v>66.29885308601591</c:v>
                      </c:pt>
                      <c:pt idx="97">
                        <c:v>66.29885308601591</c:v>
                      </c:pt>
                      <c:pt idx="98">
                        <c:v>66.29885308601591</c:v>
                      </c:pt>
                      <c:pt idx="99">
                        <c:v>66.29885308601591</c:v>
                      </c:pt>
                      <c:pt idx="100">
                        <c:v>66.29885308601591</c:v>
                      </c:pt>
                      <c:pt idx="101">
                        <c:v>66.29885308601591</c:v>
                      </c:pt>
                      <c:pt idx="102">
                        <c:v>66.29885308601591</c:v>
                      </c:pt>
                      <c:pt idx="103">
                        <c:v>66.29885308601591</c:v>
                      </c:pt>
                      <c:pt idx="104">
                        <c:v>66.29885308601591</c:v>
                      </c:pt>
                      <c:pt idx="105">
                        <c:v>66.29885308601591</c:v>
                      </c:pt>
                      <c:pt idx="106">
                        <c:v>66.29885308601591</c:v>
                      </c:pt>
                      <c:pt idx="107">
                        <c:v>66.29885308601591</c:v>
                      </c:pt>
                      <c:pt idx="108">
                        <c:v>66.29885308601591</c:v>
                      </c:pt>
                      <c:pt idx="109">
                        <c:v>66.29885308601591</c:v>
                      </c:pt>
                      <c:pt idx="110">
                        <c:v>66.29885308601591</c:v>
                      </c:pt>
                      <c:pt idx="111">
                        <c:v>66.29885308601591</c:v>
                      </c:pt>
                      <c:pt idx="112">
                        <c:v>66.29885308601591</c:v>
                      </c:pt>
                      <c:pt idx="113">
                        <c:v>66.29885308601591</c:v>
                      </c:pt>
                      <c:pt idx="114">
                        <c:v>66.29885308601591</c:v>
                      </c:pt>
                      <c:pt idx="115">
                        <c:v>66.29885308601591</c:v>
                      </c:pt>
                      <c:pt idx="116">
                        <c:v>66.29885308601591</c:v>
                      </c:pt>
                      <c:pt idx="117">
                        <c:v>66.29885308601591</c:v>
                      </c:pt>
                      <c:pt idx="118">
                        <c:v>66.29885308601591</c:v>
                      </c:pt>
                      <c:pt idx="119">
                        <c:v>66.29885308601591</c:v>
                      </c:pt>
                      <c:pt idx="120">
                        <c:v>66.29885308601591</c:v>
                      </c:pt>
                      <c:pt idx="121">
                        <c:v>66.29885308601591</c:v>
                      </c:pt>
                      <c:pt idx="122">
                        <c:v>66.29885308601591</c:v>
                      </c:pt>
                      <c:pt idx="123">
                        <c:v>66.29885308601591</c:v>
                      </c:pt>
                      <c:pt idx="124">
                        <c:v>66.29885308601591</c:v>
                      </c:pt>
                      <c:pt idx="125">
                        <c:v>66.29885308601591</c:v>
                      </c:pt>
                      <c:pt idx="126">
                        <c:v>66.29885308601591</c:v>
                      </c:pt>
                      <c:pt idx="127">
                        <c:v>66.29885308601591</c:v>
                      </c:pt>
                      <c:pt idx="128">
                        <c:v>66.29885308601591</c:v>
                      </c:pt>
                      <c:pt idx="129">
                        <c:v>66.29885308601591</c:v>
                      </c:pt>
                      <c:pt idx="130">
                        <c:v>66.29885308601591</c:v>
                      </c:pt>
                      <c:pt idx="131">
                        <c:v>66.29885308601591</c:v>
                      </c:pt>
                      <c:pt idx="132">
                        <c:v>66.29885308601591</c:v>
                      </c:pt>
                      <c:pt idx="133">
                        <c:v>66.29885308601591</c:v>
                      </c:pt>
                      <c:pt idx="134">
                        <c:v>66.29885308601591</c:v>
                      </c:pt>
                      <c:pt idx="135">
                        <c:v>66.29885308601591</c:v>
                      </c:pt>
                      <c:pt idx="136">
                        <c:v>66.29885308601591</c:v>
                      </c:pt>
                      <c:pt idx="137">
                        <c:v>66.29885308601591</c:v>
                      </c:pt>
                      <c:pt idx="138">
                        <c:v>66.29885308601591</c:v>
                      </c:pt>
                      <c:pt idx="139">
                        <c:v>66.29885308601591</c:v>
                      </c:pt>
                      <c:pt idx="140">
                        <c:v>66.29885308601591</c:v>
                      </c:pt>
                      <c:pt idx="141">
                        <c:v>66.29885308601591</c:v>
                      </c:pt>
                      <c:pt idx="142">
                        <c:v>66.29885308601591</c:v>
                      </c:pt>
                      <c:pt idx="143">
                        <c:v>66.29885308601591</c:v>
                      </c:pt>
                      <c:pt idx="144">
                        <c:v>66.29885308601591</c:v>
                      </c:pt>
                      <c:pt idx="145">
                        <c:v>66.29885308601591</c:v>
                      </c:pt>
                      <c:pt idx="146">
                        <c:v>66.29885308601591</c:v>
                      </c:pt>
                      <c:pt idx="147">
                        <c:v>66.29885308601591</c:v>
                      </c:pt>
                      <c:pt idx="148">
                        <c:v>66.29885308601591</c:v>
                      </c:pt>
                      <c:pt idx="149">
                        <c:v>66.29885308601591</c:v>
                      </c:pt>
                      <c:pt idx="150">
                        <c:v>66.29885308601591</c:v>
                      </c:pt>
                      <c:pt idx="151">
                        <c:v>66.29885308601591</c:v>
                      </c:pt>
                      <c:pt idx="152">
                        <c:v>66.29885308601591</c:v>
                      </c:pt>
                      <c:pt idx="153">
                        <c:v>66.29885308601591</c:v>
                      </c:pt>
                      <c:pt idx="154">
                        <c:v>66.29885308601591</c:v>
                      </c:pt>
                      <c:pt idx="155">
                        <c:v>66.29885308601591</c:v>
                      </c:pt>
                      <c:pt idx="156">
                        <c:v>66.29885308601591</c:v>
                      </c:pt>
                      <c:pt idx="157">
                        <c:v>66.29885308601591</c:v>
                      </c:pt>
                      <c:pt idx="158">
                        <c:v>66.29885308601591</c:v>
                      </c:pt>
                      <c:pt idx="159">
                        <c:v>66.29885308601591</c:v>
                      </c:pt>
                      <c:pt idx="160">
                        <c:v>66.29885308601591</c:v>
                      </c:pt>
                      <c:pt idx="161">
                        <c:v>66.29885308601591</c:v>
                      </c:pt>
                      <c:pt idx="162">
                        <c:v>66.29885308601591</c:v>
                      </c:pt>
                      <c:pt idx="163">
                        <c:v>66.29885308601591</c:v>
                      </c:pt>
                      <c:pt idx="164">
                        <c:v>66.29885308601591</c:v>
                      </c:pt>
                      <c:pt idx="165">
                        <c:v>66.29885308601591</c:v>
                      </c:pt>
                      <c:pt idx="166">
                        <c:v>66.29885308601591</c:v>
                      </c:pt>
                      <c:pt idx="167">
                        <c:v>66.29885308601591</c:v>
                      </c:pt>
                      <c:pt idx="168">
                        <c:v>66.29885308601591</c:v>
                      </c:pt>
                      <c:pt idx="169">
                        <c:v>66.29885308601591</c:v>
                      </c:pt>
                      <c:pt idx="170">
                        <c:v>66.29885308601591</c:v>
                      </c:pt>
                      <c:pt idx="171">
                        <c:v>66.29885308601591</c:v>
                      </c:pt>
                      <c:pt idx="172">
                        <c:v>66.29885308601591</c:v>
                      </c:pt>
                      <c:pt idx="173">
                        <c:v>66.29885308601591</c:v>
                      </c:pt>
                      <c:pt idx="174">
                        <c:v>66.29885308601591</c:v>
                      </c:pt>
                      <c:pt idx="175">
                        <c:v>66.29885308601591</c:v>
                      </c:pt>
                      <c:pt idx="176">
                        <c:v>66.29885308601591</c:v>
                      </c:pt>
                      <c:pt idx="177">
                        <c:v>66.29885308601591</c:v>
                      </c:pt>
                      <c:pt idx="178">
                        <c:v>66.29885308601591</c:v>
                      </c:pt>
                      <c:pt idx="179">
                        <c:v>66.29885308601591</c:v>
                      </c:pt>
                      <c:pt idx="180">
                        <c:v>66.29885308601591</c:v>
                      </c:pt>
                      <c:pt idx="181">
                        <c:v>66.29885308601591</c:v>
                      </c:pt>
                      <c:pt idx="182">
                        <c:v>66.29885308601591</c:v>
                      </c:pt>
                      <c:pt idx="183">
                        <c:v>66.29885308601591</c:v>
                      </c:pt>
                      <c:pt idx="184">
                        <c:v>66.29885308601591</c:v>
                      </c:pt>
                      <c:pt idx="185">
                        <c:v>66.29885308601591</c:v>
                      </c:pt>
                      <c:pt idx="186">
                        <c:v>66.29885308601591</c:v>
                      </c:pt>
                      <c:pt idx="187">
                        <c:v>66.29885308601591</c:v>
                      </c:pt>
                      <c:pt idx="188">
                        <c:v>66.29885308601591</c:v>
                      </c:pt>
                      <c:pt idx="189">
                        <c:v>66.29885308601591</c:v>
                      </c:pt>
                      <c:pt idx="190">
                        <c:v>66.29885308601591</c:v>
                      </c:pt>
                      <c:pt idx="191">
                        <c:v>66.29885308601591</c:v>
                      </c:pt>
                      <c:pt idx="192">
                        <c:v>66.29885308601591</c:v>
                      </c:pt>
                      <c:pt idx="193">
                        <c:v>66.29885308601591</c:v>
                      </c:pt>
                      <c:pt idx="194">
                        <c:v>66.29885308601591</c:v>
                      </c:pt>
                      <c:pt idx="195">
                        <c:v>66.29885308601591</c:v>
                      </c:pt>
                      <c:pt idx="196">
                        <c:v>66.29885308601591</c:v>
                      </c:pt>
                      <c:pt idx="197">
                        <c:v>66.29885308601591</c:v>
                      </c:pt>
                      <c:pt idx="198">
                        <c:v>66.29885308601591</c:v>
                      </c:pt>
                      <c:pt idx="199">
                        <c:v>66.29885308601591</c:v>
                      </c:pt>
                      <c:pt idx="200">
                        <c:v>66.29885308601591</c:v>
                      </c:pt>
                      <c:pt idx="201">
                        <c:v>66.29885308601591</c:v>
                      </c:pt>
                      <c:pt idx="202">
                        <c:v>66.29885308601591</c:v>
                      </c:pt>
                      <c:pt idx="203">
                        <c:v>66.29885308601591</c:v>
                      </c:pt>
                      <c:pt idx="204">
                        <c:v>66.29885308601591</c:v>
                      </c:pt>
                      <c:pt idx="205">
                        <c:v>66.29885308601591</c:v>
                      </c:pt>
                      <c:pt idx="206">
                        <c:v>66.29885308601591</c:v>
                      </c:pt>
                      <c:pt idx="207">
                        <c:v>66.29885308601591</c:v>
                      </c:pt>
                      <c:pt idx="208">
                        <c:v>66.29885308601591</c:v>
                      </c:pt>
                      <c:pt idx="209">
                        <c:v>66.29885308601591</c:v>
                      </c:pt>
                      <c:pt idx="210">
                        <c:v>66.29885308601591</c:v>
                      </c:pt>
                      <c:pt idx="211">
                        <c:v>66.29885308601591</c:v>
                      </c:pt>
                      <c:pt idx="212">
                        <c:v>66.29885308601591</c:v>
                      </c:pt>
                      <c:pt idx="213">
                        <c:v>66.29885308601591</c:v>
                      </c:pt>
                      <c:pt idx="214">
                        <c:v>66.29885308601591</c:v>
                      </c:pt>
                      <c:pt idx="215">
                        <c:v>66.29885308601591</c:v>
                      </c:pt>
                      <c:pt idx="216">
                        <c:v>66.29885308601591</c:v>
                      </c:pt>
                      <c:pt idx="217">
                        <c:v>66.29885308601591</c:v>
                      </c:pt>
                      <c:pt idx="218">
                        <c:v>66.29885308601591</c:v>
                      </c:pt>
                      <c:pt idx="219">
                        <c:v>66.29885308601591</c:v>
                      </c:pt>
                      <c:pt idx="220">
                        <c:v>66.29885308601591</c:v>
                      </c:pt>
                      <c:pt idx="221">
                        <c:v>66.29885308601591</c:v>
                      </c:pt>
                      <c:pt idx="222">
                        <c:v>66.29885308601591</c:v>
                      </c:pt>
                      <c:pt idx="223">
                        <c:v>66.29885308601591</c:v>
                      </c:pt>
                      <c:pt idx="224">
                        <c:v>66.29885308601591</c:v>
                      </c:pt>
                      <c:pt idx="225">
                        <c:v>66.29885308601591</c:v>
                      </c:pt>
                      <c:pt idx="226">
                        <c:v>66.29885308601591</c:v>
                      </c:pt>
                      <c:pt idx="227">
                        <c:v>66.29885308601591</c:v>
                      </c:pt>
                      <c:pt idx="228">
                        <c:v>66.29885308601591</c:v>
                      </c:pt>
                      <c:pt idx="229">
                        <c:v>66.29885308601591</c:v>
                      </c:pt>
                      <c:pt idx="230">
                        <c:v>66.29885308601591</c:v>
                      </c:pt>
                      <c:pt idx="231">
                        <c:v>66.29885308601591</c:v>
                      </c:pt>
                      <c:pt idx="232">
                        <c:v>66.29885308601591</c:v>
                      </c:pt>
                      <c:pt idx="233">
                        <c:v>66.29885308601591</c:v>
                      </c:pt>
                      <c:pt idx="234">
                        <c:v>66.29885308601591</c:v>
                      </c:pt>
                      <c:pt idx="235">
                        <c:v>66.29885308601591</c:v>
                      </c:pt>
                      <c:pt idx="236">
                        <c:v>66.29885308601591</c:v>
                      </c:pt>
                      <c:pt idx="237">
                        <c:v>66.29885308601591</c:v>
                      </c:pt>
                      <c:pt idx="238">
                        <c:v>66.29885308601591</c:v>
                      </c:pt>
                      <c:pt idx="239">
                        <c:v>66.29885308601591</c:v>
                      </c:pt>
                      <c:pt idx="240">
                        <c:v>66.29885308601591</c:v>
                      </c:pt>
                      <c:pt idx="241">
                        <c:v>66.29885308601591</c:v>
                      </c:pt>
                      <c:pt idx="242">
                        <c:v>66.29885308601591</c:v>
                      </c:pt>
                      <c:pt idx="243">
                        <c:v>66.29885308601591</c:v>
                      </c:pt>
                      <c:pt idx="244">
                        <c:v>66.29885308601591</c:v>
                      </c:pt>
                      <c:pt idx="245">
                        <c:v>66.29885308601591</c:v>
                      </c:pt>
                      <c:pt idx="246">
                        <c:v>66.29885308601591</c:v>
                      </c:pt>
                      <c:pt idx="247">
                        <c:v>66.29885308601591</c:v>
                      </c:pt>
                      <c:pt idx="248">
                        <c:v>66.29885308601591</c:v>
                      </c:pt>
                      <c:pt idx="249">
                        <c:v>66.29885308601591</c:v>
                      </c:pt>
                      <c:pt idx="250">
                        <c:v>66.29885308601591</c:v>
                      </c:pt>
                      <c:pt idx="251">
                        <c:v>66.29885308601591</c:v>
                      </c:pt>
                      <c:pt idx="252">
                        <c:v>66.29885308601591</c:v>
                      </c:pt>
                      <c:pt idx="253">
                        <c:v>66.29885308601591</c:v>
                      </c:pt>
                      <c:pt idx="254">
                        <c:v>66.29885308601591</c:v>
                      </c:pt>
                      <c:pt idx="255">
                        <c:v>66.29885308601591</c:v>
                      </c:pt>
                      <c:pt idx="256">
                        <c:v>66.29885308601591</c:v>
                      </c:pt>
                      <c:pt idx="257">
                        <c:v>66.29885308601591</c:v>
                      </c:pt>
                      <c:pt idx="258">
                        <c:v>66.29885308601591</c:v>
                      </c:pt>
                      <c:pt idx="259">
                        <c:v>66.29885308601591</c:v>
                      </c:pt>
                      <c:pt idx="260">
                        <c:v>66.29885308601591</c:v>
                      </c:pt>
                      <c:pt idx="261">
                        <c:v>66.29885308601591</c:v>
                      </c:pt>
                      <c:pt idx="262">
                        <c:v>66.29885308601591</c:v>
                      </c:pt>
                      <c:pt idx="263">
                        <c:v>66.29885308601591</c:v>
                      </c:pt>
                      <c:pt idx="264">
                        <c:v>66.29885308601591</c:v>
                      </c:pt>
                      <c:pt idx="265">
                        <c:v>66.29885308601591</c:v>
                      </c:pt>
                      <c:pt idx="266">
                        <c:v>66.29885308601591</c:v>
                      </c:pt>
                      <c:pt idx="267">
                        <c:v>66.29885308601591</c:v>
                      </c:pt>
                      <c:pt idx="268">
                        <c:v>66.29885308601591</c:v>
                      </c:pt>
                      <c:pt idx="269">
                        <c:v>66.29885308601591</c:v>
                      </c:pt>
                      <c:pt idx="270">
                        <c:v>66.29885308601591</c:v>
                      </c:pt>
                      <c:pt idx="271">
                        <c:v>66.29885308601591</c:v>
                      </c:pt>
                      <c:pt idx="272">
                        <c:v>66.29885308601591</c:v>
                      </c:pt>
                      <c:pt idx="273">
                        <c:v>66.29885308601591</c:v>
                      </c:pt>
                      <c:pt idx="274">
                        <c:v>66.29885308601591</c:v>
                      </c:pt>
                      <c:pt idx="275">
                        <c:v>66.29885308601591</c:v>
                      </c:pt>
                      <c:pt idx="276">
                        <c:v>66.29885308601591</c:v>
                      </c:pt>
                      <c:pt idx="277">
                        <c:v>66.29885308601591</c:v>
                      </c:pt>
                      <c:pt idx="278">
                        <c:v>66.29885308601591</c:v>
                      </c:pt>
                      <c:pt idx="279">
                        <c:v>66.29885308601591</c:v>
                      </c:pt>
                      <c:pt idx="280">
                        <c:v>66.29885308601591</c:v>
                      </c:pt>
                      <c:pt idx="281">
                        <c:v>66.29885308601591</c:v>
                      </c:pt>
                      <c:pt idx="282">
                        <c:v>66.29885308601591</c:v>
                      </c:pt>
                      <c:pt idx="283">
                        <c:v>66.29885308601591</c:v>
                      </c:pt>
                      <c:pt idx="284">
                        <c:v>66.29885308601591</c:v>
                      </c:pt>
                      <c:pt idx="285">
                        <c:v>66.29885308601591</c:v>
                      </c:pt>
                      <c:pt idx="286">
                        <c:v>66.29885308601591</c:v>
                      </c:pt>
                      <c:pt idx="287">
                        <c:v>66.29885308601591</c:v>
                      </c:pt>
                      <c:pt idx="288">
                        <c:v>66.29885308601591</c:v>
                      </c:pt>
                      <c:pt idx="289">
                        <c:v>66.29885308601591</c:v>
                      </c:pt>
                      <c:pt idx="290">
                        <c:v>66.29885308601591</c:v>
                      </c:pt>
                      <c:pt idx="291">
                        <c:v>66.29885308601591</c:v>
                      </c:pt>
                      <c:pt idx="292">
                        <c:v>66.29885308601591</c:v>
                      </c:pt>
                      <c:pt idx="293">
                        <c:v>66.29885308601591</c:v>
                      </c:pt>
                      <c:pt idx="294">
                        <c:v>66.29885308601591</c:v>
                      </c:pt>
                      <c:pt idx="295">
                        <c:v>66.29885308601591</c:v>
                      </c:pt>
                      <c:pt idx="296">
                        <c:v>66.29885308601591</c:v>
                      </c:pt>
                      <c:pt idx="297">
                        <c:v>66.29885308601591</c:v>
                      </c:pt>
                      <c:pt idx="298">
                        <c:v>66.29885308601591</c:v>
                      </c:pt>
                      <c:pt idx="299">
                        <c:v>66.29885308601591</c:v>
                      </c:pt>
                      <c:pt idx="300">
                        <c:v>66.29885308601591</c:v>
                      </c:pt>
                      <c:pt idx="301">
                        <c:v>66.29885308601591</c:v>
                      </c:pt>
                      <c:pt idx="302">
                        <c:v>66.29885308601591</c:v>
                      </c:pt>
                      <c:pt idx="303">
                        <c:v>66.29885308601591</c:v>
                      </c:pt>
                      <c:pt idx="304">
                        <c:v>66.29885308601591</c:v>
                      </c:pt>
                      <c:pt idx="305">
                        <c:v>66.29885308601591</c:v>
                      </c:pt>
                      <c:pt idx="306">
                        <c:v>66.29885308601591</c:v>
                      </c:pt>
                      <c:pt idx="307">
                        <c:v>66.29885308601591</c:v>
                      </c:pt>
                      <c:pt idx="308">
                        <c:v>66.29885308601591</c:v>
                      </c:pt>
                      <c:pt idx="309">
                        <c:v>66.29885308601591</c:v>
                      </c:pt>
                      <c:pt idx="310">
                        <c:v>66.29885308601591</c:v>
                      </c:pt>
                      <c:pt idx="311">
                        <c:v>66.29885308601591</c:v>
                      </c:pt>
                      <c:pt idx="312">
                        <c:v>66.29885308601591</c:v>
                      </c:pt>
                      <c:pt idx="313">
                        <c:v>66.29885308601591</c:v>
                      </c:pt>
                      <c:pt idx="314">
                        <c:v>66.29885308601591</c:v>
                      </c:pt>
                      <c:pt idx="315">
                        <c:v>66.29885308601591</c:v>
                      </c:pt>
                      <c:pt idx="316">
                        <c:v>66.29885308601591</c:v>
                      </c:pt>
                      <c:pt idx="317">
                        <c:v>66.29885308601591</c:v>
                      </c:pt>
                      <c:pt idx="318">
                        <c:v>66.29885308601591</c:v>
                      </c:pt>
                      <c:pt idx="319">
                        <c:v>66.29885308601591</c:v>
                      </c:pt>
                      <c:pt idx="320">
                        <c:v>66.29885308601591</c:v>
                      </c:pt>
                      <c:pt idx="321">
                        <c:v>66.29885308601591</c:v>
                      </c:pt>
                      <c:pt idx="322">
                        <c:v>66.29885308601591</c:v>
                      </c:pt>
                      <c:pt idx="323">
                        <c:v>66.29885308601591</c:v>
                      </c:pt>
                      <c:pt idx="324">
                        <c:v>66.29885308601591</c:v>
                      </c:pt>
                      <c:pt idx="325">
                        <c:v>66.29885308601591</c:v>
                      </c:pt>
                      <c:pt idx="326">
                        <c:v>66.29885308601591</c:v>
                      </c:pt>
                      <c:pt idx="327">
                        <c:v>66.29885308601591</c:v>
                      </c:pt>
                      <c:pt idx="328">
                        <c:v>66.29885308601591</c:v>
                      </c:pt>
                      <c:pt idx="329">
                        <c:v>66.29885308601591</c:v>
                      </c:pt>
                      <c:pt idx="330">
                        <c:v>66.29885308601591</c:v>
                      </c:pt>
                      <c:pt idx="331">
                        <c:v>66.29885308601591</c:v>
                      </c:pt>
                      <c:pt idx="332">
                        <c:v>66.29885308601591</c:v>
                      </c:pt>
                      <c:pt idx="333">
                        <c:v>66.29885308601591</c:v>
                      </c:pt>
                      <c:pt idx="334">
                        <c:v>66.29885308601591</c:v>
                      </c:pt>
                      <c:pt idx="335">
                        <c:v>66.29885308601591</c:v>
                      </c:pt>
                      <c:pt idx="336">
                        <c:v>66.29885308601591</c:v>
                      </c:pt>
                      <c:pt idx="337">
                        <c:v>66.29885308601591</c:v>
                      </c:pt>
                      <c:pt idx="338">
                        <c:v>66.29885308601591</c:v>
                      </c:pt>
                      <c:pt idx="339">
                        <c:v>66.29885308601591</c:v>
                      </c:pt>
                      <c:pt idx="340">
                        <c:v>66.29885308601591</c:v>
                      </c:pt>
                      <c:pt idx="341">
                        <c:v>66.29885308601591</c:v>
                      </c:pt>
                      <c:pt idx="342">
                        <c:v>66.29885308601591</c:v>
                      </c:pt>
                      <c:pt idx="343">
                        <c:v>66.29885308601591</c:v>
                      </c:pt>
                      <c:pt idx="344">
                        <c:v>66.29885308601591</c:v>
                      </c:pt>
                      <c:pt idx="345">
                        <c:v>66.29885308601591</c:v>
                      </c:pt>
                      <c:pt idx="346">
                        <c:v>66.29885308601591</c:v>
                      </c:pt>
                      <c:pt idx="347">
                        <c:v>66.29885308601591</c:v>
                      </c:pt>
                      <c:pt idx="348">
                        <c:v>66.29885308601591</c:v>
                      </c:pt>
                      <c:pt idx="349">
                        <c:v>66.29885308601591</c:v>
                      </c:pt>
                      <c:pt idx="350">
                        <c:v>66.29885308601591</c:v>
                      </c:pt>
                      <c:pt idx="351">
                        <c:v>66.29885308601591</c:v>
                      </c:pt>
                      <c:pt idx="352">
                        <c:v>66.29885308601591</c:v>
                      </c:pt>
                      <c:pt idx="353">
                        <c:v>66.29885308601591</c:v>
                      </c:pt>
                      <c:pt idx="354">
                        <c:v>66.29885308601591</c:v>
                      </c:pt>
                      <c:pt idx="355">
                        <c:v>66.29885308601591</c:v>
                      </c:pt>
                      <c:pt idx="356">
                        <c:v>66.29885308601591</c:v>
                      </c:pt>
                      <c:pt idx="357">
                        <c:v>66.29885308601591</c:v>
                      </c:pt>
                      <c:pt idx="358">
                        <c:v>66.29885308601591</c:v>
                      </c:pt>
                      <c:pt idx="359">
                        <c:v>66.29885308601591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10197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6960"/>
        <c:crosses val="autoZero"/>
        <c:auto val="1"/>
        <c:lblOffset val="100"/>
        <c:baseTimeUnit val="months"/>
      </c:dateAx>
      <c:valAx>
        <c:axId val="4101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Electric Bill (Fuel Costs) -- 600 KWhr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'Fuel Cost Risk Sim'!$D$239</c:f>
              <c:strCache>
                <c:ptCount val="1"/>
                <c:pt idx="0">
                  <c:v>Henry Hub Linked Gas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Sim'!$E$239:$MZ$239</c:f>
              <c:numCache>
                <c:formatCode>_("$"* #,##0.00_);_("$"* \(#,##0.00\);_("$"* "-"??_);_(@_)</c:formatCode>
                <c:ptCount val="360"/>
                <c:pt idx="0">
                  <c:v>57.396960000000007</c:v>
                </c:pt>
                <c:pt idx="1">
                  <c:v>57.438169055055404</c:v>
                </c:pt>
                <c:pt idx="2">
                  <c:v>57.479511605241555</c:v>
                </c:pt>
                <c:pt idx="3">
                  <c:v>57.520988083010756</c:v>
                </c:pt>
                <c:pt idx="4">
                  <c:v>57.562598922216189</c:v>
                </c:pt>
                <c:pt idx="5">
                  <c:v>57.604344558116509</c:v>
                </c:pt>
                <c:pt idx="6">
                  <c:v>57.646225427380351</c:v>
                </c:pt>
                <c:pt idx="7">
                  <c:v>57.688241968090949</c:v>
                </c:pt>
                <c:pt idx="8">
                  <c:v>57.730394619750662</c:v>
                </c:pt>
                <c:pt idx="9">
                  <c:v>57.772683823285639</c:v>
                </c:pt>
                <c:pt idx="10">
                  <c:v>57.815110021050344</c:v>
                </c:pt>
                <c:pt idx="11">
                  <c:v>57.857673656832269</c:v>
                </c:pt>
                <c:pt idx="12">
                  <c:v>57.900375175856524</c:v>
                </c:pt>
                <c:pt idx="13">
                  <c:v>57.94321502479049</c:v>
                </c:pt>
                <c:pt idx="14">
                  <c:v>57.98619365174855</c:v>
                </c:pt>
                <c:pt idx="15">
                  <c:v>58.029311506296715</c:v>
                </c:pt>
                <c:pt idx="16">
                  <c:v>58.072569039457342</c:v>
                </c:pt>
                <c:pt idx="17">
                  <c:v>58.115966703713838</c:v>
                </c:pt>
                <c:pt idx="18">
                  <c:v>58.159504953015464</c:v>
                </c:pt>
                <c:pt idx="19">
                  <c:v>58.203184242782008</c:v>
                </c:pt>
                <c:pt idx="20">
                  <c:v>58.247005029908557</c:v>
                </c:pt>
                <c:pt idx="21">
                  <c:v>58.290967772770315</c:v>
                </c:pt>
                <c:pt idx="22">
                  <c:v>58.335072931227344</c:v>
                </c:pt>
                <c:pt idx="23">
                  <c:v>58.379320966629443</c:v>
                </c:pt>
                <c:pt idx="24">
                  <c:v>58.423712341820902</c:v>
                </c:pt>
                <c:pt idx="25">
                  <c:v>58.468247521145422</c:v>
                </c:pt>
                <c:pt idx="26">
                  <c:v>58.512926970450863</c:v>
                </c:pt>
                <c:pt idx="27">
                  <c:v>58.557751157094238</c:v>
                </c:pt>
                <c:pt idx="28">
                  <c:v>58.602720549946504</c:v>
                </c:pt>
                <c:pt idx="29">
                  <c:v>58.647835619397554</c:v>
                </c:pt>
                <c:pt idx="30">
                  <c:v>58.693096837361033</c:v>
                </c:pt>
                <c:pt idx="31">
                  <c:v>58.738504677279373</c:v>
                </c:pt>
                <c:pt idx="32">
                  <c:v>58.784059614128708</c:v>
                </c:pt>
                <c:pt idx="33">
                  <c:v>58.829762124423802</c:v>
                </c:pt>
                <c:pt idx="34">
                  <c:v>58.8756126862231</c:v>
                </c:pt>
                <c:pt idx="35">
                  <c:v>58.921611779133691</c:v>
                </c:pt>
                <c:pt idx="36">
                  <c:v>58.967759884316337</c:v>
                </c:pt>
                <c:pt idx="37">
                  <c:v>59.014057484490479</c:v>
                </c:pt>
                <c:pt idx="38">
                  <c:v>59.060505063939345</c:v>
                </c:pt>
                <c:pt idx="39">
                  <c:v>59.107103108514956</c:v>
                </c:pt>
                <c:pt idx="40">
                  <c:v>59.153852105643239</c:v>
                </c:pt>
                <c:pt idx="41">
                  <c:v>59.200752544329113</c:v>
                </c:pt>
                <c:pt idx="42">
                  <c:v>59.247804915161609</c:v>
                </c:pt>
                <c:pt idx="43">
                  <c:v>59.295009710319007</c:v>
                </c:pt>
                <c:pt idx="44">
                  <c:v>59.342367423573975</c:v>
                </c:pt>
                <c:pt idx="45">
                  <c:v>59.389878550298739</c:v>
                </c:pt>
                <c:pt idx="46">
                  <c:v>59.437543587470287</c:v>
                </c:pt>
                <c:pt idx="47">
                  <c:v>59.485363033675505</c:v>
                </c:pt>
                <c:pt idx="48">
                  <c:v>59.533337389116454</c:v>
                </c:pt>
                <c:pt idx="49">
                  <c:v>59.581467155615591</c:v>
                </c:pt>
                <c:pt idx="50">
                  <c:v>59.629752836620973</c:v>
                </c:pt>
                <c:pt idx="51">
                  <c:v>59.678194937211579</c:v>
                </c:pt>
                <c:pt idx="52">
                  <c:v>59.726793964102583</c:v>
                </c:pt>
                <c:pt idx="53">
                  <c:v>59.775550425650628</c:v>
                </c:pt>
                <c:pt idx="54">
                  <c:v>59.824464831859153</c:v>
                </c:pt>
                <c:pt idx="55">
                  <c:v>59.873537694383757</c:v>
                </c:pt>
                <c:pt idx="56">
                  <c:v>59.922769526537486</c:v>
                </c:pt>
                <c:pt idx="57">
                  <c:v>59.972160843296294</c:v>
                </c:pt>
                <c:pt idx="58">
                  <c:v>60.021712161304343</c:v>
                </c:pt>
                <c:pt idx="59">
                  <c:v>60.071423998879439</c:v>
                </c:pt>
                <c:pt idx="60">
                  <c:v>60.121296876018533</c:v>
                </c:pt>
                <c:pt idx="61">
                  <c:v>60.171331314402963</c:v>
                </c:pt>
                <c:pt idx="62">
                  <c:v>60.221527837404111</c:v>
                </c:pt>
                <c:pt idx="63">
                  <c:v>60.271886970088822</c:v>
                </c:pt>
                <c:pt idx="64">
                  <c:v>60.322409239224811</c:v>
                </c:pt>
                <c:pt idx="65">
                  <c:v>60.373095173286288</c:v>
                </c:pt>
                <c:pt idx="66">
                  <c:v>60.423945302459387</c:v>
                </c:pt>
                <c:pt idx="67">
                  <c:v>60.474960158647782</c:v>
                </c:pt>
                <c:pt idx="68">
                  <c:v>60.526140275478269</c:v>
                </c:pt>
                <c:pt idx="69">
                  <c:v>60.577486188306224</c:v>
                </c:pt>
                <c:pt idx="70">
                  <c:v>60.628998434221366</c:v>
                </c:pt>
                <c:pt idx="71">
                  <c:v>60.680677552053233</c:v>
                </c:pt>
                <c:pt idx="72">
                  <c:v>60.732524082376933</c:v>
                </c:pt>
                <c:pt idx="73">
                  <c:v>60.784538567518702</c:v>
                </c:pt>
                <c:pt idx="74">
                  <c:v>60.836721551561645</c:v>
                </c:pt>
                <c:pt idx="75">
                  <c:v>60.889073580351386</c:v>
                </c:pt>
                <c:pt idx="76">
                  <c:v>60.941595201501833</c:v>
                </c:pt>
                <c:pt idx="77">
                  <c:v>60.994286964400821</c:v>
                </c:pt>
                <c:pt idx="78">
                  <c:v>61.047149420215938</c:v>
                </c:pt>
                <c:pt idx="79">
                  <c:v>61.100183121900237</c:v>
                </c:pt>
                <c:pt idx="80">
                  <c:v>61.153388624198037</c:v>
                </c:pt>
                <c:pt idx="81">
                  <c:v>61.206766483650767</c:v>
                </c:pt>
                <c:pt idx="82">
                  <c:v>61.260317258602711</c:v>
                </c:pt>
                <c:pt idx="83">
                  <c:v>61.314041509206923</c:v>
                </c:pt>
                <c:pt idx="84">
                  <c:v>61.367939797430992</c:v>
                </c:pt>
                <c:pt idx="85">
                  <c:v>61.422012687063038</c:v>
                </c:pt>
                <c:pt idx="86">
                  <c:v>61.476260743717539</c:v>
                </c:pt>
                <c:pt idx="87">
                  <c:v>61.530684534841235</c:v>
                </c:pt>
                <c:pt idx="88">
                  <c:v>61.585284629719112</c:v>
                </c:pt>
                <c:pt idx="89">
                  <c:v>61.640061599480319</c:v>
                </c:pt>
                <c:pt idx="90">
                  <c:v>61.695016017104159</c:v>
                </c:pt>
                <c:pt idx="91">
                  <c:v>61.750148457426086</c:v>
                </c:pt>
                <c:pt idx="92">
                  <c:v>61.805459497143708</c:v>
                </c:pt>
                <c:pt idx="93">
                  <c:v>61.860949714822802</c:v>
                </c:pt>
                <c:pt idx="94">
                  <c:v>61.91661969090341</c:v>
                </c:pt>
                <c:pt idx="95">
                  <c:v>61.972470007705887</c:v>
                </c:pt>
                <c:pt idx="96">
                  <c:v>62.028501249436985</c:v>
                </c:pt>
                <c:pt idx="97">
                  <c:v>62.084714002195959</c:v>
                </c:pt>
                <c:pt idx="98">
                  <c:v>62.141108853980754</c:v>
                </c:pt>
                <c:pt idx="99">
                  <c:v>62.197686394694045</c:v>
                </c:pt>
                <c:pt idx="100">
                  <c:v>62.254447216149543</c:v>
                </c:pt>
                <c:pt idx="101">
                  <c:v>62.311391912078051</c:v>
                </c:pt>
                <c:pt idx="102">
                  <c:v>62.368521078133789</c:v>
                </c:pt>
                <c:pt idx="103">
                  <c:v>62.425835311900542</c:v>
                </c:pt>
                <c:pt idx="104">
                  <c:v>62.483335212897991</c:v>
                </c:pt>
                <c:pt idx="105">
                  <c:v>62.541021382587878</c:v>
                </c:pt>
                <c:pt idx="106">
                  <c:v>62.598894424380404</c:v>
                </c:pt>
                <c:pt idx="107">
                  <c:v>62.656954943640457</c:v>
                </c:pt>
                <c:pt idx="108">
                  <c:v>62.71520354769401</c:v>
                </c:pt>
                <c:pt idx="109">
                  <c:v>62.773640845834443</c:v>
                </c:pt>
                <c:pt idx="110">
                  <c:v>62.832267449328896</c:v>
                </c:pt>
                <c:pt idx="111">
                  <c:v>62.89108397142472</c:v>
                </c:pt>
                <c:pt idx="112">
                  <c:v>62.950091027355796</c:v>
                </c:pt>
                <c:pt idx="113">
                  <c:v>63.009289234349119</c:v>
                </c:pt>
                <c:pt idx="114">
                  <c:v>63.068679211631093</c:v>
                </c:pt>
                <c:pt idx="115">
                  <c:v>63.128261580434106</c:v>
                </c:pt>
                <c:pt idx="116">
                  <c:v>63.188036964003025</c:v>
                </c:pt>
                <c:pt idx="117">
                  <c:v>63.248005987601637</c:v>
                </c:pt>
                <c:pt idx="118">
                  <c:v>63.308169278519337</c:v>
                </c:pt>
                <c:pt idx="119">
                  <c:v>63.368527466077509</c:v>
                </c:pt>
                <c:pt idx="120">
                  <c:v>63.429081181636256</c:v>
                </c:pt>
                <c:pt idx="121">
                  <c:v>63.48983105860092</c:v>
                </c:pt>
                <c:pt idx="122">
                  <c:v>63.550777732428735</c:v>
                </c:pt>
                <c:pt idx="123">
                  <c:v>63.611921840635532</c:v>
                </c:pt>
                <c:pt idx="124">
                  <c:v>63.673264022802236</c:v>
                </c:pt>
                <c:pt idx="125">
                  <c:v>63.734804920581773</c:v>
                </c:pt>
                <c:pt idx="126">
                  <c:v>63.796545177705646</c:v>
                </c:pt>
                <c:pt idx="127">
                  <c:v>63.858485439990673</c:v>
                </c:pt>
                <c:pt idx="128">
                  <c:v>63.920626355345803</c:v>
                </c:pt>
                <c:pt idx="129">
                  <c:v>63.982968573778848</c:v>
                </c:pt>
                <c:pt idx="130">
                  <c:v>64.045512747403308</c:v>
                </c:pt>
                <c:pt idx="131">
                  <c:v>64.108259530445153</c:v>
                </c:pt>
                <c:pt idx="132">
                  <c:v>64.171209579249719</c:v>
                </c:pt>
                <c:pt idx="133">
                  <c:v>64.234363552288542</c:v>
                </c:pt>
                <c:pt idx="134">
                  <c:v>64.29772211016622</c:v>
                </c:pt>
                <c:pt idx="135">
                  <c:v>64.361285915627406</c:v>
                </c:pt>
                <c:pt idx="136">
                  <c:v>64.425055633563673</c:v>
                </c:pt>
                <c:pt idx="137">
                  <c:v>64.489031931020435</c:v>
                </c:pt>
                <c:pt idx="138">
                  <c:v>64.553215477204049</c:v>
                </c:pt>
                <c:pt idx="139">
                  <c:v>64.617606943488681</c:v>
                </c:pt>
                <c:pt idx="140">
                  <c:v>64.682207003423414</c:v>
                </c:pt>
                <c:pt idx="141">
                  <c:v>64.747016332739264</c:v>
                </c:pt>
                <c:pt idx="142">
                  <c:v>64.812035609356258</c:v>
                </c:pt>
                <c:pt idx="143">
                  <c:v>64.877265513390498</c:v>
                </c:pt>
                <c:pt idx="144">
                  <c:v>64.942706727161337</c:v>
                </c:pt>
                <c:pt idx="145">
                  <c:v>65.008359935198399</c:v>
                </c:pt>
                <c:pt idx="146">
                  <c:v>65.074225824248899</c:v>
                </c:pt>
                <c:pt idx="147">
                  <c:v>65.140305083284687</c:v>
                </c:pt>
                <c:pt idx="148">
                  <c:v>65.206598403509545</c:v>
                </c:pt>
                <c:pt idx="149">
                  <c:v>65.273106478366373</c:v>
                </c:pt>
                <c:pt idx="150">
                  <c:v>65.339830003544407</c:v>
                </c:pt>
                <c:pt idx="151">
                  <c:v>65.406769676986613</c:v>
                </c:pt>
                <c:pt idx="152">
                  <c:v>65.473926198896905</c:v>
                </c:pt>
                <c:pt idx="153">
                  <c:v>65.541300271747417</c:v>
                </c:pt>
                <c:pt idx="154">
                  <c:v>65.608892600285969</c:v>
                </c:pt>
                <c:pt idx="155">
                  <c:v>65.676703891543397</c:v>
                </c:pt>
                <c:pt idx="156">
                  <c:v>65.744734854840871</c:v>
                </c:pt>
                <c:pt idx="157">
                  <c:v>65.812986201797457</c:v>
                </c:pt>
                <c:pt idx="158">
                  <c:v>65.881458646337421</c:v>
                </c:pt>
                <c:pt idx="159">
                  <c:v>65.950152904697802</c:v>
                </c:pt>
                <c:pt idx="160">
                  <c:v>66.019069695435803</c:v>
                </c:pt>
                <c:pt idx="161">
                  <c:v>66.088209739436451</c:v>
                </c:pt>
                <c:pt idx="162">
                  <c:v>66.157573759919984</c:v>
                </c:pt>
                <c:pt idx="163">
                  <c:v>66.227162482449515</c:v>
                </c:pt>
                <c:pt idx="164">
                  <c:v>66.296976634938559</c:v>
                </c:pt>
                <c:pt idx="165">
                  <c:v>66.367016947658726</c:v>
                </c:pt>
                <c:pt idx="166">
                  <c:v>66.437284153247276</c:v>
                </c:pt>
                <c:pt idx="167">
                  <c:v>66.507778986714825</c:v>
                </c:pt>
                <c:pt idx="168">
                  <c:v>66.578502185453047</c:v>
                </c:pt>
                <c:pt idx="169">
                  <c:v>66.649454489242316</c:v>
                </c:pt>
                <c:pt idx="170">
                  <c:v>66.720636640259585</c:v>
                </c:pt>
                <c:pt idx="171">
                  <c:v>66.792049383085967</c:v>
                </c:pt>
                <c:pt idx="172">
                  <c:v>66.863693464714686</c:v>
                </c:pt>
                <c:pt idx="173">
                  <c:v>66.93556963455876</c:v>
                </c:pt>
                <c:pt idx="174">
                  <c:v>67.007678644458963</c:v>
                </c:pt>
                <c:pt idx="175">
                  <c:v>67.080021248691594</c:v>
                </c:pt>
                <c:pt idx="176">
                  <c:v>67.152598203976382</c:v>
                </c:pt>
                <c:pt idx="177">
                  <c:v>67.22541026948447</c:v>
                </c:pt>
                <c:pt idx="178">
                  <c:v>67.298458206846263</c:v>
                </c:pt>
                <c:pt idx="179">
                  <c:v>67.371742780159479</c:v>
                </c:pt>
                <c:pt idx="180">
                  <c:v>67.445264755997044</c:v>
                </c:pt>
                <c:pt idx="181">
                  <c:v>67.519024903415243</c:v>
                </c:pt>
                <c:pt idx="182">
                  <c:v>67.593023993961609</c:v>
                </c:pt>
                <c:pt idx="183">
                  <c:v>67.667262801683123</c:v>
                </c:pt>
                <c:pt idx="184">
                  <c:v>67.741742103134257</c:v>
                </c:pt>
                <c:pt idx="185">
                  <c:v>67.816462677385076</c:v>
                </c:pt>
                <c:pt idx="186">
                  <c:v>67.891425306029433</c:v>
                </c:pt>
                <c:pt idx="187">
                  <c:v>67.966630773193131</c:v>
                </c:pt>
                <c:pt idx="188">
                  <c:v>68.042079865542092</c:v>
                </c:pt>
                <c:pt idx="189">
                  <c:v>68.117773372290642</c:v>
                </c:pt>
                <c:pt idx="190">
                  <c:v>68.193712085209711</c:v>
                </c:pt>
                <c:pt idx="191">
                  <c:v>68.269896798635159</c:v>
                </c:pt>
                <c:pt idx="192">
                  <c:v>68.346328309476036</c:v>
                </c:pt>
                <c:pt idx="193">
                  <c:v>68.423007417222976</c:v>
                </c:pt>
                <c:pt idx="194">
                  <c:v>68.499934923956516</c:v>
                </c:pt>
                <c:pt idx="195">
                  <c:v>68.57711163435556</c:v>
                </c:pt>
                <c:pt idx="196">
                  <c:v>68.654538355705625</c:v>
                </c:pt>
                <c:pt idx="197">
                  <c:v>68.732215897907494</c:v>
                </c:pt>
                <c:pt idx="198">
                  <c:v>68.810145073485543</c:v>
                </c:pt>
                <c:pt idx="199">
                  <c:v>68.888326697596341</c:v>
                </c:pt>
                <c:pt idx="200">
                  <c:v>68.966761588037045</c:v>
                </c:pt>
                <c:pt idx="201">
                  <c:v>69.045450565254086</c:v>
                </c:pt>
                <c:pt idx="202">
                  <c:v>69.124394452351723</c:v>
                </c:pt>
                <c:pt idx="203">
                  <c:v>69.203594075100554</c:v>
                </c:pt>
                <c:pt idx="204">
                  <c:v>69.2830502619463</c:v>
                </c:pt>
                <c:pt idx="205">
                  <c:v>69.362763844018374</c:v>
                </c:pt>
                <c:pt idx="206">
                  <c:v>69.442735655138605</c:v>
                </c:pt>
                <c:pt idx="207">
                  <c:v>69.522966531829908</c:v>
                </c:pt>
                <c:pt idx="208">
                  <c:v>69.603457313325151</c:v>
                </c:pt>
                <c:pt idx="209">
                  <c:v>69.684208841575852</c:v>
                </c:pt>
                <c:pt idx="210">
                  <c:v>69.765221961260963</c:v>
                </c:pt>
                <c:pt idx="211">
                  <c:v>69.846497519795747</c:v>
                </c:pt>
                <c:pt idx="212">
                  <c:v>69.928036367340667</c:v>
                </c:pt>
                <c:pt idx="213">
                  <c:v>70.009839356810218</c:v>
                </c:pt>
                <c:pt idx="214">
                  <c:v>70.091907343881914</c:v>
                </c:pt>
                <c:pt idx="215">
                  <c:v>70.174241187005151</c:v>
                </c:pt>
                <c:pt idx="216">
                  <c:v>70.256841747410277</c:v>
                </c:pt>
                <c:pt idx="217">
                  <c:v>70.339709889117543</c:v>
                </c:pt>
                <c:pt idx="218">
                  <c:v>70.422846478946184</c:v>
                </c:pt>
                <c:pt idx="219">
                  <c:v>70.506252386523414</c:v>
                </c:pt>
                <c:pt idx="220">
                  <c:v>70.589928484293651</c:v>
                </c:pt>
                <c:pt idx="221">
                  <c:v>70.673875647527481</c:v>
                </c:pt>
                <c:pt idx="222">
                  <c:v>70.758094754330926</c:v>
                </c:pt>
                <c:pt idx="223">
                  <c:v>70.842586685654609</c:v>
                </c:pt>
                <c:pt idx="224">
                  <c:v>70.927352325302948</c:v>
                </c:pt>
                <c:pt idx="225">
                  <c:v>71.012392559943436</c:v>
                </c:pt>
                <c:pt idx="226">
                  <c:v>71.097708279115821</c:v>
                </c:pt>
                <c:pt idx="227">
                  <c:v>71.183300375241572</c:v>
                </c:pt>
                <c:pt idx="228">
                  <c:v>71.269169743633057</c:v>
                </c:pt>
                <c:pt idx="229">
                  <c:v>71.355317282503009</c:v>
                </c:pt>
                <c:pt idx="230">
                  <c:v>71.441743892973847</c:v>
                </c:pt>
                <c:pt idx="231">
                  <c:v>71.528450479087184</c:v>
                </c:pt>
                <c:pt idx="232">
                  <c:v>71.61543794781322</c:v>
                </c:pt>
                <c:pt idx="233">
                  <c:v>71.70270720906025</c:v>
                </c:pt>
                <c:pt idx="234">
                  <c:v>71.79025917568417</c:v>
                </c:pt>
                <c:pt idx="235">
                  <c:v>71.878094763498083</c:v>
                </c:pt>
                <c:pt idx="236">
                  <c:v>71.966214891281766</c:v>
                </c:pt>
                <c:pt idx="237">
                  <c:v>72.054620480791399</c:v>
                </c:pt>
                <c:pt idx="238">
                  <c:v>72.143312456769152</c:v>
                </c:pt>
                <c:pt idx="239">
                  <c:v>72.232291746952811</c:v>
                </c:pt>
                <c:pt idx="240">
                  <c:v>72.321559282085616</c:v>
                </c:pt>
                <c:pt idx="241">
                  <c:v>72.411115995925826</c:v>
                </c:pt>
                <c:pt idx="242">
                  <c:v>72.500962825256636</c:v>
                </c:pt>
                <c:pt idx="243">
                  <c:v>72.591100709895883</c:v>
                </c:pt>
                <c:pt idx="244">
                  <c:v>72.681530592705911</c:v>
                </c:pt>
                <c:pt idx="245">
                  <c:v>72.772253419603459</c:v>
                </c:pt>
                <c:pt idx="246">
                  <c:v>72.863270139569465</c:v>
                </c:pt>
                <c:pt idx="247">
                  <c:v>72.95458170465912</c:v>
                </c:pt>
                <c:pt idx="248">
                  <c:v>73.046189070011735</c:v>
                </c:pt>
                <c:pt idx="249">
                  <c:v>73.138093193860726</c:v>
                </c:pt>
                <c:pt idx="250">
                  <c:v>73.230295037543726</c:v>
                </c:pt>
                <c:pt idx="251">
                  <c:v>73.322795565512578</c:v>
                </c:pt>
                <c:pt idx="252">
                  <c:v>73.415595745343325</c:v>
                </c:pt>
                <c:pt idx="253">
                  <c:v>73.508696547746595</c:v>
                </c:pt>
                <c:pt idx="254">
                  <c:v>73.60209894657747</c:v>
                </c:pt>
                <c:pt idx="255">
                  <c:v>73.695803918845883</c:v>
                </c:pt>
                <c:pt idx="256">
                  <c:v>73.789812444726692</c:v>
                </c:pt>
                <c:pt idx="257">
                  <c:v>73.884125507570005</c:v>
                </c:pt>
                <c:pt idx="258">
                  <c:v>73.978744093911473</c:v>
                </c:pt>
                <c:pt idx="259">
                  <c:v>74.073669193482601</c:v>
                </c:pt>
                <c:pt idx="260">
                  <c:v>74.168901799221061</c:v>
                </c:pt>
                <c:pt idx="261">
                  <c:v>74.264442907281122</c:v>
                </c:pt>
                <c:pt idx="262">
                  <c:v>74.360293517044028</c:v>
                </c:pt>
                <c:pt idx="263">
                  <c:v>74.456454631128551</c:v>
                </c:pt>
                <c:pt idx="264">
                  <c:v>74.552927255401315</c:v>
                </c:pt>
                <c:pt idx="265">
                  <c:v>74.649712398987504</c:v>
                </c:pt>
                <c:pt idx="266">
                  <c:v>74.74681107428124</c:v>
                </c:pt>
                <c:pt idx="267">
                  <c:v>74.844224296956298</c:v>
                </c:pt>
                <c:pt idx="268">
                  <c:v>74.941953085976692</c:v>
                </c:pt>
                <c:pt idx="269">
                  <c:v>75.039998463607319</c:v>
                </c:pt>
                <c:pt idx="270">
                  <c:v>75.138361455424686</c:v>
                </c:pt>
                <c:pt idx="271">
                  <c:v>75.23704309032756</c:v>
                </c:pt>
                <c:pt idx="272">
                  <c:v>75.336044400547848</c:v>
                </c:pt>
                <c:pt idx="273">
                  <c:v>75.435366421661271</c:v>
                </c:pt>
                <c:pt idx="274">
                  <c:v>75.535010192598321</c:v>
                </c:pt>
                <c:pt idx="275">
                  <c:v>75.634976755655032</c:v>
                </c:pt>
                <c:pt idx="276">
                  <c:v>75.735267156503909</c:v>
                </c:pt>
                <c:pt idx="277">
                  <c:v>75.835882444204913</c:v>
                </c:pt>
                <c:pt idx="278">
                  <c:v>75.936823671216317</c:v>
                </c:pt>
                <c:pt idx="279">
                  <c:v>76.038091893405863</c:v>
                </c:pt>
                <c:pt idx="280">
                  <c:v>76.139688170061703</c:v>
                </c:pt>
                <c:pt idx="281">
                  <c:v>76.241613563903528</c:v>
                </c:pt>
                <c:pt idx="282">
                  <c:v>76.343869141093634</c:v>
                </c:pt>
                <c:pt idx="283">
                  <c:v>76.44645597124817</c:v>
                </c:pt>
                <c:pt idx="284">
                  <c:v>76.549375127448201</c:v>
                </c:pt>
                <c:pt idx="285">
                  <c:v>76.652627686251023</c:v>
                </c:pt>
                <c:pt idx="286">
                  <c:v>76.756214727701405</c:v>
                </c:pt>
                <c:pt idx="287">
                  <c:v>76.860137335342898</c:v>
                </c:pt>
                <c:pt idx="288">
                  <c:v>76.964396596229065</c:v>
                </c:pt>
                <c:pt idx="289">
                  <c:v>77.068993600935059</c:v>
                </c:pt>
                <c:pt idx="290">
                  <c:v>77.173929443568795</c:v>
                </c:pt>
                <c:pt idx="291">
                  <c:v>77.279205221782576</c:v>
                </c:pt>
                <c:pt idx="292">
                  <c:v>77.384822036784527</c:v>
                </c:pt>
                <c:pt idx="293">
                  <c:v>77.490780993349986</c:v>
                </c:pt>
                <c:pt idx="294">
                  <c:v>77.597083199833278</c:v>
                </c:pt>
                <c:pt idx="295">
                  <c:v>77.703729768179173</c:v>
                </c:pt>
                <c:pt idx="296">
                  <c:v>77.810721813934521</c:v>
                </c:pt>
                <c:pt idx="297">
                  <c:v>77.918060456259909</c:v>
                </c:pt>
                <c:pt idx="298">
                  <c:v>78.025746817941481</c:v>
                </c:pt>
                <c:pt idx="299">
                  <c:v>78.133782025402581</c:v>
                </c:pt>
                <c:pt idx="300">
                  <c:v>78.242167208715514</c:v>
                </c:pt>
                <c:pt idx="301">
                  <c:v>78.350903501613416</c:v>
                </c:pt>
                <c:pt idx="302">
                  <c:v>78.45999204150219</c:v>
                </c:pt>
                <c:pt idx="303">
                  <c:v>78.569433969472215</c:v>
                </c:pt>
                <c:pt idx="304">
                  <c:v>78.679230430310426</c:v>
                </c:pt>
                <c:pt idx="305">
                  <c:v>78.789382572512281</c:v>
                </c:pt>
                <c:pt idx="306">
                  <c:v>78.899891548293709</c:v>
                </c:pt>
                <c:pt idx="307">
                  <c:v>79.010758513603221</c:v>
                </c:pt>
                <c:pt idx="308">
                  <c:v>79.121984628133958</c:v>
                </c:pt>
                <c:pt idx="309">
                  <c:v>79.233571055335858</c:v>
                </c:pt>
                <c:pt idx="310">
                  <c:v>79.345518962427789</c:v>
                </c:pt>
                <c:pt idx="311">
                  <c:v>79.457829520409817</c:v>
                </c:pt>
                <c:pt idx="312">
                  <c:v>79.570503904075366</c:v>
                </c:pt>
                <c:pt idx="313">
                  <c:v>79.6835432920236</c:v>
                </c:pt>
                <c:pt idx="314">
                  <c:v>79.796948866671684</c:v>
                </c:pt>
                <c:pt idx="315">
                  <c:v>79.910721814267177</c:v>
                </c:pt>
                <c:pt idx="316">
                  <c:v>80.02486332490048</c:v>
                </c:pt>
                <c:pt idx="317">
                  <c:v>80.1393745925172</c:v>
                </c:pt>
                <c:pt idx="318">
                  <c:v>80.254256814930741</c:v>
                </c:pt>
                <c:pt idx="319">
                  <c:v>80.369511193834626</c:v>
                </c:pt>
                <c:pt idx="320">
                  <c:v>80.485138934815453</c:v>
                </c:pt>
                <c:pt idx="321">
                  <c:v>80.601141247365078</c:v>
                </c:pt>
                <c:pt idx="322">
                  <c:v>80.717519344893546</c:v>
                </c:pt>
                <c:pt idx="323">
                  <c:v>80.834274444741666</c:v>
                </c:pt>
                <c:pt idx="324">
                  <c:v>80.951407768193789</c:v>
                </c:pt>
                <c:pt idx="325">
                  <c:v>81.068920540490581</c:v>
                </c:pt>
                <c:pt idx="326">
                  <c:v>81.186813990841799</c:v>
                </c:pt>
                <c:pt idx="327">
                  <c:v>81.305089352439225</c:v>
                </c:pt>
                <c:pt idx="328">
                  <c:v>81.423747862469412</c:v>
                </c:pt>
                <c:pt idx="329">
                  <c:v>81.54279076212687</c:v>
                </c:pt>
                <c:pt idx="330">
                  <c:v>81.662219296626802</c:v>
                </c:pt>
                <c:pt idx="331">
                  <c:v>81.782034715218316</c:v>
                </c:pt>
                <c:pt idx="332">
                  <c:v>81.902238271197362</c:v>
                </c:pt>
                <c:pt idx="333">
                  <c:v>82.022831221919873</c:v>
                </c:pt>
                <c:pt idx="334">
                  <c:v>82.143814828815024</c:v>
                </c:pt>
                <c:pt idx="335">
                  <c:v>82.265190357398239</c:v>
                </c:pt>
                <c:pt idx="336">
                  <c:v>82.386959077284644</c:v>
                </c:pt>
                <c:pt idx="337">
                  <c:v>82.509122262202098</c:v>
                </c:pt>
                <c:pt idx="338">
                  <c:v>82.631681190004798</c:v>
                </c:pt>
                <c:pt idx="339">
                  <c:v>82.754637142686363</c:v>
                </c:pt>
                <c:pt idx="340">
                  <c:v>82.877991406393463</c:v>
                </c:pt>
                <c:pt idx="341">
                  <c:v>83.001745271439191</c:v>
                </c:pt>
                <c:pt idx="342">
                  <c:v>83.125900032316508</c:v>
                </c:pt>
                <c:pt idx="343">
                  <c:v>83.250456987711885</c:v>
                </c:pt>
                <c:pt idx="344">
                  <c:v>83.375417440518817</c:v>
                </c:pt>
                <c:pt idx="345">
                  <c:v>83.500782697851463</c:v>
                </c:pt>
                <c:pt idx="346">
                  <c:v>83.626554071058322</c:v>
                </c:pt>
                <c:pt idx="347">
                  <c:v>83.752732875736015</c:v>
                </c:pt>
                <c:pt idx="348">
                  <c:v>83.879320431742883</c:v>
                </c:pt>
                <c:pt idx="349">
                  <c:v>84.006318063213016</c:v>
                </c:pt>
                <c:pt idx="350">
                  <c:v>84.133727098569864</c:v>
                </c:pt>
                <c:pt idx="351">
                  <c:v>84.261548870540381</c:v>
                </c:pt>
                <c:pt idx="352">
                  <c:v>84.389784716168734</c:v>
                </c:pt>
                <c:pt idx="353">
                  <c:v>84.518435976830403</c:v>
                </c:pt>
                <c:pt idx="354">
                  <c:v>84.647503998246293</c:v>
                </c:pt>
                <c:pt idx="355">
                  <c:v>84.776990130496586</c:v>
                </c:pt>
                <c:pt idx="356">
                  <c:v>84.90689572803511</c:v>
                </c:pt>
                <c:pt idx="357">
                  <c:v>85.037222149703339</c:v>
                </c:pt>
                <c:pt idx="358">
                  <c:v>85.167970758744659</c:v>
                </c:pt>
                <c:pt idx="359">
                  <c:v>85.299142922818675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'Fuel Cost Risk Sim'!$D$241</c:f>
              <c:strCache>
                <c:ptCount val="1"/>
                <c:pt idx="0">
                  <c:v>RE PPA @ $0.14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Sim'!$E$236:$MZ$236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Sim'!$E$241:$MZ$241</c:f>
              <c:numCache>
                <c:formatCode>_("$"* #,##0.00_);_("$"* \(#,##0.00\);_("$"* "-"??_);_(@_)</c:formatCode>
                <c:ptCount val="360"/>
                <c:pt idx="0">
                  <c:v>66.29885308601591</c:v>
                </c:pt>
                <c:pt idx="1">
                  <c:v>66.29885308601591</c:v>
                </c:pt>
                <c:pt idx="2">
                  <c:v>66.29885308601591</c:v>
                </c:pt>
                <c:pt idx="3">
                  <c:v>66.29885308601591</c:v>
                </c:pt>
                <c:pt idx="4">
                  <c:v>66.29885308601591</c:v>
                </c:pt>
                <c:pt idx="5">
                  <c:v>66.29885308601591</c:v>
                </c:pt>
                <c:pt idx="6">
                  <c:v>66.29885308601591</c:v>
                </c:pt>
                <c:pt idx="7">
                  <c:v>66.29885308601591</c:v>
                </c:pt>
                <c:pt idx="8">
                  <c:v>66.29885308601591</c:v>
                </c:pt>
                <c:pt idx="9">
                  <c:v>66.29885308601591</c:v>
                </c:pt>
                <c:pt idx="10">
                  <c:v>66.29885308601591</c:v>
                </c:pt>
                <c:pt idx="11">
                  <c:v>66.29885308601591</c:v>
                </c:pt>
                <c:pt idx="12">
                  <c:v>66.29885308601591</c:v>
                </c:pt>
                <c:pt idx="13">
                  <c:v>66.29885308601591</c:v>
                </c:pt>
                <c:pt idx="14">
                  <c:v>66.29885308601591</c:v>
                </c:pt>
                <c:pt idx="15">
                  <c:v>66.29885308601591</c:v>
                </c:pt>
                <c:pt idx="16">
                  <c:v>66.29885308601591</c:v>
                </c:pt>
                <c:pt idx="17">
                  <c:v>66.29885308601591</c:v>
                </c:pt>
                <c:pt idx="18">
                  <c:v>66.29885308601591</c:v>
                </c:pt>
                <c:pt idx="19">
                  <c:v>66.29885308601591</c:v>
                </c:pt>
                <c:pt idx="20">
                  <c:v>66.29885308601591</c:v>
                </c:pt>
                <c:pt idx="21">
                  <c:v>66.29885308601591</c:v>
                </c:pt>
                <c:pt idx="22">
                  <c:v>66.29885308601591</c:v>
                </c:pt>
                <c:pt idx="23">
                  <c:v>66.29885308601591</c:v>
                </c:pt>
                <c:pt idx="24">
                  <c:v>66.29885308601591</c:v>
                </c:pt>
                <c:pt idx="25">
                  <c:v>66.29885308601591</c:v>
                </c:pt>
                <c:pt idx="26">
                  <c:v>66.29885308601591</c:v>
                </c:pt>
                <c:pt idx="27">
                  <c:v>66.29885308601591</c:v>
                </c:pt>
                <c:pt idx="28">
                  <c:v>66.29885308601591</c:v>
                </c:pt>
                <c:pt idx="29">
                  <c:v>66.29885308601591</c:v>
                </c:pt>
                <c:pt idx="30">
                  <c:v>66.29885308601591</c:v>
                </c:pt>
                <c:pt idx="31">
                  <c:v>66.29885308601591</c:v>
                </c:pt>
                <c:pt idx="32">
                  <c:v>66.29885308601591</c:v>
                </c:pt>
                <c:pt idx="33">
                  <c:v>66.29885308601591</c:v>
                </c:pt>
                <c:pt idx="34">
                  <c:v>66.29885308601591</c:v>
                </c:pt>
                <c:pt idx="35">
                  <c:v>66.29885308601591</c:v>
                </c:pt>
                <c:pt idx="36">
                  <c:v>66.29885308601591</c:v>
                </c:pt>
                <c:pt idx="37">
                  <c:v>66.29885308601591</c:v>
                </c:pt>
                <c:pt idx="38">
                  <c:v>66.29885308601591</c:v>
                </c:pt>
                <c:pt idx="39">
                  <c:v>66.29885308601591</c:v>
                </c:pt>
                <c:pt idx="40">
                  <c:v>66.29885308601591</c:v>
                </c:pt>
                <c:pt idx="41">
                  <c:v>66.29885308601591</c:v>
                </c:pt>
                <c:pt idx="42">
                  <c:v>66.29885308601591</c:v>
                </c:pt>
                <c:pt idx="43">
                  <c:v>66.29885308601591</c:v>
                </c:pt>
                <c:pt idx="44">
                  <c:v>66.29885308601591</c:v>
                </c:pt>
                <c:pt idx="45">
                  <c:v>66.29885308601591</c:v>
                </c:pt>
                <c:pt idx="46">
                  <c:v>66.29885308601591</c:v>
                </c:pt>
                <c:pt idx="47">
                  <c:v>66.29885308601591</c:v>
                </c:pt>
                <c:pt idx="48">
                  <c:v>66.29885308601591</c:v>
                </c:pt>
                <c:pt idx="49">
                  <c:v>66.29885308601591</c:v>
                </c:pt>
                <c:pt idx="50">
                  <c:v>66.29885308601591</c:v>
                </c:pt>
                <c:pt idx="51">
                  <c:v>66.29885308601591</c:v>
                </c:pt>
                <c:pt idx="52">
                  <c:v>66.29885308601591</c:v>
                </c:pt>
                <c:pt idx="53">
                  <c:v>66.29885308601591</c:v>
                </c:pt>
                <c:pt idx="54">
                  <c:v>66.29885308601591</c:v>
                </c:pt>
                <c:pt idx="55">
                  <c:v>66.29885308601591</c:v>
                </c:pt>
                <c:pt idx="56">
                  <c:v>66.29885308601591</c:v>
                </c:pt>
                <c:pt idx="57">
                  <c:v>66.29885308601591</c:v>
                </c:pt>
                <c:pt idx="58">
                  <c:v>66.29885308601591</c:v>
                </c:pt>
                <c:pt idx="59">
                  <c:v>66.29885308601591</c:v>
                </c:pt>
                <c:pt idx="60">
                  <c:v>66.29885308601591</c:v>
                </c:pt>
                <c:pt idx="61">
                  <c:v>66.29885308601591</c:v>
                </c:pt>
                <c:pt idx="62">
                  <c:v>66.29885308601591</c:v>
                </c:pt>
                <c:pt idx="63">
                  <c:v>66.29885308601591</c:v>
                </c:pt>
                <c:pt idx="64">
                  <c:v>66.29885308601591</c:v>
                </c:pt>
                <c:pt idx="65">
                  <c:v>66.29885308601591</c:v>
                </c:pt>
                <c:pt idx="66">
                  <c:v>66.29885308601591</c:v>
                </c:pt>
                <c:pt idx="67">
                  <c:v>66.29885308601591</c:v>
                </c:pt>
                <c:pt idx="68">
                  <c:v>66.29885308601591</c:v>
                </c:pt>
                <c:pt idx="69">
                  <c:v>66.29885308601591</c:v>
                </c:pt>
                <c:pt idx="70">
                  <c:v>66.29885308601591</c:v>
                </c:pt>
                <c:pt idx="71">
                  <c:v>66.29885308601591</c:v>
                </c:pt>
                <c:pt idx="72">
                  <c:v>66.29885308601591</c:v>
                </c:pt>
                <c:pt idx="73">
                  <c:v>66.29885308601591</c:v>
                </c:pt>
                <c:pt idx="74">
                  <c:v>66.29885308601591</c:v>
                </c:pt>
                <c:pt idx="75">
                  <c:v>66.29885308601591</c:v>
                </c:pt>
                <c:pt idx="76">
                  <c:v>66.29885308601591</c:v>
                </c:pt>
                <c:pt idx="77">
                  <c:v>66.29885308601591</c:v>
                </c:pt>
                <c:pt idx="78">
                  <c:v>66.29885308601591</c:v>
                </c:pt>
                <c:pt idx="79">
                  <c:v>66.29885308601591</c:v>
                </c:pt>
                <c:pt idx="80">
                  <c:v>66.29885308601591</c:v>
                </c:pt>
                <c:pt idx="81">
                  <c:v>66.29885308601591</c:v>
                </c:pt>
                <c:pt idx="82">
                  <c:v>66.29885308601591</c:v>
                </c:pt>
                <c:pt idx="83">
                  <c:v>66.29885308601591</c:v>
                </c:pt>
                <c:pt idx="84">
                  <c:v>66.29885308601591</c:v>
                </c:pt>
                <c:pt idx="85">
                  <c:v>66.29885308601591</c:v>
                </c:pt>
                <c:pt idx="86">
                  <c:v>66.29885308601591</c:v>
                </c:pt>
                <c:pt idx="87">
                  <c:v>66.29885308601591</c:v>
                </c:pt>
                <c:pt idx="88">
                  <c:v>66.29885308601591</c:v>
                </c:pt>
                <c:pt idx="89">
                  <c:v>66.29885308601591</c:v>
                </c:pt>
                <c:pt idx="90">
                  <c:v>66.29885308601591</c:v>
                </c:pt>
                <c:pt idx="91">
                  <c:v>66.29885308601591</c:v>
                </c:pt>
                <c:pt idx="92">
                  <c:v>66.29885308601591</c:v>
                </c:pt>
                <c:pt idx="93">
                  <c:v>66.29885308601591</c:v>
                </c:pt>
                <c:pt idx="94">
                  <c:v>66.29885308601591</c:v>
                </c:pt>
                <c:pt idx="95">
                  <c:v>66.29885308601591</c:v>
                </c:pt>
                <c:pt idx="96">
                  <c:v>66.29885308601591</c:v>
                </c:pt>
                <c:pt idx="97">
                  <c:v>66.29885308601591</c:v>
                </c:pt>
                <c:pt idx="98">
                  <c:v>66.29885308601591</c:v>
                </c:pt>
                <c:pt idx="99">
                  <c:v>66.29885308601591</c:v>
                </c:pt>
                <c:pt idx="100">
                  <c:v>66.29885308601591</c:v>
                </c:pt>
                <c:pt idx="101">
                  <c:v>66.29885308601591</c:v>
                </c:pt>
                <c:pt idx="102">
                  <c:v>66.29885308601591</c:v>
                </c:pt>
                <c:pt idx="103">
                  <c:v>66.29885308601591</c:v>
                </c:pt>
                <c:pt idx="104">
                  <c:v>66.29885308601591</c:v>
                </c:pt>
                <c:pt idx="105">
                  <c:v>66.29885308601591</c:v>
                </c:pt>
                <c:pt idx="106">
                  <c:v>66.29885308601591</c:v>
                </c:pt>
                <c:pt idx="107">
                  <c:v>66.29885308601591</c:v>
                </c:pt>
                <c:pt idx="108">
                  <c:v>66.29885308601591</c:v>
                </c:pt>
                <c:pt idx="109">
                  <c:v>66.29885308601591</c:v>
                </c:pt>
                <c:pt idx="110">
                  <c:v>66.29885308601591</c:v>
                </c:pt>
                <c:pt idx="111">
                  <c:v>66.29885308601591</c:v>
                </c:pt>
                <c:pt idx="112">
                  <c:v>66.29885308601591</c:v>
                </c:pt>
                <c:pt idx="113">
                  <c:v>66.29885308601591</c:v>
                </c:pt>
                <c:pt idx="114">
                  <c:v>66.29885308601591</c:v>
                </c:pt>
                <c:pt idx="115">
                  <c:v>66.29885308601591</c:v>
                </c:pt>
                <c:pt idx="116">
                  <c:v>66.29885308601591</c:v>
                </c:pt>
                <c:pt idx="117">
                  <c:v>66.29885308601591</c:v>
                </c:pt>
                <c:pt idx="118">
                  <c:v>66.29885308601591</c:v>
                </c:pt>
                <c:pt idx="119">
                  <c:v>66.29885308601591</c:v>
                </c:pt>
                <c:pt idx="120">
                  <c:v>66.29885308601591</c:v>
                </c:pt>
                <c:pt idx="121">
                  <c:v>66.29885308601591</c:v>
                </c:pt>
                <c:pt idx="122">
                  <c:v>66.29885308601591</c:v>
                </c:pt>
                <c:pt idx="123">
                  <c:v>66.29885308601591</c:v>
                </c:pt>
                <c:pt idx="124">
                  <c:v>66.29885308601591</c:v>
                </c:pt>
                <c:pt idx="125">
                  <c:v>66.29885308601591</c:v>
                </c:pt>
                <c:pt idx="126">
                  <c:v>66.29885308601591</c:v>
                </c:pt>
                <c:pt idx="127">
                  <c:v>66.29885308601591</c:v>
                </c:pt>
                <c:pt idx="128">
                  <c:v>66.29885308601591</c:v>
                </c:pt>
                <c:pt idx="129">
                  <c:v>66.29885308601591</c:v>
                </c:pt>
                <c:pt idx="130">
                  <c:v>66.29885308601591</c:v>
                </c:pt>
                <c:pt idx="131">
                  <c:v>66.29885308601591</c:v>
                </c:pt>
                <c:pt idx="132">
                  <c:v>66.29885308601591</c:v>
                </c:pt>
                <c:pt idx="133">
                  <c:v>66.29885308601591</c:v>
                </c:pt>
                <c:pt idx="134">
                  <c:v>66.29885308601591</c:v>
                </c:pt>
                <c:pt idx="135">
                  <c:v>66.29885308601591</c:v>
                </c:pt>
                <c:pt idx="136">
                  <c:v>66.29885308601591</c:v>
                </c:pt>
                <c:pt idx="137">
                  <c:v>66.29885308601591</c:v>
                </c:pt>
                <c:pt idx="138">
                  <c:v>66.29885308601591</c:v>
                </c:pt>
                <c:pt idx="139">
                  <c:v>66.29885308601591</c:v>
                </c:pt>
                <c:pt idx="140">
                  <c:v>66.29885308601591</c:v>
                </c:pt>
                <c:pt idx="141">
                  <c:v>66.29885308601591</c:v>
                </c:pt>
                <c:pt idx="142">
                  <c:v>66.29885308601591</c:v>
                </c:pt>
                <c:pt idx="143">
                  <c:v>66.29885308601591</c:v>
                </c:pt>
                <c:pt idx="144">
                  <c:v>66.29885308601591</c:v>
                </c:pt>
                <c:pt idx="145">
                  <c:v>66.29885308601591</c:v>
                </c:pt>
                <c:pt idx="146">
                  <c:v>66.29885308601591</c:v>
                </c:pt>
                <c:pt idx="147">
                  <c:v>66.29885308601591</c:v>
                </c:pt>
                <c:pt idx="148">
                  <c:v>66.29885308601591</c:v>
                </c:pt>
                <c:pt idx="149">
                  <c:v>66.29885308601591</c:v>
                </c:pt>
                <c:pt idx="150">
                  <c:v>66.29885308601591</c:v>
                </c:pt>
                <c:pt idx="151">
                  <c:v>66.29885308601591</c:v>
                </c:pt>
                <c:pt idx="152">
                  <c:v>66.29885308601591</c:v>
                </c:pt>
                <c:pt idx="153">
                  <c:v>66.29885308601591</c:v>
                </c:pt>
                <c:pt idx="154">
                  <c:v>66.29885308601591</c:v>
                </c:pt>
                <c:pt idx="155">
                  <c:v>66.29885308601591</c:v>
                </c:pt>
                <c:pt idx="156">
                  <c:v>66.29885308601591</c:v>
                </c:pt>
                <c:pt idx="157">
                  <c:v>66.29885308601591</c:v>
                </c:pt>
                <c:pt idx="158">
                  <c:v>66.29885308601591</c:v>
                </c:pt>
                <c:pt idx="159">
                  <c:v>66.29885308601591</c:v>
                </c:pt>
                <c:pt idx="160">
                  <c:v>66.29885308601591</c:v>
                </c:pt>
                <c:pt idx="161">
                  <c:v>66.29885308601591</c:v>
                </c:pt>
                <c:pt idx="162">
                  <c:v>66.29885308601591</c:v>
                </c:pt>
                <c:pt idx="163">
                  <c:v>66.29885308601591</c:v>
                </c:pt>
                <c:pt idx="164">
                  <c:v>66.29885308601591</c:v>
                </c:pt>
                <c:pt idx="165">
                  <c:v>66.29885308601591</c:v>
                </c:pt>
                <c:pt idx="166">
                  <c:v>66.29885308601591</c:v>
                </c:pt>
                <c:pt idx="167">
                  <c:v>66.29885308601591</c:v>
                </c:pt>
                <c:pt idx="168">
                  <c:v>66.29885308601591</c:v>
                </c:pt>
                <c:pt idx="169">
                  <c:v>66.29885308601591</c:v>
                </c:pt>
                <c:pt idx="170">
                  <c:v>66.29885308601591</c:v>
                </c:pt>
                <c:pt idx="171">
                  <c:v>66.29885308601591</c:v>
                </c:pt>
                <c:pt idx="172">
                  <c:v>66.29885308601591</c:v>
                </c:pt>
                <c:pt idx="173">
                  <c:v>66.29885308601591</c:v>
                </c:pt>
                <c:pt idx="174">
                  <c:v>66.29885308601591</c:v>
                </c:pt>
                <c:pt idx="175">
                  <c:v>66.29885308601591</c:v>
                </c:pt>
                <c:pt idx="176">
                  <c:v>66.29885308601591</c:v>
                </c:pt>
                <c:pt idx="177">
                  <c:v>66.29885308601591</c:v>
                </c:pt>
                <c:pt idx="178">
                  <c:v>66.29885308601591</c:v>
                </c:pt>
                <c:pt idx="179">
                  <c:v>66.29885308601591</c:v>
                </c:pt>
                <c:pt idx="180">
                  <c:v>66.29885308601591</c:v>
                </c:pt>
                <c:pt idx="181">
                  <c:v>66.29885308601591</c:v>
                </c:pt>
                <c:pt idx="182">
                  <c:v>66.29885308601591</c:v>
                </c:pt>
                <c:pt idx="183">
                  <c:v>66.29885308601591</c:v>
                </c:pt>
                <c:pt idx="184">
                  <c:v>66.29885308601591</c:v>
                </c:pt>
                <c:pt idx="185">
                  <c:v>66.29885308601591</c:v>
                </c:pt>
                <c:pt idx="186">
                  <c:v>66.29885308601591</c:v>
                </c:pt>
                <c:pt idx="187">
                  <c:v>66.29885308601591</c:v>
                </c:pt>
                <c:pt idx="188">
                  <c:v>66.29885308601591</c:v>
                </c:pt>
                <c:pt idx="189">
                  <c:v>66.29885308601591</c:v>
                </c:pt>
                <c:pt idx="190">
                  <c:v>66.29885308601591</c:v>
                </c:pt>
                <c:pt idx="191">
                  <c:v>66.29885308601591</c:v>
                </c:pt>
                <c:pt idx="192">
                  <c:v>66.29885308601591</c:v>
                </c:pt>
                <c:pt idx="193">
                  <c:v>66.29885308601591</c:v>
                </c:pt>
                <c:pt idx="194">
                  <c:v>66.29885308601591</c:v>
                </c:pt>
                <c:pt idx="195">
                  <c:v>66.29885308601591</c:v>
                </c:pt>
                <c:pt idx="196">
                  <c:v>66.29885308601591</c:v>
                </c:pt>
                <c:pt idx="197">
                  <c:v>66.29885308601591</c:v>
                </c:pt>
                <c:pt idx="198">
                  <c:v>66.29885308601591</c:v>
                </c:pt>
                <c:pt idx="199">
                  <c:v>66.29885308601591</c:v>
                </c:pt>
                <c:pt idx="200">
                  <c:v>66.29885308601591</c:v>
                </c:pt>
                <c:pt idx="201">
                  <c:v>66.29885308601591</c:v>
                </c:pt>
                <c:pt idx="202">
                  <c:v>66.29885308601591</c:v>
                </c:pt>
                <c:pt idx="203">
                  <c:v>66.29885308601591</c:v>
                </c:pt>
                <c:pt idx="204">
                  <c:v>66.29885308601591</c:v>
                </c:pt>
                <c:pt idx="205">
                  <c:v>66.29885308601591</c:v>
                </c:pt>
                <c:pt idx="206">
                  <c:v>66.29885308601591</c:v>
                </c:pt>
                <c:pt idx="207">
                  <c:v>66.29885308601591</c:v>
                </c:pt>
                <c:pt idx="208">
                  <c:v>66.29885308601591</c:v>
                </c:pt>
                <c:pt idx="209">
                  <c:v>66.29885308601591</c:v>
                </c:pt>
                <c:pt idx="210">
                  <c:v>66.29885308601591</c:v>
                </c:pt>
                <c:pt idx="211">
                  <c:v>66.29885308601591</c:v>
                </c:pt>
                <c:pt idx="212">
                  <c:v>66.29885308601591</c:v>
                </c:pt>
                <c:pt idx="213">
                  <c:v>66.29885308601591</c:v>
                </c:pt>
                <c:pt idx="214">
                  <c:v>66.29885308601591</c:v>
                </c:pt>
                <c:pt idx="215">
                  <c:v>66.29885308601591</c:v>
                </c:pt>
                <c:pt idx="216">
                  <c:v>66.29885308601591</c:v>
                </c:pt>
                <c:pt idx="217">
                  <c:v>66.29885308601591</c:v>
                </c:pt>
                <c:pt idx="218">
                  <c:v>66.29885308601591</c:v>
                </c:pt>
                <c:pt idx="219">
                  <c:v>66.29885308601591</c:v>
                </c:pt>
                <c:pt idx="220">
                  <c:v>66.29885308601591</c:v>
                </c:pt>
                <c:pt idx="221">
                  <c:v>66.29885308601591</c:v>
                </c:pt>
                <c:pt idx="222">
                  <c:v>66.29885308601591</c:v>
                </c:pt>
                <c:pt idx="223">
                  <c:v>66.29885308601591</c:v>
                </c:pt>
                <c:pt idx="224">
                  <c:v>66.29885308601591</c:v>
                </c:pt>
                <c:pt idx="225">
                  <c:v>66.29885308601591</c:v>
                </c:pt>
                <c:pt idx="226">
                  <c:v>66.29885308601591</c:v>
                </c:pt>
                <c:pt idx="227">
                  <c:v>66.29885308601591</c:v>
                </c:pt>
                <c:pt idx="228">
                  <c:v>66.29885308601591</c:v>
                </c:pt>
                <c:pt idx="229">
                  <c:v>66.29885308601591</c:v>
                </c:pt>
                <c:pt idx="230">
                  <c:v>66.29885308601591</c:v>
                </c:pt>
                <c:pt idx="231">
                  <c:v>66.29885308601591</c:v>
                </c:pt>
                <c:pt idx="232">
                  <c:v>66.29885308601591</c:v>
                </c:pt>
                <c:pt idx="233">
                  <c:v>66.29885308601591</c:v>
                </c:pt>
                <c:pt idx="234">
                  <c:v>66.29885308601591</c:v>
                </c:pt>
                <c:pt idx="235">
                  <c:v>66.29885308601591</c:v>
                </c:pt>
                <c:pt idx="236">
                  <c:v>66.29885308601591</c:v>
                </c:pt>
                <c:pt idx="237">
                  <c:v>66.29885308601591</c:v>
                </c:pt>
                <c:pt idx="238">
                  <c:v>66.29885308601591</c:v>
                </c:pt>
                <c:pt idx="239">
                  <c:v>66.29885308601591</c:v>
                </c:pt>
                <c:pt idx="240">
                  <c:v>66.29885308601591</c:v>
                </c:pt>
                <c:pt idx="241">
                  <c:v>66.29885308601591</c:v>
                </c:pt>
                <c:pt idx="242">
                  <c:v>66.29885308601591</c:v>
                </c:pt>
                <c:pt idx="243">
                  <c:v>66.29885308601591</c:v>
                </c:pt>
                <c:pt idx="244">
                  <c:v>66.29885308601591</c:v>
                </c:pt>
                <c:pt idx="245">
                  <c:v>66.29885308601591</c:v>
                </c:pt>
                <c:pt idx="246">
                  <c:v>66.29885308601591</c:v>
                </c:pt>
                <c:pt idx="247">
                  <c:v>66.29885308601591</c:v>
                </c:pt>
                <c:pt idx="248">
                  <c:v>66.29885308601591</c:v>
                </c:pt>
                <c:pt idx="249">
                  <c:v>66.29885308601591</c:v>
                </c:pt>
                <c:pt idx="250">
                  <c:v>66.29885308601591</c:v>
                </c:pt>
                <c:pt idx="251">
                  <c:v>66.29885308601591</c:v>
                </c:pt>
                <c:pt idx="252">
                  <c:v>66.29885308601591</c:v>
                </c:pt>
                <c:pt idx="253">
                  <c:v>66.29885308601591</c:v>
                </c:pt>
                <c:pt idx="254">
                  <c:v>66.29885308601591</c:v>
                </c:pt>
                <c:pt idx="255">
                  <c:v>66.29885308601591</c:v>
                </c:pt>
                <c:pt idx="256">
                  <c:v>66.29885308601591</c:v>
                </c:pt>
                <c:pt idx="257">
                  <c:v>66.29885308601591</c:v>
                </c:pt>
                <c:pt idx="258">
                  <c:v>66.29885308601591</c:v>
                </c:pt>
                <c:pt idx="259">
                  <c:v>66.29885308601591</c:v>
                </c:pt>
                <c:pt idx="260">
                  <c:v>66.29885308601591</c:v>
                </c:pt>
                <c:pt idx="261">
                  <c:v>66.29885308601591</c:v>
                </c:pt>
                <c:pt idx="262">
                  <c:v>66.29885308601591</c:v>
                </c:pt>
                <c:pt idx="263">
                  <c:v>66.29885308601591</c:v>
                </c:pt>
                <c:pt idx="264">
                  <c:v>66.29885308601591</c:v>
                </c:pt>
                <c:pt idx="265">
                  <c:v>66.29885308601591</c:v>
                </c:pt>
                <c:pt idx="266">
                  <c:v>66.29885308601591</c:v>
                </c:pt>
                <c:pt idx="267">
                  <c:v>66.29885308601591</c:v>
                </c:pt>
                <c:pt idx="268">
                  <c:v>66.29885308601591</c:v>
                </c:pt>
                <c:pt idx="269">
                  <c:v>66.29885308601591</c:v>
                </c:pt>
                <c:pt idx="270">
                  <c:v>66.29885308601591</c:v>
                </c:pt>
                <c:pt idx="271">
                  <c:v>66.29885308601591</c:v>
                </c:pt>
                <c:pt idx="272">
                  <c:v>66.29885308601591</c:v>
                </c:pt>
                <c:pt idx="273">
                  <c:v>66.29885308601591</c:v>
                </c:pt>
                <c:pt idx="274">
                  <c:v>66.29885308601591</c:v>
                </c:pt>
                <c:pt idx="275">
                  <c:v>66.29885308601591</c:v>
                </c:pt>
                <c:pt idx="276">
                  <c:v>66.29885308601591</c:v>
                </c:pt>
                <c:pt idx="277">
                  <c:v>66.29885308601591</c:v>
                </c:pt>
                <c:pt idx="278">
                  <c:v>66.29885308601591</c:v>
                </c:pt>
                <c:pt idx="279">
                  <c:v>66.29885308601591</c:v>
                </c:pt>
                <c:pt idx="280">
                  <c:v>66.29885308601591</c:v>
                </c:pt>
                <c:pt idx="281">
                  <c:v>66.29885308601591</c:v>
                </c:pt>
                <c:pt idx="282">
                  <c:v>66.29885308601591</c:v>
                </c:pt>
                <c:pt idx="283">
                  <c:v>66.29885308601591</c:v>
                </c:pt>
                <c:pt idx="284">
                  <c:v>66.29885308601591</c:v>
                </c:pt>
                <c:pt idx="285">
                  <c:v>66.29885308601591</c:v>
                </c:pt>
                <c:pt idx="286">
                  <c:v>66.29885308601591</c:v>
                </c:pt>
                <c:pt idx="287">
                  <c:v>66.29885308601591</c:v>
                </c:pt>
                <c:pt idx="288">
                  <c:v>66.29885308601591</c:v>
                </c:pt>
                <c:pt idx="289">
                  <c:v>66.29885308601591</c:v>
                </c:pt>
                <c:pt idx="290">
                  <c:v>66.29885308601591</c:v>
                </c:pt>
                <c:pt idx="291">
                  <c:v>66.29885308601591</c:v>
                </c:pt>
                <c:pt idx="292">
                  <c:v>66.29885308601591</c:v>
                </c:pt>
                <c:pt idx="293">
                  <c:v>66.29885308601591</c:v>
                </c:pt>
                <c:pt idx="294">
                  <c:v>66.29885308601591</c:v>
                </c:pt>
                <c:pt idx="295">
                  <c:v>66.29885308601591</c:v>
                </c:pt>
                <c:pt idx="296">
                  <c:v>66.29885308601591</c:v>
                </c:pt>
                <c:pt idx="297">
                  <c:v>66.29885308601591</c:v>
                </c:pt>
                <c:pt idx="298">
                  <c:v>66.29885308601591</c:v>
                </c:pt>
                <c:pt idx="299">
                  <c:v>66.29885308601591</c:v>
                </c:pt>
                <c:pt idx="300">
                  <c:v>66.29885308601591</c:v>
                </c:pt>
                <c:pt idx="301">
                  <c:v>66.29885308601591</c:v>
                </c:pt>
                <c:pt idx="302">
                  <c:v>66.29885308601591</c:v>
                </c:pt>
                <c:pt idx="303">
                  <c:v>66.29885308601591</c:v>
                </c:pt>
                <c:pt idx="304">
                  <c:v>66.29885308601591</c:v>
                </c:pt>
                <c:pt idx="305">
                  <c:v>66.29885308601591</c:v>
                </c:pt>
                <c:pt idx="306">
                  <c:v>66.29885308601591</c:v>
                </c:pt>
                <c:pt idx="307">
                  <c:v>66.29885308601591</c:v>
                </c:pt>
                <c:pt idx="308">
                  <c:v>66.29885308601591</c:v>
                </c:pt>
                <c:pt idx="309">
                  <c:v>66.29885308601591</c:v>
                </c:pt>
                <c:pt idx="310">
                  <c:v>66.29885308601591</c:v>
                </c:pt>
                <c:pt idx="311">
                  <c:v>66.29885308601591</c:v>
                </c:pt>
                <c:pt idx="312">
                  <c:v>66.29885308601591</c:v>
                </c:pt>
                <c:pt idx="313">
                  <c:v>66.29885308601591</c:v>
                </c:pt>
                <c:pt idx="314">
                  <c:v>66.29885308601591</c:v>
                </c:pt>
                <c:pt idx="315">
                  <c:v>66.29885308601591</c:v>
                </c:pt>
                <c:pt idx="316">
                  <c:v>66.29885308601591</c:v>
                </c:pt>
                <c:pt idx="317">
                  <c:v>66.29885308601591</c:v>
                </c:pt>
                <c:pt idx="318">
                  <c:v>66.29885308601591</c:v>
                </c:pt>
                <c:pt idx="319">
                  <c:v>66.29885308601591</c:v>
                </c:pt>
                <c:pt idx="320">
                  <c:v>66.29885308601591</c:v>
                </c:pt>
                <c:pt idx="321">
                  <c:v>66.29885308601591</c:v>
                </c:pt>
                <c:pt idx="322">
                  <c:v>66.29885308601591</c:v>
                </c:pt>
                <c:pt idx="323">
                  <c:v>66.29885308601591</c:v>
                </c:pt>
                <c:pt idx="324">
                  <c:v>66.29885308601591</c:v>
                </c:pt>
                <c:pt idx="325">
                  <c:v>66.29885308601591</c:v>
                </c:pt>
                <c:pt idx="326">
                  <c:v>66.29885308601591</c:v>
                </c:pt>
                <c:pt idx="327">
                  <c:v>66.29885308601591</c:v>
                </c:pt>
                <c:pt idx="328">
                  <c:v>66.29885308601591</c:v>
                </c:pt>
                <c:pt idx="329">
                  <c:v>66.29885308601591</c:v>
                </c:pt>
                <c:pt idx="330">
                  <c:v>66.29885308601591</c:v>
                </c:pt>
                <c:pt idx="331">
                  <c:v>66.29885308601591</c:v>
                </c:pt>
                <c:pt idx="332">
                  <c:v>66.29885308601591</c:v>
                </c:pt>
                <c:pt idx="333">
                  <c:v>66.29885308601591</c:v>
                </c:pt>
                <c:pt idx="334">
                  <c:v>66.29885308601591</c:v>
                </c:pt>
                <c:pt idx="335">
                  <c:v>66.29885308601591</c:v>
                </c:pt>
                <c:pt idx="336">
                  <c:v>66.29885308601591</c:v>
                </c:pt>
                <c:pt idx="337">
                  <c:v>66.29885308601591</c:v>
                </c:pt>
                <c:pt idx="338">
                  <c:v>66.29885308601591</c:v>
                </c:pt>
                <c:pt idx="339">
                  <c:v>66.29885308601591</c:v>
                </c:pt>
                <c:pt idx="340">
                  <c:v>66.29885308601591</c:v>
                </c:pt>
                <c:pt idx="341">
                  <c:v>66.29885308601591</c:v>
                </c:pt>
                <c:pt idx="342">
                  <c:v>66.29885308601591</c:v>
                </c:pt>
                <c:pt idx="343">
                  <c:v>66.29885308601591</c:v>
                </c:pt>
                <c:pt idx="344">
                  <c:v>66.29885308601591</c:v>
                </c:pt>
                <c:pt idx="345">
                  <c:v>66.29885308601591</c:v>
                </c:pt>
                <c:pt idx="346">
                  <c:v>66.29885308601591</c:v>
                </c:pt>
                <c:pt idx="347">
                  <c:v>66.29885308601591</c:v>
                </c:pt>
                <c:pt idx="348">
                  <c:v>66.29885308601591</c:v>
                </c:pt>
                <c:pt idx="349">
                  <c:v>66.29885308601591</c:v>
                </c:pt>
                <c:pt idx="350">
                  <c:v>66.29885308601591</c:v>
                </c:pt>
                <c:pt idx="351">
                  <c:v>66.29885308601591</c:v>
                </c:pt>
                <c:pt idx="352">
                  <c:v>66.29885308601591</c:v>
                </c:pt>
                <c:pt idx="353">
                  <c:v>66.29885308601591</c:v>
                </c:pt>
                <c:pt idx="354">
                  <c:v>66.29885308601591</c:v>
                </c:pt>
                <c:pt idx="355">
                  <c:v>66.29885308601591</c:v>
                </c:pt>
                <c:pt idx="356">
                  <c:v>66.29885308601591</c:v>
                </c:pt>
                <c:pt idx="357">
                  <c:v>66.29885308601591</c:v>
                </c:pt>
                <c:pt idx="358">
                  <c:v>66.29885308601591</c:v>
                </c:pt>
                <c:pt idx="359">
                  <c:v>66.29885308601591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92648"/>
        <c:axId val="410195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'Fuel Cost Risk Sim'!$D$237</c15:sqref>
                        </c15:formulaRef>
                      </c:ext>
                    </c:extLst>
                    <c:strCache>
                      <c:ptCount val="1"/>
                      <c:pt idx="0">
                        <c:v>Oil/Diesel Blend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'Fuel Cost Risk Sim'!$E$236:$MZ$236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'Fuel Cost Risk Sim'!$E$237:$MZ$237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360"/>
                      <c:pt idx="0">
                        <c:v>81.522976287816832</c:v>
                      </c:pt>
                      <c:pt idx="1">
                        <c:v>81.787110834109271</c:v>
                      </c:pt>
                      <c:pt idx="2">
                        <c:v>82.052101176665815</c:v>
                      </c:pt>
                      <c:pt idx="3">
                        <c:v>82.317950088267423</c:v>
                      </c:pt>
                      <c:pt idx="4">
                        <c:v>82.584660350678902</c:v>
                      </c:pt>
                      <c:pt idx="5">
                        <c:v>82.852234754677966</c:v>
                      </c:pt>
                      <c:pt idx="6">
                        <c:v>83.12067610008441</c:v>
                      </c:pt>
                      <c:pt idx="7">
                        <c:v>83.389987195789544</c:v>
                      </c:pt>
                      <c:pt idx="8">
                        <c:v>83.66017085978541</c:v>
                      </c:pt>
                      <c:pt idx="9">
                        <c:v>83.931229919194422</c:v>
                      </c:pt>
                      <c:pt idx="10">
                        <c:v>84.203167210298744</c:v>
                      </c:pt>
                      <c:pt idx="11">
                        <c:v>84.475985578570231</c:v>
                      </c:pt>
                      <c:pt idx="12">
                        <c:v>84.749687878700016</c:v>
                      </c:pt>
                      <c:pt idx="13">
                        <c:v>85.024276974628449</c:v>
                      </c:pt>
                      <c:pt idx="14">
                        <c:v>85.299755739574991</c:v>
                      </c:pt>
                      <c:pt idx="15">
                        <c:v>85.576127056068458</c:v>
                      </c:pt>
                      <c:pt idx="16">
                        <c:v>85.853393815976915</c:v>
                      </c:pt>
                      <c:pt idx="17">
                        <c:v>86.131558920538197</c:v>
                      </c:pt>
                      <c:pt idx="18">
                        <c:v>86.410625280390121</c:v>
                      </c:pt>
                      <c:pt idx="19">
                        <c:v>86.690595815600972</c:v>
                      </c:pt>
                      <c:pt idx="20">
                        <c:v>86.971473455700036</c:v>
                      </c:pt>
                      <c:pt idx="21">
                        <c:v>87.253261139708329</c:v>
                      </c:pt>
                      <c:pt idx="22">
                        <c:v>87.535961816169234</c:v>
                      </c:pt>
                      <c:pt idx="23">
                        <c:v>87.819578443179466</c:v>
                      </c:pt>
                      <c:pt idx="24">
                        <c:v>88.104113988419968</c:v>
                      </c:pt>
                      <c:pt idx="25">
                        <c:v>88.389571429186958</c:v>
                      </c:pt>
                      <c:pt idx="26">
                        <c:v>88.675953752423112</c:v>
                      </c:pt>
                      <c:pt idx="27">
                        <c:v>88.963263954748811</c:v>
                      </c:pt>
                      <c:pt idx="28">
                        <c:v>89.251505042493434</c:v>
                      </c:pt>
                      <c:pt idx="29">
                        <c:v>89.540680031726978</c:v>
                      </c:pt>
                      <c:pt idx="30">
                        <c:v>89.830791948291434</c:v>
                      </c:pt>
                      <c:pt idx="31">
                        <c:v>90.121843827832521</c:v>
                      </c:pt>
                      <c:pt idx="32">
                        <c:v>90.41383871583146</c:v>
                      </c:pt>
                      <c:pt idx="33">
                        <c:v>90.706779667636866</c:v>
                      </c:pt>
                      <c:pt idx="34">
                        <c:v>91.000669748496676</c:v>
                      </c:pt>
                      <c:pt idx="35">
                        <c:v>91.295512033590214</c:v>
                      </c:pt>
                      <c:pt idx="36">
                        <c:v>91.591309608060413</c:v>
                      </c:pt>
                      <c:pt idx="37">
                        <c:v>91.888065567046056</c:v>
                      </c:pt>
                      <c:pt idx="38">
                        <c:v>92.185783015714179</c:v>
                      </c:pt>
                      <c:pt idx="39">
                        <c:v>92.484465069292582</c:v>
                      </c:pt>
                      <c:pt idx="40">
                        <c:v>92.784114853102352</c:v>
                      </c:pt>
                      <c:pt idx="41">
                        <c:v>93.084735502590732</c:v>
                      </c:pt>
                      <c:pt idx="42">
                        <c:v>93.386330163363723</c:v>
                      </c:pt>
                      <c:pt idx="43">
                        <c:v>93.688901991219112</c:v>
                      </c:pt>
                      <c:pt idx="44">
                        <c:v>93.992454152179448</c:v>
                      </c:pt>
                      <c:pt idx="45">
                        <c:v>94.29698982252529</c:v>
                      </c:pt>
                      <c:pt idx="46">
                        <c:v>94.602512188828271</c:v>
                      </c:pt>
                      <c:pt idx="47">
                        <c:v>94.909024447984521</c:v>
                      </c:pt>
                      <c:pt idx="48">
                        <c:v>95.216529807248151</c:v>
                      </c:pt>
                      <c:pt idx="49">
                        <c:v>95.525031484264787</c:v>
                      </c:pt>
                      <c:pt idx="50">
                        <c:v>95.834532707105154</c:v>
                      </c:pt>
                      <c:pt idx="51">
                        <c:v>96.145036714299039</c:v>
                      </c:pt>
                      <c:pt idx="52">
                        <c:v>96.456546754868953</c:v>
                      </c:pt>
                      <c:pt idx="53">
                        <c:v>96.769066088364397</c:v>
                      </c:pt>
                      <c:pt idx="54">
                        <c:v>97.082597984895656</c:v>
                      </c:pt>
                      <c:pt idx="55">
                        <c:v>97.397145725168301</c:v>
                      </c:pt>
                      <c:pt idx="56">
                        <c:v>97.712712600517264</c:v>
                      </c:pt>
                      <c:pt idx="57">
                        <c:v>98.029301912941548</c:v>
                      </c:pt>
                      <c:pt idx="58">
                        <c:v>98.346916975138541</c:v>
                      </c:pt>
                      <c:pt idx="59">
                        <c:v>98.665561110538803</c:v>
                      </c:pt>
                      <c:pt idx="60">
                        <c:v>98.985237653340818</c:v>
                      </c:pt>
                      <c:pt idx="61">
                        <c:v>99.305949948545901</c:v>
                      </c:pt>
                      <c:pt idx="62">
                        <c:v>99.627701351993082</c:v>
                      </c:pt>
                      <c:pt idx="63">
                        <c:v>99.950495230394438</c:v>
                      </c:pt>
                      <c:pt idx="64">
                        <c:v>100.27433496137014</c:v>
                      </c:pt>
                      <c:pt idx="65">
                        <c:v>100.59922393348381</c:v>
                      </c:pt>
                      <c:pt idx="66">
                        <c:v>100.92516554627811</c:v>
                      </c:pt>
                      <c:pt idx="67">
                        <c:v>101.25216321031016</c:v>
                      </c:pt>
                      <c:pt idx="68">
                        <c:v>101.58022034718726</c:v>
                      </c:pt>
                      <c:pt idx="69">
                        <c:v>101.90934038960283</c:v>
                      </c:pt>
                      <c:pt idx="70">
                        <c:v>102.23952678137213</c:v>
                      </c:pt>
                      <c:pt idx="71">
                        <c:v>102.57078297746843</c:v>
                      </c:pt>
                      <c:pt idx="72">
                        <c:v>102.90311244405909</c:v>
                      </c:pt>
                      <c:pt idx="73">
                        <c:v>103.23651865854188</c:v>
                      </c:pt>
                      <c:pt idx="74">
                        <c:v>103.57100510958129</c:v>
                      </c:pt>
                      <c:pt idx="75">
                        <c:v>103.90657529714521</c:v>
                      </c:pt>
                      <c:pt idx="76">
                        <c:v>104.2432327325413</c:v>
                      </c:pt>
                      <c:pt idx="77">
                        <c:v>104.58098093845391</c:v>
                      </c:pt>
                      <c:pt idx="78">
                        <c:v>104.91982344898092</c:v>
                      </c:pt>
                      <c:pt idx="79">
                        <c:v>105.25976380967057</c:v>
                      </c:pt>
                      <c:pt idx="80">
                        <c:v>105.60080557755892</c:v>
                      </c:pt>
                      <c:pt idx="81">
                        <c:v>105.94295232120662</c:v>
                      </c:pt>
                      <c:pt idx="82">
                        <c:v>106.28620762073649</c:v>
                      </c:pt>
                      <c:pt idx="83">
                        <c:v>106.63057506787105</c:v>
                      </c:pt>
                      <c:pt idx="84">
                        <c:v>106.97605826596991</c:v>
                      </c:pt>
                      <c:pt idx="85">
                        <c:v>107.32266083006763</c:v>
                      </c:pt>
                      <c:pt idx="86">
                        <c:v>107.67038638691146</c:v>
                      </c:pt>
                      <c:pt idx="87">
                        <c:v>108.01923857499931</c:v>
                      </c:pt>
                      <c:pt idx="88">
                        <c:v>108.3692210446178</c:v>
                      </c:pt>
                      <c:pt idx="89">
                        <c:v>108.72033745788058</c:v>
                      </c:pt>
                      <c:pt idx="90">
                        <c:v>109.07259148876646</c:v>
                      </c:pt>
                      <c:pt idx="91">
                        <c:v>109.42598682315798</c:v>
                      </c:pt>
                      <c:pt idx="92">
                        <c:v>109.78052715887995</c:v>
                      </c:pt>
                      <c:pt idx="93">
                        <c:v>110.13621620573809</c:v>
                      </c:pt>
                      <c:pt idx="94">
                        <c:v>110.493057685558</c:v>
                      </c:pt>
                      <c:pt idx="95">
                        <c:v>110.85105533222391</c:v>
                      </c:pt>
                      <c:pt idx="96">
                        <c:v>111.21021289171784</c:v>
                      </c:pt>
                      <c:pt idx="97">
                        <c:v>111.57053412215886</c:v>
                      </c:pt>
                      <c:pt idx="98">
                        <c:v>111.93202279384225</c:v>
                      </c:pt>
                      <c:pt idx="99">
                        <c:v>112.29468268927917</c:v>
                      </c:pt>
                      <c:pt idx="100">
                        <c:v>112.65851760323604</c:v>
                      </c:pt>
                      <c:pt idx="101">
                        <c:v>113.02353134277431</c:v>
                      </c:pt>
                      <c:pt idx="102">
                        <c:v>113.38972772729046</c:v>
                      </c:pt>
                      <c:pt idx="103">
                        <c:v>113.75711058855562</c:v>
                      </c:pt>
                      <c:pt idx="104">
                        <c:v>114.12568377075597</c:v>
                      </c:pt>
                      <c:pt idx="105">
                        <c:v>114.49545113053291</c:v>
                      </c:pt>
                      <c:pt idx="106">
                        <c:v>114.86641653702321</c:v>
                      </c:pt>
                      <c:pt idx="107">
                        <c:v>115.23858387189982</c:v>
                      </c:pt>
                      <c:pt idx="108">
                        <c:v>115.61195702941217</c:v>
                      </c:pt>
                      <c:pt idx="109">
                        <c:v>115.98653991642712</c:v>
                      </c:pt>
                      <c:pt idx="110">
                        <c:v>116.36233645246988</c:v>
                      </c:pt>
                      <c:pt idx="111">
                        <c:v>116.73935056976471</c:v>
                      </c:pt>
                      <c:pt idx="112">
                        <c:v>117.1175862132765</c:v>
                      </c:pt>
                      <c:pt idx="113">
                        <c:v>117.49704734075168</c:v>
                      </c:pt>
                      <c:pt idx="114">
                        <c:v>117.87773792275988</c:v>
                      </c:pt>
                      <c:pt idx="115">
                        <c:v>118.25966194273532</c:v>
                      </c:pt>
                      <c:pt idx="116">
                        <c:v>118.6428233970186</c:v>
                      </c:pt>
                      <c:pt idx="117">
                        <c:v>119.02722629489843</c:v>
                      </c:pt>
                      <c:pt idx="118">
                        <c:v>119.41287465865362</c:v>
                      </c:pt>
                      <c:pt idx="119">
                        <c:v>119.79977252359518</c:v>
                      </c:pt>
                      <c:pt idx="120">
                        <c:v>120.18792393810857</c:v>
                      </c:pt>
                      <c:pt idx="121">
                        <c:v>120.57733296369594</c:v>
                      </c:pt>
                      <c:pt idx="122">
                        <c:v>120.96800367501879</c:v>
                      </c:pt>
                      <c:pt idx="123">
                        <c:v>121.35994015994049</c:v>
                      </c:pt>
                      <c:pt idx="124">
                        <c:v>121.75314651956911</c:v>
                      </c:pt>
                      <c:pt idx="125">
                        <c:v>122.14762686830031</c:v>
                      </c:pt>
                      <c:pt idx="126">
                        <c:v>122.54338533386034</c:v>
                      </c:pt>
                      <c:pt idx="127">
                        <c:v>122.94042605734946</c:v>
                      </c:pt>
                      <c:pt idx="128">
                        <c:v>123.33875319328487</c:v>
                      </c:pt>
                      <c:pt idx="129">
                        <c:v>123.73837090964454</c:v>
                      </c:pt>
                      <c:pt idx="130">
                        <c:v>124.13928338791074</c:v>
                      </c:pt>
                      <c:pt idx="131">
                        <c:v>124.5414948231136</c:v>
                      </c:pt>
                      <c:pt idx="132">
                        <c:v>124.94500942387531</c:v>
                      </c:pt>
                      <c:pt idx="133">
                        <c:v>125.34983141245391</c:v>
                      </c:pt>
                      <c:pt idx="134">
                        <c:v>125.75596502478757</c:v>
                      </c:pt>
                      <c:pt idx="135">
                        <c:v>126.16341451053887</c:v>
                      </c:pt>
                      <c:pt idx="136">
                        <c:v>126.57218413313942</c:v>
                      </c:pt>
                      <c:pt idx="137">
                        <c:v>126.98227816983429</c:v>
                      </c:pt>
                      <c:pt idx="138">
                        <c:v>127.39370091172675</c:v>
                      </c:pt>
                      <c:pt idx="139">
                        <c:v>127.80645666382338</c:v>
                      </c:pt>
                      <c:pt idx="140">
                        <c:v>128.22054974507887</c:v>
                      </c:pt>
                      <c:pt idx="141">
                        <c:v>128.63598448844147</c:v>
                      </c:pt>
                      <c:pt idx="142">
                        <c:v>129.05276524089803</c:v>
                      </c:pt>
                      <c:pt idx="143">
                        <c:v>129.47089636351973</c:v>
                      </c:pt>
                      <c:pt idx="144">
                        <c:v>129.89038223150766</c:v>
                      </c:pt>
                      <c:pt idx="145">
                        <c:v>130.31122723423846</c:v>
                      </c:pt>
                      <c:pt idx="146">
                        <c:v>130.73343577531045</c:v>
                      </c:pt>
                      <c:pt idx="147">
                        <c:v>131.15701227258955</c:v>
                      </c:pt>
                      <c:pt idx="148">
                        <c:v>131.58196115825567</c:v>
                      </c:pt>
                      <c:pt idx="149">
                        <c:v>132.00828687884882</c:v>
                      </c:pt>
                      <c:pt idx="150">
                        <c:v>132.43599389531602</c:v>
                      </c:pt>
                      <c:pt idx="151">
                        <c:v>132.86508668305754</c:v>
                      </c:pt>
                      <c:pt idx="152">
                        <c:v>133.29556973197413</c:v>
                      </c:pt>
                      <c:pt idx="153">
                        <c:v>133.72744754651373</c:v>
                      </c:pt>
                      <c:pt idx="154">
                        <c:v>134.16072464571872</c:v>
                      </c:pt>
                      <c:pt idx="155">
                        <c:v>134.59540556327323</c:v>
                      </c:pt>
                      <c:pt idx="156">
                        <c:v>135.03149484755039</c:v>
                      </c:pt>
                      <c:pt idx="157">
                        <c:v>135.46899706166027</c:v>
                      </c:pt>
                      <c:pt idx="158">
                        <c:v>135.90791678349726</c:v>
                      </c:pt>
                      <c:pt idx="159">
                        <c:v>136.34825860578817</c:v>
                      </c:pt>
                      <c:pt idx="160">
                        <c:v>136.79002713614037</c:v>
                      </c:pt>
                      <c:pt idx="161">
                        <c:v>137.23322699708964</c:v>
                      </c:pt>
                      <c:pt idx="162">
                        <c:v>137.67786282614904</c:v>
                      </c:pt>
                      <c:pt idx="163">
                        <c:v>138.12393927585703</c:v>
                      </c:pt>
                      <c:pt idx="164">
                        <c:v>138.57146101382631</c:v>
                      </c:pt>
                      <c:pt idx="165">
                        <c:v>139.02043272279272</c:v>
                      </c:pt>
                      <c:pt idx="166">
                        <c:v>139.47085910066403</c:v>
                      </c:pt>
                      <c:pt idx="167">
                        <c:v>139.92274486056942</c:v>
                      </c:pt>
                      <c:pt idx="168">
                        <c:v>140.37609473090851</c:v>
                      </c:pt>
                      <c:pt idx="169">
                        <c:v>140.83091345540092</c:v>
                      </c:pt>
                      <c:pt idx="170">
                        <c:v>141.28720579313602</c:v>
                      </c:pt>
                      <c:pt idx="171">
                        <c:v>141.74497651862259</c:v>
                      </c:pt>
                      <c:pt idx="172">
                        <c:v>142.20423042183876</c:v>
                      </c:pt>
                      <c:pt idx="173">
                        <c:v>142.66497230828222</c:v>
                      </c:pt>
                      <c:pt idx="174">
                        <c:v>143.12720699902059</c:v>
                      </c:pt>
                      <c:pt idx="175">
                        <c:v>143.59093933074163</c:v>
                      </c:pt>
                      <c:pt idx="176">
                        <c:v>144.05617415580409</c:v>
                      </c:pt>
                      <c:pt idx="177">
                        <c:v>144.52291634228817</c:v>
                      </c:pt>
                      <c:pt idx="178">
                        <c:v>144.99117077404685</c:v>
                      </c:pt>
                      <c:pt idx="179">
                        <c:v>145.46094235075677</c:v>
                      </c:pt>
                      <c:pt idx="180">
                        <c:v>145.93223598796942</c:v>
                      </c:pt>
                      <c:pt idx="181">
                        <c:v>146.40505661716278</c:v>
                      </c:pt>
                      <c:pt idx="182">
                        <c:v>146.87940918579281</c:v>
                      </c:pt>
                      <c:pt idx="183">
                        <c:v>147.35529865734523</c:v>
                      </c:pt>
                      <c:pt idx="184">
                        <c:v>147.83273001138747</c:v>
                      </c:pt>
                      <c:pt idx="185">
                        <c:v>148.31170824362067</c:v>
                      </c:pt>
                      <c:pt idx="186">
                        <c:v>148.79223836593223</c:v>
                      </c:pt>
                      <c:pt idx="187">
                        <c:v>149.27432540644787</c:v>
                      </c:pt>
                      <c:pt idx="188">
                        <c:v>149.75797440958456</c:v>
                      </c:pt>
                      <c:pt idx="189">
                        <c:v>150.24319043610325</c:v>
                      </c:pt>
                      <c:pt idx="190">
                        <c:v>150.72997856316158</c:v>
                      </c:pt>
                      <c:pt idx="191">
                        <c:v>151.21834388436733</c:v>
                      </c:pt>
                      <c:pt idx="192">
                        <c:v>151.70829150983153</c:v>
                      </c:pt>
                      <c:pt idx="193">
                        <c:v>152.19982656622199</c:v>
                      </c:pt>
                      <c:pt idx="194">
                        <c:v>152.69295419681688</c:v>
                      </c:pt>
                      <c:pt idx="195">
                        <c:v>153.1876795615587</c:v>
                      </c:pt>
                      <c:pt idx="196">
                        <c:v>153.68400783710808</c:v>
                      </c:pt>
                      <c:pt idx="197">
                        <c:v>154.18194421689802</c:v>
                      </c:pt>
                      <c:pt idx="198">
                        <c:v>154.68149391118834</c:v>
                      </c:pt>
                      <c:pt idx="199">
                        <c:v>155.18266214712006</c:v>
                      </c:pt>
                      <c:pt idx="200">
                        <c:v>155.68545416877009</c:v>
                      </c:pt>
                      <c:pt idx="201">
                        <c:v>156.18987523720628</c:v>
                      </c:pt>
                      <c:pt idx="202">
                        <c:v>156.69593063054225</c:v>
                      </c:pt>
                      <c:pt idx="203">
                        <c:v>157.20362564399278</c:v>
                      </c:pt>
                      <c:pt idx="204">
                        <c:v>157.71296558992907</c:v>
                      </c:pt>
                      <c:pt idx="205">
                        <c:v>158.22395579793445</c:v>
                      </c:pt>
                      <c:pt idx="206">
                        <c:v>158.73660161486012</c:v>
                      </c:pt>
                      <c:pt idx="207">
                        <c:v>159.2509084048811</c:v>
                      </c:pt>
                      <c:pt idx="208">
                        <c:v>159.76688154955229</c:v>
                      </c:pt>
                      <c:pt idx="209">
                        <c:v>160.28452644786492</c:v>
                      </c:pt>
                      <c:pt idx="210">
                        <c:v>160.80384851630282</c:v>
                      </c:pt>
                      <c:pt idx="211">
                        <c:v>161.32485318889934</c:v>
                      </c:pt>
                      <c:pt idx="212">
                        <c:v>161.84754591729416</c:v>
                      </c:pt>
                      <c:pt idx="213">
                        <c:v>162.37193217079007</c:v>
                      </c:pt>
                      <c:pt idx="214">
                        <c:v>162.89801743641067</c:v>
                      </c:pt>
                      <c:pt idx="215">
                        <c:v>163.42580721895729</c:v>
                      </c:pt>
                      <c:pt idx="216">
                        <c:v>163.95530704106699</c:v>
                      </c:pt>
                      <c:pt idx="217">
                        <c:v>164.48652244327016</c:v>
                      </c:pt>
                      <c:pt idx="218">
                        <c:v>165.01945898404833</c:v>
                      </c:pt>
                      <c:pt idx="219">
                        <c:v>165.55412223989279</c:v>
                      </c:pt>
                      <c:pt idx="220">
                        <c:v>166.09051780536248</c:v>
                      </c:pt>
                      <c:pt idx="221">
                        <c:v>166.62865129314281</c:v>
                      </c:pt>
                      <c:pt idx="222">
                        <c:v>167.1685283341042</c:v>
                      </c:pt>
                      <c:pt idx="223">
                        <c:v>167.71015457736124</c:v>
                      </c:pt>
                      <c:pt idx="224">
                        <c:v>168.25353569033155</c:v>
                      </c:pt>
                      <c:pt idx="225">
                        <c:v>168.7986773587952</c:v>
                      </c:pt>
                      <c:pt idx="226">
                        <c:v>169.34558528695425</c:v>
                      </c:pt>
                      <c:pt idx="227">
                        <c:v>169.8942651974923</c:v>
                      </c:pt>
                      <c:pt idx="228">
                        <c:v>170.44472283163452</c:v>
                      </c:pt>
                      <c:pt idx="229">
                        <c:v>170.99696394920764</c:v>
                      </c:pt>
                      <c:pt idx="230">
                        <c:v>171.55099432870026</c:v>
                      </c:pt>
                      <c:pt idx="231">
                        <c:v>172.10681976732326</c:v>
                      </c:pt>
                      <c:pt idx="232">
                        <c:v>172.66444608107042</c:v>
                      </c:pt>
                      <c:pt idx="233">
                        <c:v>173.22387910477954</c:v>
                      </c:pt>
                      <c:pt idx="234">
                        <c:v>173.78512469219305</c:v>
                      </c:pt>
                      <c:pt idx="235">
                        <c:v>174.34818871601971</c:v>
                      </c:pt>
                      <c:pt idx="236">
                        <c:v>174.91307706799586</c:v>
                      </c:pt>
                      <c:pt idx="237">
                        <c:v>175.47979565894693</c:v>
                      </c:pt>
                      <c:pt idx="238">
                        <c:v>176.04835041884951</c:v>
                      </c:pt>
                      <c:pt idx="239">
                        <c:v>176.61874729689336</c:v>
                      </c:pt>
                      <c:pt idx="240">
                        <c:v>177.19099226154356</c:v>
                      </c:pt>
                      <c:pt idx="241">
                        <c:v>177.76509130060307</c:v>
                      </c:pt>
                      <c:pt idx="242">
                        <c:v>178.34105042127538</c:v>
                      </c:pt>
                      <c:pt idx="243">
                        <c:v>178.91887565022716</c:v>
                      </c:pt>
                      <c:pt idx="244">
                        <c:v>179.49857303365167</c:v>
                      </c:pt>
                      <c:pt idx="245">
                        <c:v>180.08014863733169</c:v>
                      </c:pt>
                      <c:pt idx="246">
                        <c:v>180.66360854670336</c:v>
                      </c:pt>
                      <c:pt idx="247">
                        <c:v>181.24895886691937</c:v>
                      </c:pt>
                      <c:pt idx="248">
                        <c:v>181.83620572291335</c:v>
                      </c:pt>
                      <c:pt idx="249">
                        <c:v>182.42535525946352</c:v>
                      </c:pt>
                      <c:pt idx="250">
                        <c:v>183.01641364125734</c:v>
                      </c:pt>
                      <c:pt idx="251">
                        <c:v>183.60938705295587</c:v>
                      </c:pt>
                      <c:pt idx="252">
                        <c:v>184.2042816992583</c:v>
                      </c:pt>
                      <c:pt idx="253">
                        <c:v>184.80110380496725</c:v>
                      </c:pt>
                      <c:pt idx="254">
                        <c:v>185.39985961505363</c:v>
                      </c:pt>
                      <c:pt idx="255">
                        <c:v>186.00055539472208</c:v>
                      </c:pt>
                      <c:pt idx="256">
                        <c:v>186.6031974294765</c:v>
                      </c:pt>
                      <c:pt idx="257">
                        <c:v>187.20779202518577</c:v>
                      </c:pt>
                      <c:pt idx="258">
                        <c:v>187.81434550814996</c:v>
                      </c:pt>
                      <c:pt idx="259">
                        <c:v>188.42286422516614</c:v>
                      </c:pt>
                      <c:pt idx="260">
                        <c:v>189.03335454359521</c:v>
                      </c:pt>
                      <c:pt idx="261">
                        <c:v>189.64582285142819</c:v>
                      </c:pt>
                      <c:pt idx="262">
                        <c:v>190.26027555735325</c:v>
                      </c:pt>
                      <c:pt idx="263">
                        <c:v>190.87671909082277</c:v>
                      </c:pt>
                      <c:pt idx="264">
                        <c:v>191.49515990212055</c:v>
                      </c:pt>
                      <c:pt idx="265">
                        <c:v>192.11560446242913</c:v>
                      </c:pt>
                      <c:pt idx="266">
                        <c:v>192.73805926389795</c:v>
                      </c:pt>
                      <c:pt idx="267">
                        <c:v>193.36253081971086</c:v>
                      </c:pt>
                      <c:pt idx="268">
                        <c:v>193.98902566415455</c:v>
                      </c:pt>
                      <c:pt idx="269">
                        <c:v>194.61755035268666</c:v>
                      </c:pt>
                      <c:pt idx="270">
                        <c:v>195.24811146200466</c:v>
                      </c:pt>
                      <c:pt idx="271">
                        <c:v>195.88071559011448</c:v>
                      </c:pt>
                      <c:pt idx="272">
                        <c:v>196.51536935639956</c:v>
                      </c:pt>
                      <c:pt idx="273">
                        <c:v>197.15207940169017</c:v>
                      </c:pt>
                      <c:pt idx="274">
                        <c:v>197.79085238833292</c:v>
                      </c:pt>
                      <c:pt idx="275">
                        <c:v>198.43169500026039</c:v>
                      </c:pt>
                      <c:pt idx="276">
                        <c:v>199.07461394306114</c:v>
                      </c:pt>
                      <c:pt idx="277">
                        <c:v>199.71961594404974</c:v>
                      </c:pt>
                      <c:pt idx="278">
                        <c:v>200.3667077523375</c:v>
                      </c:pt>
                      <c:pt idx="279">
                        <c:v>201.01589613890255</c:v>
                      </c:pt>
                      <c:pt idx="280">
                        <c:v>201.66718789666129</c:v>
                      </c:pt>
                      <c:pt idx="281">
                        <c:v>202.32058984053901</c:v>
                      </c:pt>
                      <c:pt idx="282">
                        <c:v>202.97610880754138</c:v>
                      </c:pt>
                      <c:pt idx="283">
                        <c:v>203.63375165682604</c:v>
                      </c:pt>
                      <c:pt idx="284">
                        <c:v>204.29352526977414</c:v>
                      </c:pt>
                      <c:pt idx="285">
                        <c:v>204.95543655006284</c:v>
                      </c:pt>
                      <c:pt idx="286">
                        <c:v>205.61949242373692</c:v>
                      </c:pt>
                      <c:pt idx="287">
                        <c:v>206.28569983928173</c:v>
                      </c:pt>
                      <c:pt idx="288">
                        <c:v>206.95406576769551</c:v>
                      </c:pt>
                      <c:pt idx="289">
                        <c:v>207.62459720256285</c:v>
                      </c:pt>
                      <c:pt idx="290">
                        <c:v>208.29730116012732</c:v>
                      </c:pt>
                      <c:pt idx="291">
                        <c:v>208.97218467936517</c:v>
                      </c:pt>
                      <c:pt idx="292">
                        <c:v>209.64925482205905</c:v>
                      </c:pt>
                      <c:pt idx="293">
                        <c:v>210.32851867287172</c:v>
                      </c:pt>
                      <c:pt idx="294">
                        <c:v>211.00998333942022</c:v>
                      </c:pt>
                      <c:pt idx="295">
                        <c:v>211.69365595235035</c:v>
                      </c:pt>
                      <c:pt idx="296">
                        <c:v>212.37954366541115</c:v>
                      </c:pt>
                      <c:pt idx="297">
                        <c:v>213.06765365552985</c:v>
                      </c:pt>
                      <c:pt idx="298">
                        <c:v>213.75799312288694</c:v>
                      </c:pt>
                      <c:pt idx="299">
                        <c:v>214.45056929099144</c:v>
                      </c:pt>
                      <c:pt idx="300">
                        <c:v>215.14538940675672</c:v>
                      </c:pt>
                      <c:pt idx="301">
                        <c:v>215.842460740576</c:v>
                      </c:pt>
                      <c:pt idx="302">
                        <c:v>216.54179058639852</c:v>
                      </c:pt>
                      <c:pt idx="303">
                        <c:v>217.24338626180611</c:v>
                      </c:pt>
                      <c:pt idx="304">
                        <c:v>217.94725510808951</c:v>
                      </c:pt>
                      <c:pt idx="305">
                        <c:v>218.65340449032519</c:v>
                      </c:pt>
                      <c:pt idx="306">
                        <c:v>219.36184179745254</c:v>
                      </c:pt>
                      <c:pt idx="307">
                        <c:v>220.07257444235105</c:v>
                      </c:pt>
                      <c:pt idx="308">
                        <c:v>220.78560986191812</c:v>
                      </c:pt>
                      <c:pt idx="309">
                        <c:v>221.50095551714648</c:v>
                      </c:pt>
                      <c:pt idx="310">
                        <c:v>222.21861889320266</c:v>
                      </c:pt>
                      <c:pt idx="311">
                        <c:v>222.93860749950508</c:v>
                      </c:pt>
                      <c:pt idx="312">
                        <c:v>223.66092886980255</c:v>
                      </c:pt>
                      <c:pt idx="313">
                        <c:v>224.38559056225353</c:v>
                      </c:pt>
                      <c:pt idx="314">
                        <c:v>225.11260015950464</c:v>
                      </c:pt>
                      <c:pt idx="315">
                        <c:v>225.84196526877051</c:v>
                      </c:pt>
                      <c:pt idx="316">
                        <c:v>226.5736935219129</c:v>
                      </c:pt>
                      <c:pt idx="317">
                        <c:v>227.30779257552115</c:v>
                      </c:pt>
                      <c:pt idx="318">
                        <c:v>228.04427011099162</c:v>
                      </c:pt>
                      <c:pt idx="319">
                        <c:v>228.78313383460861</c:v>
                      </c:pt>
                      <c:pt idx="320">
                        <c:v>229.52439147762473</c:v>
                      </c:pt>
                      <c:pt idx="321">
                        <c:v>230.26805079634184</c:v>
                      </c:pt>
                      <c:pt idx="322">
                        <c:v>231.01411957219224</c:v>
                      </c:pt>
                      <c:pt idx="323">
                        <c:v>231.76260561182016</c:v>
                      </c:pt>
                      <c:pt idx="324">
                        <c:v>232.51351674716324</c:v>
                      </c:pt>
                      <c:pt idx="325">
                        <c:v>233.26686083553466</c:v>
                      </c:pt>
                      <c:pt idx="326">
                        <c:v>234.02264575970528</c:v>
                      </c:pt>
                      <c:pt idx="327">
                        <c:v>234.78087942798629</c:v>
                      </c:pt>
                      <c:pt idx="328">
                        <c:v>235.54156977431154</c:v>
                      </c:pt>
                      <c:pt idx="329">
                        <c:v>236.30472475832119</c:v>
                      </c:pt>
                      <c:pt idx="330">
                        <c:v>237.07035236544428</c:v>
                      </c:pt>
                      <c:pt idx="331">
                        <c:v>237.83846060698295</c:v>
                      </c:pt>
                      <c:pt idx="332">
                        <c:v>238.60905752019585</c:v>
                      </c:pt>
                      <c:pt idx="333">
                        <c:v>239.38215116838225</c:v>
                      </c:pt>
                      <c:pt idx="334">
                        <c:v>240.15774964096664</c:v>
                      </c:pt>
                      <c:pt idx="335">
                        <c:v>240.93586105358335</c:v>
                      </c:pt>
                      <c:pt idx="336">
                        <c:v>241.71649354816114</c:v>
                      </c:pt>
                      <c:pt idx="337">
                        <c:v>242.4996552930088</c:v>
                      </c:pt>
                      <c:pt idx="338">
                        <c:v>243.28535448290037</c:v>
                      </c:pt>
                      <c:pt idx="339">
                        <c:v>244.07359933916109</c:v>
                      </c:pt>
                      <c:pt idx="340">
                        <c:v>244.8643981097531</c:v>
                      </c:pt>
                      <c:pt idx="341">
                        <c:v>245.65775906936221</c:v>
                      </c:pt>
                      <c:pt idx="342">
                        <c:v>246.45369051948396</c:v>
                      </c:pt>
                      <c:pt idx="343">
                        <c:v>247.25220078851081</c:v>
                      </c:pt>
                      <c:pt idx="344">
                        <c:v>248.05329823181944</c:v>
                      </c:pt>
                      <c:pt idx="345">
                        <c:v>248.85699123185771</c:v>
                      </c:pt>
                      <c:pt idx="346">
                        <c:v>249.66328819823264</c:v>
                      </c:pt>
                      <c:pt idx="347">
                        <c:v>250.47219756779862</c:v>
                      </c:pt>
                      <c:pt idx="348">
                        <c:v>251.28372780474513</c:v>
                      </c:pt>
                      <c:pt idx="349">
                        <c:v>252.09788740068589</c:v>
                      </c:pt>
                      <c:pt idx="350">
                        <c:v>252.91468487474737</c:v>
                      </c:pt>
                      <c:pt idx="351">
                        <c:v>253.73412877365794</c:v>
                      </c:pt>
                      <c:pt idx="352">
                        <c:v>254.55622767183758</c:v>
                      </c:pt>
                      <c:pt idx="353">
                        <c:v>255.38099017148713</c:v>
                      </c:pt>
                      <c:pt idx="354">
                        <c:v>256.20842490267887</c:v>
                      </c:pt>
                      <c:pt idx="355">
                        <c:v>257.03854052344627</c:v>
                      </c:pt>
                      <c:pt idx="356">
                        <c:v>257.87134571987497</c:v>
                      </c:pt>
                      <c:pt idx="357">
                        <c:v>258.70684920619351</c:v>
                      </c:pt>
                      <c:pt idx="358">
                        <c:v>259.54505972486464</c:v>
                      </c:pt>
                      <c:pt idx="359">
                        <c:v>260.38598604667652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Sim'!$D$238</c15:sqref>
                        </c15:formulaRef>
                      </c:ext>
                    </c:extLst>
                    <c:strCache>
                      <c:ptCount val="1"/>
                      <c:pt idx="0">
                        <c:v>Oil/Diesel Linked Gas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Sim'!$E$236:$MZ$236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Sim'!$E$238:$MZ$238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360"/>
                      <c:pt idx="0">
                        <c:v>64.808869991823386</c:v>
                      </c:pt>
                      <c:pt idx="1">
                        <c:v>64.95574854793928</c:v>
                      </c:pt>
                      <c:pt idx="2">
                        <c:v>65.103102990762764</c:v>
                      </c:pt>
                      <c:pt idx="3">
                        <c:v>65.250934862167398</c:v>
                      </c:pt>
                      <c:pt idx="4">
                        <c:v>65.399245709022381</c:v>
                      </c:pt>
                      <c:pt idx="5">
                        <c:v>65.548037083208769</c:v>
                      </c:pt>
                      <c:pt idx="6">
                        <c:v>65.69731054163573</c:v>
                      </c:pt>
                      <c:pt idx="7">
                        <c:v>65.847067646256804</c:v>
                      </c:pt>
                      <c:pt idx="8">
                        <c:v>65.997309964086284</c:v>
                      </c:pt>
                      <c:pt idx="9">
                        <c:v>66.148039067215592</c:v>
                      </c:pt>
                      <c:pt idx="10">
                        <c:v>66.299256532829673</c:v>
                      </c:pt>
                      <c:pt idx="11">
                        <c:v>66.450963943223641</c:v>
                      </c:pt>
                      <c:pt idx="12">
                        <c:v>66.603162885819174</c:v>
                      </c:pt>
                      <c:pt idx="13">
                        <c:v>66.755854953181256</c:v>
                      </c:pt>
                      <c:pt idx="14">
                        <c:v>66.909041743034692</c:v>
                      </c:pt>
                      <c:pt idx="15">
                        <c:v>67.062724858281058</c:v>
                      </c:pt>
                      <c:pt idx="16">
                        <c:v>67.216905907015189</c:v>
                      </c:pt>
                      <c:pt idx="17">
                        <c:v>67.371586502542272</c:v>
                      </c:pt>
                      <c:pt idx="18">
                        <c:v>67.526768263394516</c:v>
                      </c:pt>
                      <c:pt idx="19">
                        <c:v>67.682452813348206</c:v>
                      </c:pt>
                      <c:pt idx="20">
                        <c:v>67.838641781440685</c:v>
                      </c:pt>
                      <c:pt idx="21">
                        <c:v>67.995336801987335</c:v>
                      </c:pt>
                      <c:pt idx="22">
                        <c:v>68.152539514598772</c:v>
                      </c:pt>
                      <c:pt idx="23">
                        <c:v>68.310251564197927</c:v>
                      </c:pt>
                      <c:pt idx="24">
                        <c:v>68.468474601037272</c:v>
                      </c:pt>
                      <c:pt idx="25">
                        <c:v>68.627210280716099</c:v>
                      </c:pt>
                      <c:pt idx="26">
                        <c:v>68.786460264197885</c:v>
                      </c:pt>
                      <c:pt idx="27">
                        <c:v>68.946226217827615</c:v>
                      </c:pt>
                      <c:pt idx="28">
                        <c:v>69.106509813349163</c:v>
                      </c:pt>
                      <c:pt idx="29">
                        <c:v>69.267312727922956</c:v>
                      </c:pt>
                      <c:pt idx="30">
                        <c:v>69.428636644143367</c:v>
                      </c:pt>
                      <c:pt idx="31">
                        <c:v>69.590483250056394</c:v>
                      </c:pt>
                      <c:pt idx="32">
                        <c:v>69.75285423917731</c:v>
                      </c:pt>
                      <c:pt idx="33">
                        <c:v>69.915751310508341</c:v>
                      </c:pt>
                      <c:pt idx="34">
                        <c:v>70.079176168556558</c:v>
                      </c:pt>
                      <c:pt idx="35">
                        <c:v>70.243130523351567</c:v>
                      </c:pt>
                      <c:pt idx="36">
                        <c:v>70.407616090463492</c:v>
                      </c:pt>
                      <c:pt idx="37">
                        <c:v>70.572634591020929</c:v>
                      </c:pt>
                      <c:pt idx="38">
                        <c:v>70.738187751728915</c:v>
                      </c:pt>
                      <c:pt idx="39">
                        <c:v>70.904277304886989</c:v>
                      </c:pt>
                      <c:pt idx="40">
                        <c:v>71.070904988407392</c:v>
                      </c:pt>
                      <c:pt idx="41">
                        <c:v>71.238072545833163</c:v>
                      </c:pt>
                      <c:pt idx="42">
                        <c:v>71.405781726356466</c:v>
                      </c:pt>
                      <c:pt idx="43">
                        <c:v>71.574034284836785</c:v>
                      </c:pt>
                      <c:pt idx="44">
                        <c:v>71.742831981819407</c:v>
                      </c:pt>
                      <c:pt idx="45">
                        <c:v>71.912176583553787</c:v>
                      </c:pt>
                      <c:pt idx="46">
                        <c:v>72.082069862011977</c:v>
                      </c:pt>
                      <c:pt idx="47">
                        <c:v>72.252513594907285</c:v>
                      </c:pt>
                      <c:pt idx="48">
                        <c:v>72.423509565712763</c:v>
                      </c:pt>
                      <c:pt idx="49">
                        <c:v>72.595059563679939</c:v>
                      </c:pt>
                      <c:pt idx="50">
                        <c:v>72.767165383857531</c:v>
                      </c:pt>
                      <c:pt idx="51">
                        <c:v>72.939828827110219</c:v>
                      </c:pt>
                      <c:pt idx="52">
                        <c:v>73.113051700137419</c:v>
                      </c:pt>
                      <c:pt idx="53">
                        <c:v>73.286835815492353</c:v>
                      </c:pt>
                      <c:pt idx="54">
                        <c:v>73.46118299160085</c:v>
                      </c:pt>
                      <c:pt idx="55">
                        <c:v>73.63609505278049</c:v>
                      </c:pt>
                      <c:pt idx="56">
                        <c:v>73.811573829259601</c:v>
                      </c:pt>
                      <c:pt idx="57">
                        <c:v>73.987621157196457</c:v>
                      </c:pt>
                      <c:pt idx="58">
                        <c:v>74.164238878698526</c:v>
                      </c:pt>
                      <c:pt idx="59">
                        <c:v>74.341428841841662</c:v>
                      </c:pt>
                      <c:pt idx="60">
                        <c:v>74.519192900689532</c:v>
                      </c:pt>
                      <c:pt idx="61">
                        <c:v>74.697532915312905</c:v>
                      </c:pt>
                      <c:pt idx="62">
                        <c:v>74.876450751809244</c:v>
                      </c:pt>
                      <c:pt idx="63">
                        <c:v>75.055948282322149</c:v>
                      </c:pt>
                      <c:pt idx="64">
                        <c:v>75.236027385060964</c:v>
                      </c:pt>
                      <c:pt idx="65">
                        <c:v>75.416689944320439</c:v>
                      </c:pt>
                      <c:pt idx="66">
                        <c:v>75.597937850500443</c:v>
                      </c:pt>
                      <c:pt idx="67">
                        <c:v>75.779773000125729</c:v>
                      </c:pt>
                      <c:pt idx="68">
                        <c:v>75.96219729586582</c:v>
                      </c:pt>
                      <c:pt idx="69">
                        <c:v>76.145212646554839</c:v>
                      </c:pt>
                      <c:pt idx="70">
                        <c:v>76.328820967211612</c:v>
                      </c:pt>
                      <c:pt idx="71">
                        <c:v>76.513024179059542</c:v>
                      </c:pt>
                      <c:pt idx="72">
                        <c:v>76.697824209546866</c:v>
                      </c:pt>
                      <c:pt idx="73">
                        <c:v>76.88322299236674</c:v>
                      </c:pt>
                      <c:pt idx="74">
                        <c:v>77.069222467477459</c:v>
                      </c:pt>
                      <c:pt idx="75">
                        <c:v>77.255824581122795</c:v>
                      </c:pt>
                      <c:pt idx="76">
                        <c:v>77.443031285852399</c:v>
                      </c:pt>
                      <c:pt idx="77">
                        <c:v>77.630844540542128</c:v>
                      </c:pt>
                      <c:pt idx="78">
                        <c:v>77.819266310414605</c:v>
                      </c:pt>
                      <c:pt idx="79">
                        <c:v>78.008298567059796</c:v>
                      </c:pt>
                      <c:pt idx="80">
                        <c:v>78.197943288455676</c:v>
                      </c:pt>
                      <c:pt idx="81">
                        <c:v>78.388202458988715</c:v>
                      </c:pt>
                      <c:pt idx="82">
                        <c:v>78.579078069474988</c:v>
                      </c:pt>
                      <c:pt idx="83">
                        <c:v>78.770572117180635</c:v>
                      </c:pt>
                      <c:pt idx="84">
                        <c:v>78.962686605843089</c:v>
                      </c:pt>
                      <c:pt idx="85">
                        <c:v>79.155423545691818</c:v>
                      </c:pt>
                      <c:pt idx="86">
                        <c:v>79.348784953469462</c:v>
                      </c:pt>
                      <c:pt idx="87">
                        <c:v>79.542772852452885</c:v>
                      </c:pt>
                      <c:pt idx="88">
                        <c:v>79.737389272474374</c:v>
                      </c:pt>
                      <c:pt idx="89">
                        <c:v>79.932636249942931</c:v>
                      </c:pt>
                      <c:pt idx="90">
                        <c:v>80.128515827865456</c:v>
                      </c:pt>
                      <c:pt idx="91">
                        <c:v>80.325030055868211</c:v>
                      </c:pt>
                      <c:pt idx="92">
                        <c:v>80.522180990218288</c:v>
                      </c:pt>
                      <c:pt idx="93">
                        <c:v>80.719970693845028</c:v>
                      </c:pt>
                      <c:pt idx="94">
                        <c:v>80.918401236361703</c:v>
                      </c:pt>
                      <c:pt idx="95">
                        <c:v>81.117474694087122</c:v>
                      </c:pt>
                      <c:pt idx="96">
                        <c:v>81.317193150067411</c:v>
                      </c:pt>
                      <c:pt idx="97">
                        <c:v>81.517558694097687</c:v>
                      </c:pt>
                      <c:pt idx="98">
                        <c:v>81.718573422744072</c:v>
                      </c:pt>
                      <c:pt idx="99">
                        <c:v>81.920239439365517</c:v>
                      </c:pt>
                      <c:pt idx="100">
                        <c:v>82.122558854135917</c:v>
                      </c:pt>
                      <c:pt idx="101">
                        <c:v>82.325533784066096</c:v>
                      </c:pt>
                      <c:pt idx="102">
                        <c:v>82.529166353026</c:v>
                      </c:pt>
                      <c:pt idx="103">
                        <c:v>82.733458691766899</c:v>
                      </c:pt>
                      <c:pt idx="104">
                        <c:v>82.938412937943752</c:v>
                      </c:pt>
                      <c:pt idx="105">
                        <c:v>83.144031236137451</c:v>
                      </c:pt>
                      <c:pt idx="106">
                        <c:v>83.350315737877409</c:v>
                      </c:pt>
                      <c:pt idx="107">
                        <c:v>83.557268601663921</c:v>
                      </c:pt>
                      <c:pt idx="108">
                        <c:v>83.764891992990883</c:v>
                      </c:pt>
                      <c:pt idx="109">
                        <c:v>83.97318808436836</c:v>
                      </c:pt>
                      <c:pt idx="110">
                        <c:v>84.182159055345394</c:v>
                      </c:pt>
                      <c:pt idx="111">
                        <c:v>84.39180709253273</c:v>
                      </c:pt>
                      <c:pt idx="112">
                        <c:v>84.602134389625718</c:v>
                      </c:pt>
                      <c:pt idx="113">
                        <c:v>84.81314314742734</c:v>
                      </c:pt>
                      <c:pt idx="114">
                        <c:v>85.024835573871144</c:v>
                      </c:pt>
                      <c:pt idx="115">
                        <c:v>85.237213884044408</c:v>
                      </c:pt>
                      <c:pt idx="116">
                        <c:v>85.45028030021129</c:v>
                      </c:pt>
                      <c:pt idx="117">
                        <c:v>85.664037051836047</c:v>
                      </c:pt>
                      <c:pt idx="118">
                        <c:v>85.878486375606442</c:v>
                      </c:pt>
                      <c:pt idx="119">
                        <c:v>86.093630515457136</c:v>
                      </c:pt>
                      <c:pt idx="120">
                        <c:v>86.309471722593088</c:v>
                      </c:pt>
                      <c:pt idx="121">
                        <c:v>86.52601225551318</c:v>
                      </c:pt>
                      <c:pt idx="122">
                        <c:v>86.74325438003379</c:v>
                      </c:pt>
                      <c:pt idx="123">
                        <c:v>86.961200369312692</c:v>
                      </c:pt>
                      <c:pt idx="124">
                        <c:v>87.179852503872553</c:v>
                      </c:pt>
                      <c:pt idx="125">
                        <c:v>87.399213071624942</c:v>
                      </c:pt>
                      <c:pt idx="126">
                        <c:v>87.619284367894295</c:v>
                      </c:pt>
                      <c:pt idx="127">
                        <c:v>87.840068695441971</c:v>
                      </c:pt>
                      <c:pt idx="128">
                        <c:v>88.061568364490171</c:v>
                      </c:pt>
                      <c:pt idx="129">
                        <c:v>88.28378569274625</c:v>
                      </c:pt>
                      <c:pt idx="130">
                        <c:v>88.506723005426977</c:v>
                      </c:pt>
                      <c:pt idx="131">
                        <c:v>88.730382635282794</c:v>
                      </c:pt>
                      <c:pt idx="132">
                        <c:v>88.954766922622269</c:v>
                      </c:pt>
                      <c:pt idx="133">
                        <c:v>89.179878215336515</c:v>
                      </c:pt>
                      <c:pt idx="134">
                        <c:v>89.405718868923913</c:v>
                      </c:pt>
                      <c:pt idx="135">
                        <c:v>89.632291246514612</c:v>
                      </c:pt>
                      <c:pt idx="136">
                        <c:v>89.859597718895301</c:v>
                      </c:pt>
                      <c:pt idx="137">
                        <c:v>90.087640664534021</c:v>
                      </c:pt>
                      <c:pt idx="138">
                        <c:v>90.316422469605044</c:v>
                      </c:pt>
                      <c:pt idx="139">
                        <c:v>90.545945528013931</c:v>
                      </c:pt>
                      <c:pt idx="140">
                        <c:v>90.776212241422357</c:v>
                      </c:pt>
                      <c:pt idx="141">
                        <c:v>91.007225019273534</c:v>
                      </c:pt>
                      <c:pt idx="142">
                        <c:v>91.238986278817137</c:v>
                      </c:pt>
                      <c:pt idx="143">
                        <c:v>91.471498445134785</c:v>
                      </c:pt>
                      <c:pt idx="144">
                        <c:v>91.704763951165475</c:v>
                      </c:pt>
                      <c:pt idx="145">
                        <c:v>91.938785237730727</c:v>
                      </c:pt>
                      <c:pt idx="146">
                        <c:v>92.173564753560484</c:v>
                      </c:pt>
                      <c:pt idx="147">
                        <c:v>92.409104955318512</c:v>
                      </c:pt>
                      <c:pt idx="148">
                        <c:v>92.645408307628159</c:v>
                      </c:pt>
                      <c:pt idx="149">
                        <c:v>92.882477283098183</c:v>
                      </c:pt>
                      <c:pt idx="150">
                        <c:v>93.120314362348623</c:v>
                      </c:pt>
                      <c:pt idx="151">
                        <c:v>93.358922034036681</c:v>
                      </c:pt>
                      <c:pt idx="152">
                        <c:v>93.598302794882798</c:v>
                      </c:pt>
                      <c:pt idx="153">
                        <c:v>93.838459149696902</c:v>
                      </c:pt>
                      <c:pt idx="154">
                        <c:v>94.079393611404342</c:v>
                      </c:pt>
                      <c:pt idx="155">
                        <c:v>94.32110870107249</c:v>
                      </c:pt>
                      <c:pt idx="156">
                        <c:v>94.563606947936904</c:v>
                      </c:pt>
                      <c:pt idx="157">
                        <c:v>94.806890889427919</c:v>
                      </c:pt>
                      <c:pt idx="158">
                        <c:v>95.050963071197074</c:v>
                      </c:pt>
                      <c:pt idx="159">
                        <c:v>95.29582604714389</c:v>
                      </c:pt>
                      <c:pt idx="160">
                        <c:v>95.541482379442527</c:v>
                      </c:pt>
                      <c:pt idx="161">
                        <c:v>95.78793463856853</c:v>
                      </c:pt>
                      <c:pt idx="162">
                        <c:v>96.035185403325869</c:v>
                      </c:pt>
                      <c:pt idx="163">
                        <c:v>96.283237260873761</c:v>
                      </c:pt>
                      <c:pt idx="164">
                        <c:v>96.532092806753894</c:v>
                      </c:pt>
                      <c:pt idx="165">
                        <c:v>96.781754644917427</c:v>
                      </c:pt>
                      <c:pt idx="166">
                        <c:v>97.032225387752447</c:v>
                      </c:pt>
                      <c:pt idx="167">
                        <c:v>97.283507656111041</c:v>
                      </c:pt>
                      <c:pt idx="168">
                        <c:v>97.535604079336963</c:v>
                      </c:pt>
                      <c:pt idx="169">
                        <c:v>97.788517295293047</c:v>
                      </c:pt>
                      <c:pt idx="170">
                        <c:v>98.042249950388722</c:v>
                      </c:pt>
                      <c:pt idx="171">
                        <c:v>98.29680469960789</c:v>
                      </c:pt>
                      <c:pt idx="172">
                        <c:v>98.552184206536481</c:v>
                      </c:pt>
                      <c:pt idx="173">
                        <c:v>98.808391143390566</c:v>
                      </c:pt>
                      <c:pt idx="174">
                        <c:v>99.065428191044163</c:v>
                      </c:pt>
                      <c:pt idx="175">
                        <c:v>99.323298039057278</c:v>
                      </c:pt>
                      <c:pt idx="176">
                        <c:v>99.582003385704127</c:v>
                      </c:pt>
                      <c:pt idx="177">
                        <c:v>99.841546938001358</c:v>
                      </c:pt>
                      <c:pt idx="178">
                        <c:v>100.10193141173635</c:v>
                      </c:pt>
                      <c:pt idx="179">
                        <c:v>100.36315953149561</c:v>
                      </c:pt>
                      <c:pt idx="180">
                        <c:v>100.62523403069326</c:v>
                      </c:pt>
                      <c:pt idx="181">
                        <c:v>100.88815765159987</c:v>
                      </c:pt>
                      <c:pt idx="182">
                        <c:v>101.15193314537076</c:v>
                      </c:pt>
                      <c:pt idx="183">
                        <c:v>101.41656327207514</c:v>
                      </c:pt>
                      <c:pt idx="184">
                        <c:v>101.6820508007248</c:v>
                      </c:pt>
                      <c:pt idx="185">
                        <c:v>101.9483985093031</c:v>
                      </c:pt>
                      <c:pt idx="186">
                        <c:v>102.21560918479408</c:v>
                      </c:pt>
                      <c:pt idx="187">
                        <c:v>102.48368562321166</c:v>
                      </c:pt>
                      <c:pt idx="188">
                        <c:v>102.75263062962877</c:v>
                      </c:pt>
                      <c:pt idx="189">
                        <c:v>103.02244701820695</c:v>
                      </c:pt>
                      <c:pt idx="190">
                        <c:v>103.29313761222538</c:v>
                      </c:pt>
                      <c:pt idx="191">
                        <c:v>103.56470524411083</c:v>
                      </c:pt>
                      <c:pt idx="192">
                        <c:v>103.83715275546705</c:v>
                      </c:pt>
                      <c:pt idx="193">
                        <c:v>104.11048299710477</c:v>
                      </c:pt>
                      <c:pt idx="194">
                        <c:v>104.3846988290711</c:v>
                      </c:pt>
                      <c:pt idx="195">
                        <c:v>104.65980312067985</c:v>
                      </c:pt>
                      <c:pt idx="196">
                        <c:v>104.93579875054138</c:v>
                      </c:pt>
                      <c:pt idx="197">
                        <c:v>105.21268860659279</c:v>
                      </c:pt>
                      <c:pt idx="198">
                        <c:v>105.49047558612808</c:v>
                      </c:pt>
                      <c:pt idx="199">
                        <c:v>105.7691625958284</c:v>
                      </c:pt>
                      <c:pt idx="200">
                        <c:v>106.04875255179272</c:v>
                      </c:pt>
                      <c:pt idx="201">
                        <c:v>106.32924837956799</c:v>
                      </c:pt>
                      <c:pt idx="202">
                        <c:v>106.61065301418004</c:v>
                      </c:pt>
                      <c:pt idx="203">
                        <c:v>106.8929694001642</c:v>
                      </c:pt>
                      <c:pt idx="204">
                        <c:v>107.17620049159609</c:v>
                      </c:pt>
                      <c:pt idx="205">
                        <c:v>107.46034925212241</c:v>
                      </c:pt>
                      <c:pt idx="206">
                        <c:v>107.74541865499229</c:v>
                      </c:pt>
                      <c:pt idx="207">
                        <c:v>108.03141168308808</c:v>
                      </c:pt>
                      <c:pt idx="208">
                        <c:v>108.31833132895665</c:v>
                      </c:pt>
                      <c:pt idx="209">
                        <c:v>108.60618059484075</c:v>
                      </c:pt>
                      <c:pt idx="210">
                        <c:v>108.89496249271042</c:v>
                      </c:pt>
                      <c:pt idx="211">
                        <c:v>109.1846800442945</c:v>
                      </c:pt>
                      <c:pt idx="212">
                        <c:v>109.47533628111216</c:v>
                      </c:pt>
                      <c:pt idx="213">
                        <c:v>109.76693424450477</c:v>
                      </c:pt>
                      <c:pt idx="214">
                        <c:v>110.05947698566763</c:v>
                      </c:pt>
                      <c:pt idx="215">
                        <c:v>110.35296756568187</c:v>
                      </c:pt>
                      <c:pt idx="216">
                        <c:v>110.64740905554662</c:v>
                      </c:pt>
                      <c:pt idx="217">
                        <c:v>110.94280453621097</c:v>
                      </c:pt>
                      <c:pt idx="218">
                        <c:v>111.23915709860633</c:v>
                      </c:pt>
                      <c:pt idx="219">
                        <c:v>111.5364698436787</c:v>
                      </c:pt>
                      <c:pt idx="220">
                        <c:v>111.83474588242119</c:v>
                      </c:pt>
                      <c:pt idx="221">
                        <c:v>112.13398833590651</c:v>
                      </c:pt>
                      <c:pt idx="222">
                        <c:v>112.43420033531963</c:v>
                      </c:pt>
                      <c:pt idx="223">
                        <c:v>112.73538502199057</c:v>
                      </c:pt>
                      <c:pt idx="224">
                        <c:v>113.03754554742736</c:v>
                      </c:pt>
                      <c:pt idx="225">
                        <c:v>113.34068507334875</c:v>
                      </c:pt>
                      <c:pt idx="226">
                        <c:v>113.64480677171753</c:v>
                      </c:pt>
                      <c:pt idx="227">
                        <c:v>113.94991382477374</c:v>
                      </c:pt>
                      <c:pt idx="228">
                        <c:v>114.2560094250678</c:v>
                      </c:pt>
                      <c:pt idx="229">
                        <c:v>114.56309677549397</c:v>
                      </c:pt>
                      <c:pt idx="230">
                        <c:v>114.87117908932402</c:v>
                      </c:pt>
                      <c:pt idx="231">
                        <c:v>115.18025959024051</c:v>
                      </c:pt>
                      <c:pt idx="232">
                        <c:v>115.49034151237095</c:v>
                      </c:pt>
                      <c:pt idx="233">
                        <c:v>115.80142810032133</c:v>
                      </c:pt>
                      <c:pt idx="234">
                        <c:v>116.11352260921016</c:v>
                      </c:pt>
                      <c:pt idx="235">
                        <c:v>116.42662830470258</c:v>
                      </c:pt>
                      <c:pt idx="236">
                        <c:v>116.74074846304444</c:v>
                      </c:pt>
                      <c:pt idx="237">
                        <c:v>117.05588637109665</c:v>
                      </c:pt>
                      <c:pt idx="238">
                        <c:v>117.3720453263696</c:v>
                      </c:pt>
                      <c:pt idx="239">
                        <c:v>117.68922863705751</c:v>
                      </c:pt>
                      <c:pt idx="240">
                        <c:v>118.00743962207332</c:v>
                      </c:pt>
                      <c:pt idx="241">
                        <c:v>118.32668161108305</c:v>
                      </c:pt>
                      <c:pt idx="242">
                        <c:v>118.64695794454099</c:v>
                      </c:pt>
                      <c:pt idx="243">
                        <c:v>118.96827197372446</c:v>
                      </c:pt>
                      <c:pt idx="244">
                        <c:v>119.2906270607689</c:v>
                      </c:pt>
                      <c:pt idx="245">
                        <c:v>119.61402657870315</c:v>
                      </c:pt>
                      <c:pt idx="246">
                        <c:v>119.93847391148455</c:v>
                      </c:pt>
                      <c:pt idx="247">
                        <c:v>120.2639724540346</c:v>
                      </c:pt>
                      <c:pt idx="248">
                        <c:v>120.59052561227425</c:v>
                      </c:pt>
                      <c:pt idx="249">
                        <c:v>120.91813680315963</c:v>
                      </c:pt>
                      <c:pt idx="250">
                        <c:v>121.24680945471786</c:v>
                      </c:pt>
                      <c:pt idx="251">
                        <c:v>121.57654700608293</c:v>
                      </c:pt>
                      <c:pt idx="252">
                        <c:v>121.90735290753148</c:v>
                      </c:pt>
                      <c:pt idx="253">
                        <c:v>122.23923062051917</c:v>
                      </c:pt>
                      <c:pt idx="254">
                        <c:v>122.57218361771673</c:v>
                      </c:pt>
                      <c:pt idx="255">
                        <c:v>122.90621538304639</c:v>
                      </c:pt>
                      <c:pt idx="256">
                        <c:v>123.24132941171825</c:v>
                      </c:pt>
                      <c:pt idx="257">
                        <c:v>123.57752921026687</c:v>
                      </c:pt>
                      <c:pt idx="258">
                        <c:v>123.91481829658805</c:v>
                      </c:pt>
                      <c:pt idx="259">
                        <c:v>124.25320019997555</c:v>
                      </c:pt>
                      <c:pt idx="260">
                        <c:v>124.59267846115807</c:v>
                      </c:pt>
                      <c:pt idx="261">
                        <c:v>124.93325663233627</c:v>
                      </c:pt>
                      <c:pt idx="262">
                        <c:v>125.2749382772198</c:v>
                      </c:pt>
                      <c:pt idx="263">
                        <c:v>125.61772697106501</c:v>
                      </c:pt>
                      <c:pt idx="264">
                        <c:v>125.96162630071188</c:v>
                      </c:pt>
                      <c:pt idx="265">
                        <c:v>126.3066398646218</c:v>
                      </c:pt>
                      <c:pt idx="266">
                        <c:v>126.65277127291522</c:v>
                      </c:pt>
                      <c:pt idx="267">
                        <c:v>127.00002414740931</c:v>
                      </c:pt>
                      <c:pt idx="268">
                        <c:v>127.34840212165602</c:v>
                      </c:pt>
                      <c:pt idx="269">
                        <c:v>127.69790884097998</c:v>
                      </c:pt>
                      <c:pt idx="270">
                        <c:v>128.04854796251664</c:v>
                      </c:pt>
                      <c:pt idx="271">
                        <c:v>128.40032315525053</c:v>
                      </c:pt>
                      <c:pt idx="272">
                        <c:v>128.75323810005398</c:v>
                      </c:pt>
                      <c:pt idx="273">
                        <c:v>129.10729648972492</c:v>
                      </c:pt>
                      <c:pt idx="274">
                        <c:v>129.46250202902627</c:v>
                      </c:pt>
                      <c:pt idx="275">
                        <c:v>129.81885843472426</c:v>
                      </c:pt>
                      <c:pt idx="276">
                        <c:v>130.17636943562741</c:v>
                      </c:pt>
                      <c:pt idx="277">
                        <c:v>130.5350387726258</c:v>
                      </c:pt>
                      <c:pt idx="278">
                        <c:v>130.89487019872971</c:v>
                      </c:pt>
                      <c:pt idx="279">
                        <c:v>131.25586747910938</c:v>
                      </c:pt>
                      <c:pt idx="280">
                        <c:v>131.61803439113407</c:v>
                      </c:pt>
                      <c:pt idx="281">
                        <c:v>131.98137472441186</c:v>
                      </c:pt>
                      <c:pt idx="282">
                        <c:v>132.34589228082908</c:v>
                      </c:pt>
                      <c:pt idx="283">
                        <c:v>132.71159087459017</c:v>
                      </c:pt>
                      <c:pt idx="284">
                        <c:v>133.07847433225763</c:v>
                      </c:pt>
                      <c:pt idx="285">
                        <c:v>133.44654649279195</c:v>
                      </c:pt>
                      <c:pt idx="286">
                        <c:v>133.81581120759205</c:v>
                      </c:pt>
                      <c:pt idx="287">
                        <c:v>134.18627234053514</c:v>
                      </c:pt>
                      <c:pt idx="288">
                        <c:v>134.55793376801762</c:v>
                      </c:pt>
                      <c:pt idx="289">
                        <c:v>134.93079937899523</c:v>
                      </c:pt>
                      <c:pt idx="290">
                        <c:v>135.30487307502406</c:v>
                      </c:pt>
                      <c:pt idx="291">
                        <c:v>135.6801587703012</c:v>
                      </c:pt>
                      <c:pt idx="292">
                        <c:v>136.05666039170572</c:v>
                      </c:pt>
                      <c:pt idx="293">
                        <c:v>136.43438187883987</c:v>
                      </c:pt>
                      <c:pt idx="294">
                        <c:v>136.81332718407012</c:v>
                      </c:pt>
                      <c:pt idx="295">
                        <c:v>137.19350027256866</c:v>
                      </c:pt>
                      <c:pt idx="296">
                        <c:v>137.57490512235481</c:v>
                      </c:pt>
                      <c:pt idx="297">
                        <c:v>137.95754572433665</c:v>
                      </c:pt>
                      <c:pt idx="298">
                        <c:v>138.341426082353</c:v>
                      </c:pt>
                      <c:pt idx="299">
                        <c:v>138.72655021321486</c:v>
                      </c:pt>
                      <c:pt idx="300">
                        <c:v>139.11292214674791</c:v>
                      </c:pt>
                      <c:pt idx="301">
                        <c:v>139.5005459258343</c:v>
                      </c:pt>
                      <c:pt idx="302">
                        <c:v>139.88942560645526</c:v>
                      </c:pt>
                      <c:pt idx="303">
                        <c:v>140.27956525773331</c:v>
                      </c:pt>
                      <c:pt idx="304">
                        <c:v>140.67096896197498</c:v>
                      </c:pt>
                      <c:pt idx="305">
                        <c:v>141.06364081471352</c:v>
                      </c:pt>
                      <c:pt idx="306">
                        <c:v>141.45758492475161</c:v>
                      </c:pt>
                      <c:pt idx="307">
                        <c:v>141.85280541420457</c:v>
                      </c:pt>
                      <c:pt idx="308">
                        <c:v>142.24930641854326</c:v>
                      </c:pt>
                      <c:pt idx="309">
                        <c:v>142.64709208663754</c:v>
                      </c:pt>
                      <c:pt idx="310">
                        <c:v>143.04616658079959</c:v>
                      </c:pt>
                      <c:pt idx="311">
                        <c:v>143.44653407682756</c:v>
                      </c:pt>
                      <c:pt idx="312">
                        <c:v>143.84819876404907</c:v>
                      </c:pt>
                      <c:pt idx="313">
                        <c:v>144.25116484536525</c:v>
                      </c:pt>
                      <c:pt idx="314">
                        <c:v>144.65543653729463</c:v>
                      </c:pt>
                      <c:pt idx="315">
                        <c:v>145.06101807001724</c:v>
                      </c:pt>
                      <c:pt idx="316">
                        <c:v>145.46791368741887</c:v>
                      </c:pt>
                      <c:pt idx="317">
                        <c:v>145.87612764713558</c:v>
                      </c:pt>
                      <c:pt idx="318">
                        <c:v>146.28566422059814</c:v>
                      </c:pt>
                      <c:pt idx="319">
                        <c:v>146.69652769307675</c:v>
                      </c:pt>
                      <c:pt idx="320">
                        <c:v>147.10872236372592</c:v>
                      </c:pt>
                      <c:pt idx="321">
                        <c:v>147.52225254562933</c:v>
                      </c:pt>
                      <c:pt idx="322">
                        <c:v>147.93712256584521</c:v>
                      </c:pt>
                      <c:pt idx="323">
                        <c:v>148.35333676545136</c:v>
                      </c:pt>
                      <c:pt idx="324">
                        <c:v>148.77089949959077</c:v>
                      </c:pt>
                      <c:pt idx="325">
                        <c:v>149.18981513751694</c:v>
                      </c:pt>
                      <c:pt idx="326">
                        <c:v>149.61008806263985</c:v>
                      </c:pt>
                      <c:pt idx="327">
                        <c:v>150.03172267257182</c:v>
                      </c:pt>
                      <c:pt idx="328">
                        <c:v>150.45472337917326</c:v>
                      </c:pt>
                      <c:pt idx="329">
                        <c:v>150.87909460859916</c:v>
                      </c:pt>
                      <c:pt idx="330">
                        <c:v>151.30484080134519</c:v>
                      </c:pt>
                      <c:pt idx="331">
                        <c:v>151.73196641229427</c:v>
                      </c:pt>
                      <c:pt idx="332">
                        <c:v>152.1604759107631</c:v>
                      </c:pt>
                      <c:pt idx="333">
                        <c:v>152.59037378054899</c:v>
                      </c:pt>
                      <c:pt idx="334">
                        <c:v>153.02166451997678</c:v>
                      </c:pt>
                      <c:pt idx="335">
                        <c:v>153.45435264194586</c:v>
                      </c:pt>
                      <c:pt idx="336">
                        <c:v>153.88844267397744</c:v>
                      </c:pt>
                      <c:pt idx="337">
                        <c:v>154.32393915826191</c:v>
                      </c:pt>
                      <c:pt idx="338">
                        <c:v>154.76084665170629</c:v>
                      </c:pt>
                      <c:pt idx="339">
                        <c:v>155.1991697259821</c:v>
                      </c:pt>
                      <c:pt idx="340">
                        <c:v>155.63891296757302</c:v>
                      </c:pt>
                      <c:pt idx="341">
                        <c:v>156.08008097782292</c:v>
                      </c:pt>
                      <c:pt idx="342">
                        <c:v>156.52267837298405</c:v>
                      </c:pt>
                      <c:pt idx="343">
                        <c:v>156.96670978426536</c:v>
                      </c:pt>
                      <c:pt idx="344">
                        <c:v>157.41217985788091</c:v>
                      </c:pt>
                      <c:pt idx="345">
                        <c:v>157.85909325509843</c:v>
                      </c:pt>
                      <c:pt idx="346">
                        <c:v>158.30745465228827</c:v>
                      </c:pt>
                      <c:pt idx="347">
                        <c:v>158.75726874097214</c:v>
                      </c:pt>
                      <c:pt idx="348">
                        <c:v>159.20854022787231</c:v>
                      </c:pt>
                      <c:pt idx="349">
                        <c:v>159.66127383496084</c:v>
                      </c:pt>
                      <c:pt idx="350">
                        <c:v>160.11547429950903</c:v>
                      </c:pt>
                      <c:pt idx="351">
                        <c:v>160.57114637413687</c:v>
                      </c:pt>
                      <c:pt idx="352">
                        <c:v>161.02829482686289</c:v>
                      </c:pt>
                      <c:pt idx="353">
                        <c:v>161.48692444115403</c:v>
                      </c:pt>
                      <c:pt idx="354">
                        <c:v>161.9470400159756</c:v>
                      </c:pt>
                      <c:pt idx="355">
                        <c:v>162.40864636584161</c:v>
                      </c:pt>
                      <c:pt idx="356">
                        <c:v>162.87174832086504</c:v>
                      </c:pt>
                      <c:pt idx="357">
                        <c:v>163.33635072680858</c:v>
                      </c:pt>
                      <c:pt idx="358">
                        <c:v>163.80245844513502</c:v>
                      </c:pt>
                      <c:pt idx="359">
                        <c:v>164.27007635305841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Sim'!$D$240</c15:sqref>
                        </c15:formulaRef>
                      </c:ext>
                    </c:extLst>
                    <c:strCache>
                      <c:ptCount val="1"/>
                      <c:pt idx="0">
                        <c:v>RE PPA Weighted 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Sim'!$E$236:$MZ$236</c15:sqref>
                        </c15:formulaRef>
                      </c:ext>
                    </c:extLst>
                    <c:numCache>
                      <c:formatCode>m/d/yyyy</c:formatCode>
                      <c:ptCount val="360"/>
                      <c:pt idx="0">
                        <c:v>42156</c:v>
                      </c:pt>
                      <c:pt idx="1">
                        <c:v>42186</c:v>
                      </c:pt>
                      <c:pt idx="2">
                        <c:v>42217</c:v>
                      </c:pt>
                      <c:pt idx="3">
                        <c:v>42248</c:v>
                      </c:pt>
                      <c:pt idx="4">
                        <c:v>42278</c:v>
                      </c:pt>
                      <c:pt idx="5">
                        <c:v>42309</c:v>
                      </c:pt>
                      <c:pt idx="6">
                        <c:v>42339</c:v>
                      </c:pt>
                      <c:pt idx="7">
                        <c:v>42370</c:v>
                      </c:pt>
                      <c:pt idx="8">
                        <c:v>42401</c:v>
                      </c:pt>
                      <c:pt idx="9">
                        <c:v>42430</c:v>
                      </c:pt>
                      <c:pt idx="10">
                        <c:v>42461</c:v>
                      </c:pt>
                      <c:pt idx="11">
                        <c:v>42491</c:v>
                      </c:pt>
                      <c:pt idx="12">
                        <c:v>42522</c:v>
                      </c:pt>
                      <c:pt idx="13">
                        <c:v>42552</c:v>
                      </c:pt>
                      <c:pt idx="14">
                        <c:v>42583</c:v>
                      </c:pt>
                      <c:pt idx="15">
                        <c:v>42614</c:v>
                      </c:pt>
                      <c:pt idx="16">
                        <c:v>42644</c:v>
                      </c:pt>
                      <c:pt idx="17">
                        <c:v>42675</c:v>
                      </c:pt>
                      <c:pt idx="18">
                        <c:v>42705</c:v>
                      </c:pt>
                      <c:pt idx="19">
                        <c:v>42736</c:v>
                      </c:pt>
                      <c:pt idx="20">
                        <c:v>42767</c:v>
                      </c:pt>
                      <c:pt idx="21">
                        <c:v>42795</c:v>
                      </c:pt>
                      <c:pt idx="22">
                        <c:v>42826</c:v>
                      </c:pt>
                      <c:pt idx="23">
                        <c:v>42856</c:v>
                      </c:pt>
                      <c:pt idx="24">
                        <c:v>42887</c:v>
                      </c:pt>
                      <c:pt idx="25">
                        <c:v>42917</c:v>
                      </c:pt>
                      <c:pt idx="26">
                        <c:v>42948</c:v>
                      </c:pt>
                      <c:pt idx="27">
                        <c:v>42979</c:v>
                      </c:pt>
                      <c:pt idx="28">
                        <c:v>43009</c:v>
                      </c:pt>
                      <c:pt idx="29">
                        <c:v>43040</c:v>
                      </c:pt>
                      <c:pt idx="30">
                        <c:v>43070</c:v>
                      </c:pt>
                      <c:pt idx="31">
                        <c:v>43101</c:v>
                      </c:pt>
                      <c:pt idx="32">
                        <c:v>43132</c:v>
                      </c:pt>
                      <c:pt idx="33">
                        <c:v>43160</c:v>
                      </c:pt>
                      <c:pt idx="34">
                        <c:v>43191</c:v>
                      </c:pt>
                      <c:pt idx="35">
                        <c:v>43221</c:v>
                      </c:pt>
                      <c:pt idx="36">
                        <c:v>43252</c:v>
                      </c:pt>
                      <c:pt idx="37">
                        <c:v>43282</c:v>
                      </c:pt>
                      <c:pt idx="38">
                        <c:v>43313</c:v>
                      </c:pt>
                      <c:pt idx="39">
                        <c:v>43344</c:v>
                      </c:pt>
                      <c:pt idx="40">
                        <c:v>43374</c:v>
                      </c:pt>
                      <c:pt idx="41">
                        <c:v>43405</c:v>
                      </c:pt>
                      <c:pt idx="42">
                        <c:v>43435</c:v>
                      </c:pt>
                      <c:pt idx="43">
                        <c:v>43466</c:v>
                      </c:pt>
                      <c:pt idx="44">
                        <c:v>43497</c:v>
                      </c:pt>
                      <c:pt idx="45">
                        <c:v>43525</c:v>
                      </c:pt>
                      <c:pt idx="46">
                        <c:v>43556</c:v>
                      </c:pt>
                      <c:pt idx="47">
                        <c:v>43586</c:v>
                      </c:pt>
                      <c:pt idx="48">
                        <c:v>43617</c:v>
                      </c:pt>
                      <c:pt idx="49">
                        <c:v>43647</c:v>
                      </c:pt>
                      <c:pt idx="50">
                        <c:v>43678</c:v>
                      </c:pt>
                      <c:pt idx="51">
                        <c:v>43709</c:v>
                      </c:pt>
                      <c:pt idx="52">
                        <c:v>43739</c:v>
                      </c:pt>
                      <c:pt idx="53">
                        <c:v>43770</c:v>
                      </c:pt>
                      <c:pt idx="54">
                        <c:v>43800</c:v>
                      </c:pt>
                      <c:pt idx="55">
                        <c:v>43831</c:v>
                      </c:pt>
                      <c:pt idx="56">
                        <c:v>43862</c:v>
                      </c:pt>
                      <c:pt idx="57">
                        <c:v>43891</c:v>
                      </c:pt>
                      <c:pt idx="58">
                        <c:v>43922</c:v>
                      </c:pt>
                      <c:pt idx="59">
                        <c:v>43952</c:v>
                      </c:pt>
                      <c:pt idx="60">
                        <c:v>43983</c:v>
                      </c:pt>
                      <c:pt idx="61">
                        <c:v>44013</c:v>
                      </c:pt>
                      <c:pt idx="62">
                        <c:v>44044</c:v>
                      </c:pt>
                      <c:pt idx="63">
                        <c:v>44075</c:v>
                      </c:pt>
                      <c:pt idx="64">
                        <c:v>44105</c:v>
                      </c:pt>
                      <c:pt idx="65">
                        <c:v>44136</c:v>
                      </c:pt>
                      <c:pt idx="66">
                        <c:v>44166</c:v>
                      </c:pt>
                      <c:pt idx="67">
                        <c:v>44197</c:v>
                      </c:pt>
                      <c:pt idx="68">
                        <c:v>44228</c:v>
                      </c:pt>
                      <c:pt idx="69">
                        <c:v>44256</c:v>
                      </c:pt>
                      <c:pt idx="70">
                        <c:v>44287</c:v>
                      </c:pt>
                      <c:pt idx="71">
                        <c:v>44317</c:v>
                      </c:pt>
                      <c:pt idx="72">
                        <c:v>44348</c:v>
                      </c:pt>
                      <c:pt idx="73">
                        <c:v>44378</c:v>
                      </c:pt>
                      <c:pt idx="74">
                        <c:v>44409</c:v>
                      </c:pt>
                      <c:pt idx="75">
                        <c:v>44440</c:v>
                      </c:pt>
                      <c:pt idx="76">
                        <c:v>44470</c:v>
                      </c:pt>
                      <c:pt idx="77">
                        <c:v>44501</c:v>
                      </c:pt>
                      <c:pt idx="78">
                        <c:v>44531</c:v>
                      </c:pt>
                      <c:pt idx="79">
                        <c:v>44562</c:v>
                      </c:pt>
                      <c:pt idx="80">
                        <c:v>44593</c:v>
                      </c:pt>
                      <c:pt idx="81">
                        <c:v>44621</c:v>
                      </c:pt>
                      <c:pt idx="82">
                        <c:v>44652</c:v>
                      </c:pt>
                      <c:pt idx="83">
                        <c:v>44682</c:v>
                      </c:pt>
                      <c:pt idx="84">
                        <c:v>44713</c:v>
                      </c:pt>
                      <c:pt idx="85">
                        <c:v>44743</c:v>
                      </c:pt>
                      <c:pt idx="86">
                        <c:v>44774</c:v>
                      </c:pt>
                      <c:pt idx="87">
                        <c:v>44805</c:v>
                      </c:pt>
                      <c:pt idx="88">
                        <c:v>44835</c:v>
                      </c:pt>
                      <c:pt idx="89">
                        <c:v>44866</c:v>
                      </c:pt>
                      <c:pt idx="90">
                        <c:v>44896</c:v>
                      </c:pt>
                      <c:pt idx="91">
                        <c:v>44927</c:v>
                      </c:pt>
                      <c:pt idx="92">
                        <c:v>44958</c:v>
                      </c:pt>
                      <c:pt idx="93">
                        <c:v>44986</c:v>
                      </c:pt>
                      <c:pt idx="94">
                        <c:v>45017</c:v>
                      </c:pt>
                      <c:pt idx="95">
                        <c:v>45047</c:v>
                      </c:pt>
                      <c:pt idx="96">
                        <c:v>45078</c:v>
                      </c:pt>
                      <c:pt idx="97">
                        <c:v>45108</c:v>
                      </c:pt>
                      <c:pt idx="98">
                        <c:v>45139</c:v>
                      </c:pt>
                      <c:pt idx="99">
                        <c:v>45170</c:v>
                      </c:pt>
                      <c:pt idx="100">
                        <c:v>45200</c:v>
                      </c:pt>
                      <c:pt idx="101">
                        <c:v>45231</c:v>
                      </c:pt>
                      <c:pt idx="102">
                        <c:v>45261</c:v>
                      </c:pt>
                      <c:pt idx="103">
                        <c:v>45292</c:v>
                      </c:pt>
                      <c:pt idx="104">
                        <c:v>45323</c:v>
                      </c:pt>
                      <c:pt idx="105">
                        <c:v>45352</c:v>
                      </c:pt>
                      <c:pt idx="106">
                        <c:v>45383</c:v>
                      </c:pt>
                      <c:pt idx="107">
                        <c:v>45413</c:v>
                      </c:pt>
                      <c:pt idx="108">
                        <c:v>45444</c:v>
                      </c:pt>
                      <c:pt idx="109">
                        <c:v>45474</c:v>
                      </c:pt>
                      <c:pt idx="110">
                        <c:v>45505</c:v>
                      </c:pt>
                      <c:pt idx="111">
                        <c:v>45536</c:v>
                      </c:pt>
                      <c:pt idx="112">
                        <c:v>45566</c:v>
                      </c:pt>
                      <c:pt idx="113">
                        <c:v>45597</c:v>
                      </c:pt>
                      <c:pt idx="114">
                        <c:v>45627</c:v>
                      </c:pt>
                      <c:pt idx="115">
                        <c:v>45658</c:v>
                      </c:pt>
                      <c:pt idx="116">
                        <c:v>45689</c:v>
                      </c:pt>
                      <c:pt idx="117">
                        <c:v>45717</c:v>
                      </c:pt>
                      <c:pt idx="118">
                        <c:v>45748</c:v>
                      </c:pt>
                      <c:pt idx="119">
                        <c:v>45778</c:v>
                      </c:pt>
                      <c:pt idx="120">
                        <c:v>45809</c:v>
                      </c:pt>
                      <c:pt idx="121">
                        <c:v>45839</c:v>
                      </c:pt>
                      <c:pt idx="122">
                        <c:v>45870</c:v>
                      </c:pt>
                      <c:pt idx="123">
                        <c:v>45901</c:v>
                      </c:pt>
                      <c:pt idx="124">
                        <c:v>45931</c:v>
                      </c:pt>
                      <c:pt idx="125">
                        <c:v>45962</c:v>
                      </c:pt>
                      <c:pt idx="126">
                        <c:v>45992</c:v>
                      </c:pt>
                      <c:pt idx="127">
                        <c:v>46023</c:v>
                      </c:pt>
                      <c:pt idx="128">
                        <c:v>46054</c:v>
                      </c:pt>
                      <c:pt idx="129">
                        <c:v>46082</c:v>
                      </c:pt>
                      <c:pt idx="130">
                        <c:v>46113</c:v>
                      </c:pt>
                      <c:pt idx="131">
                        <c:v>46143</c:v>
                      </c:pt>
                      <c:pt idx="132">
                        <c:v>46174</c:v>
                      </c:pt>
                      <c:pt idx="133">
                        <c:v>46204</c:v>
                      </c:pt>
                      <c:pt idx="134">
                        <c:v>46235</c:v>
                      </c:pt>
                      <c:pt idx="135">
                        <c:v>46266</c:v>
                      </c:pt>
                      <c:pt idx="136">
                        <c:v>46296</c:v>
                      </c:pt>
                      <c:pt idx="137">
                        <c:v>46327</c:v>
                      </c:pt>
                      <c:pt idx="138">
                        <c:v>46357</c:v>
                      </c:pt>
                      <c:pt idx="139">
                        <c:v>46388</c:v>
                      </c:pt>
                      <c:pt idx="140">
                        <c:v>46419</c:v>
                      </c:pt>
                      <c:pt idx="141">
                        <c:v>46447</c:v>
                      </c:pt>
                      <c:pt idx="142">
                        <c:v>46478</c:v>
                      </c:pt>
                      <c:pt idx="143">
                        <c:v>46508</c:v>
                      </c:pt>
                      <c:pt idx="144">
                        <c:v>46539</c:v>
                      </c:pt>
                      <c:pt idx="145">
                        <c:v>46569</c:v>
                      </c:pt>
                      <c:pt idx="146">
                        <c:v>46600</c:v>
                      </c:pt>
                      <c:pt idx="147">
                        <c:v>46631</c:v>
                      </c:pt>
                      <c:pt idx="148">
                        <c:v>46661</c:v>
                      </c:pt>
                      <c:pt idx="149">
                        <c:v>46692</c:v>
                      </c:pt>
                      <c:pt idx="150">
                        <c:v>46722</c:v>
                      </c:pt>
                      <c:pt idx="151">
                        <c:v>46753</c:v>
                      </c:pt>
                      <c:pt idx="152">
                        <c:v>46784</c:v>
                      </c:pt>
                      <c:pt idx="153">
                        <c:v>46813</c:v>
                      </c:pt>
                      <c:pt idx="154">
                        <c:v>46844</c:v>
                      </c:pt>
                      <c:pt idx="155">
                        <c:v>46874</c:v>
                      </c:pt>
                      <c:pt idx="156">
                        <c:v>46905</c:v>
                      </c:pt>
                      <c:pt idx="157">
                        <c:v>46935</c:v>
                      </c:pt>
                      <c:pt idx="158">
                        <c:v>46966</c:v>
                      </c:pt>
                      <c:pt idx="159">
                        <c:v>46997</c:v>
                      </c:pt>
                      <c:pt idx="160">
                        <c:v>47027</c:v>
                      </c:pt>
                      <c:pt idx="161">
                        <c:v>47058</c:v>
                      </c:pt>
                      <c:pt idx="162">
                        <c:v>47088</c:v>
                      </c:pt>
                      <c:pt idx="163">
                        <c:v>47119</c:v>
                      </c:pt>
                      <c:pt idx="164">
                        <c:v>47150</c:v>
                      </c:pt>
                      <c:pt idx="165">
                        <c:v>47178</c:v>
                      </c:pt>
                      <c:pt idx="166">
                        <c:v>47209</c:v>
                      </c:pt>
                      <c:pt idx="167">
                        <c:v>47239</c:v>
                      </c:pt>
                      <c:pt idx="168">
                        <c:v>47270</c:v>
                      </c:pt>
                      <c:pt idx="169">
                        <c:v>47300</c:v>
                      </c:pt>
                      <c:pt idx="170">
                        <c:v>47331</c:v>
                      </c:pt>
                      <c:pt idx="171">
                        <c:v>47362</c:v>
                      </c:pt>
                      <c:pt idx="172">
                        <c:v>47392</c:v>
                      </c:pt>
                      <c:pt idx="173">
                        <c:v>47423</c:v>
                      </c:pt>
                      <c:pt idx="174">
                        <c:v>47453</c:v>
                      </c:pt>
                      <c:pt idx="175">
                        <c:v>47484</c:v>
                      </c:pt>
                      <c:pt idx="176">
                        <c:v>47515</c:v>
                      </c:pt>
                      <c:pt idx="177">
                        <c:v>47543</c:v>
                      </c:pt>
                      <c:pt idx="178">
                        <c:v>47574</c:v>
                      </c:pt>
                      <c:pt idx="179">
                        <c:v>47604</c:v>
                      </c:pt>
                      <c:pt idx="180">
                        <c:v>47635</c:v>
                      </c:pt>
                      <c:pt idx="181">
                        <c:v>47665</c:v>
                      </c:pt>
                      <c:pt idx="182">
                        <c:v>47696</c:v>
                      </c:pt>
                      <c:pt idx="183">
                        <c:v>47727</c:v>
                      </c:pt>
                      <c:pt idx="184">
                        <c:v>47757</c:v>
                      </c:pt>
                      <c:pt idx="185">
                        <c:v>47788</c:v>
                      </c:pt>
                      <c:pt idx="186">
                        <c:v>47818</c:v>
                      </c:pt>
                      <c:pt idx="187">
                        <c:v>47849</c:v>
                      </c:pt>
                      <c:pt idx="188">
                        <c:v>47880</c:v>
                      </c:pt>
                      <c:pt idx="189">
                        <c:v>47908</c:v>
                      </c:pt>
                      <c:pt idx="190">
                        <c:v>47939</c:v>
                      </c:pt>
                      <c:pt idx="191">
                        <c:v>47969</c:v>
                      </c:pt>
                      <c:pt idx="192">
                        <c:v>48000</c:v>
                      </c:pt>
                      <c:pt idx="193">
                        <c:v>48030</c:v>
                      </c:pt>
                      <c:pt idx="194">
                        <c:v>48061</c:v>
                      </c:pt>
                      <c:pt idx="195">
                        <c:v>48092</c:v>
                      </c:pt>
                      <c:pt idx="196">
                        <c:v>48122</c:v>
                      </c:pt>
                      <c:pt idx="197">
                        <c:v>48153</c:v>
                      </c:pt>
                      <c:pt idx="198">
                        <c:v>48183</c:v>
                      </c:pt>
                      <c:pt idx="199">
                        <c:v>48214</c:v>
                      </c:pt>
                      <c:pt idx="200">
                        <c:v>48245</c:v>
                      </c:pt>
                      <c:pt idx="201">
                        <c:v>48274</c:v>
                      </c:pt>
                      <c:pt idx="202">
                        <c:v>48305</c:v>
                      </c:pt>
                      <c:pt idx="203">
                        <c:v>48335</c:v>
                      </c:pt>
                      <c:pt idx="204">
                        <c:v>48366</c:v>
                      </c:pt>
                      <c:pt idx="205">
                        <c:v>48396</c:v>
                      </c:pt>
                      <c:pt idx="206">
                        <c:v>48427</c:v>
                      </c:pt>
                      <c:pt idx="207">
                        <c:v>48458</c:v>
                      </c:pt>
                      <c:pt idx="208">
                        <c:v>48488</c:v>
                      </c:pt>
                      <c:pt idx="209">
                        <c:v>48519</c:v>
                      </c:pt>
                      <c:pt idx="210">
                        <c:v>48549</c:v>
                      </c:pt>
                      <c:pt idx="211">
                        <c:v>48580</c:v>
                      </c:pt>
                      <c:pt idx="212">
                        <c:v>48611</c:v>
                      </c:pt>
                      <c:pt idx="213">
                        <c:v>48639</c:v>
                      </c:pt>
                      <c:pt idx="214">
                        <c:v>48670</c:v>
                      </c:pt>
                      <c:pt idx="215">
                        <c:v>48700</c:v>
                      </c:pt>
                      <c:pt idx="216">
                        <c:v>48731</c:v>
                      </c:pt>
                      <c:pt idx="217">
                        <c:v>48761</c:v>
                      </c:pt>
                      <c:pt idx="218">
                        <c:v>48792</c:v>
                      </c:pt>
                      <c:pt idx="219">
                        <c:v>48823</c:v>
                      </c:pt>
                      <c:pt idx="220">
                        <c:v>48853</c:v>
                      </c:pt>
                      <c:pt idx="221">
                        <c:v>48884</c:v>
                      </c:pt>
                      <c:pt idx="222">
                        <c:v>48914</c:v>
                      </c:pt>
                      <c:pt idx="223">
                        <c:v>48945</c:v>
                      </c:pt>
                      <c:pt idx="224">
                        <c:v>48976</c:v>
                      </c:pt>
                      <c:pt idx="225">
                        <c:v>49004</c:v>
                      </c:pt>
                      <c:pt idx="226">
                        <c:v>49035</c:v>
                      </c:pt>
                      <c:pt idx="227">
                        <c:v>49065</c:v>
                      </c:pt>
                      <c:pt idx="228">
                        <c:v>49096</c:v>
                      </c:pt>
                      <c:pt idx="229">
                        <c:v>49126</c:v>
                      </c:pt>
                      <c:pt idx="230">
                        <c:v>49157</c:v>
                      </c:pt>
                      <c:pt idx="231">
                        <c:v>49188</c:v>
                      </c:pt>
                      <c:pt idx="232">
                        <c:v>49218</c:v>
                      </c:pt>
                      <c:pt idx="233">
                        <c:v>49249</c:v>
                      </c:pt>
                      <c:pt idx="234">
                        <c:v>49279</c:v>
                      </c:pt>
                      <c:pt idx="235">
                        <c:v>49310</c:v>
                      </c:pt>
                      <c:pt idx="236">
                        <c:v>49341</c:v>
                      </c:pt>
                      <c:pt idx="237">
                        <c:v>49369</c:v>
                      </c:pt>
                      <c:pt idx="238">
                        <c:v>49400</c:v>
                      </c:pt>
                      <c:pt idx="239">
                        <c:v>49430</c:v>
                      </c:pt>
                      <c:pt idx="240">
                        <c:v>49461</c:v>
                      </c:pt>
                      <c:pt idx="241">
                        <c:v>49491</c:v>
                      </c:pt>
                      <c:pt idx="242">
                        <c:v>49522</c:v>
                      </c:pt>
                      <c:pt idx="243">
                        <c:v>49553</c:v>
                      </c:pt>
                      <c:pt idx="244">
                        <c:v>49583</c:v>
                      </c:pt>
                      <c:pt idx="245">
                        <c:v>49614</c:v>
                      </c:pt>
                      <c:pt idx="246">
                        <c:v>49644</c:v>
                      </c:pt>
                      <c:pt idx="247">
                        <c:v>49675</c:v>
                      </c:pt>
                      <c:pt idx="248">
                        <c:v>49706</c:v>
                      </c:pt>
                      <c:pt idx="249">
                        <c:v>49735</c:v>
                      </c:pt>
                      <c:pt idx="250">
                        <c:v>49766</c:v>
                      </c:pt>
                      <c:pt idx="251">
                        <c:v>49796</c:v>
                      </c:pt>
                      <c:pt idx="252">
                        <c:v>49827</c:v>
                      </c:pt>
                      <c:pt idx="253">
                        <c:v>49857</c:v>
                      </c:pt>
                      <c:pt idx="254">
                        <c:v>49888</c:v>
                      </c:pt>
                      <c:pt idx="255">
                        <c:v>49919</c:v>
                      </c:pt>
                      <c:pt idx="256">
                        <c:v>49949</c:v>
                      </c:pt>
                      <c:pt idx="257">
                        <c:v>49980</c:v>
                      </c:pt>
                      <c:pt idx="258">
                        <c:v>50010</c:v>
                      </c:pt>
                      <c:pt idx="259">
                        <c:v>50041</c:v>
                      </c:pt>
                      <c:pt idx="260">
                        <c:v>50072</c:v>
                      </c:pt>
                      <c:pt idx="261">
                        <c:v>50100</c:v>
                      </c:pt>
                      <c:pt idx="262">
                        <c:v>50131</c:v>
                      </c:pt>
                      <c:pt idx="263">
                        <c:v>50161</c:v>
                      </c:pt>
                      <c:pt idx="264">
                        <c:v>50192</c:v>
                      </c:pt>
                      <c:pt idx="265">
                        <c:v>50222</c:v>
                      </c:pt>
                      <c:pt idx="266">
                        <c:v>50253</c:v>
                      </c:pt>
                      <c:pt idx="267">
                        <c:v>50284</c:v>
                      </c:pt>
                      <c:pt idx="268">
                        <c:v>50314</c:v>
                      </c:pt>
                      <c:pt idx="269">
                        <c:v>50345</c:v>
                      </c:pt>
                      <c:pt idx="270">
                        <c:v>50375</c:v>
                      </c:pt>
                      <c:pt idx="271">
                        <c:v>50406</c:v>
                      </c:pt>
                      <c:pt idx="272">
                        <c:v>50437</c:v>
                      </c:pt>
                      <c:pt idx="273">
                        <c:v>50465</c:v>
                      </c:pt>
                      <c:pt idx="274">
                        <c:v>50496</c:v>
                      </c:pt>
                      <c:pt idx="275">
                        <c:v>50526</c:v>
                      </c:pt>
                      <c:pt idx="276">
                        <c:v>50557</c:v>
                      </c:pt>
                      <c:pt idx="277">
                        <c:v>50587</c:v>
                      </c:pt>
                      <c:pt idx="278">
                        <c:v>50618</c:v>
                      </c:pt>
                      <c:pt idx="279">
                        <c:v>50649</c:v>
                      </c:pt>
                      <c:pt idx="280">
                        <c:v>50679</c:v>
                      </c:pt>
                      <c:pt idx="281">
                        <c:v>50710</c:v>
                      </c:pt>
                      <c:pt idx="282">
                        <c:v>50740</c:v>
                      </c:pt>
                      <c:pt idx="283">
                        <c:v>50771</c:v>
                      </c:pt>
                      <c:pt idx="284">
                        <c:v>50802</c:v>
                      </c:pt>
                      <c:pt idx="285">
                        <c:v>50830</c:v>
                      </c:pt>
                      <c:pt idx="286">
                        <c:v>50861</c:v>
                      </c:pt>
                      <c:pt idx="287">
                        <c:v>50891</c:v>
                      </c:pt>
                      <c:pt idx="288">
                        <c:v>50922</c:v>
                      </c:pt>
                      <c:pt idx="289">
                        <c:v>50952</c:v>
                      </c:pt>
                      <c:pt idx="290">
                        <c:v>50983</c:v>
                      </c:pt>
                      <c:pt idx="291">
                        <c:v>51014</c:v>
                      </c:pt>
                      <c:pt idx="292">
                        <c:v>51044</c:v>
                      </c:pt>
                      <c:pt idx="293">
                        <c:v>51075</c:v>
                      </c:pt>
                      <c:pt idx="294">
                        <c:v>51105</c:v>
                      </c:pt>
                      <c:pt idx="295">
                        <c:v>51136</c:v>
                      </c:pt>
                      <c:pt idx="296">
                        <c:v>51167</c:v>
                      </c:pt>
                      <c:pt idx="297">
                        <c:v>51196</c:v>
                      </c:pt>
                      <c:pt idx="298">
                        <c:v>51227</c:v>
                      </c:pt>
                      <c:pt idx="299">
                        <c:v>51257</c:v>
                      </c:pt>
                      <c:pt idx="300">
                        <c:v>51288</c:v>
                      </c:pt>
                      <c:pt idx="301">
                        <c:v>51318</c:v>
                      </c:pt>
                      <c:pt idx="302">
                        <c:v>51349</c:v>
                      </c:pt>
                      <c:pt idx="303">
                        <c:v>51380</c:v>
                      </c:pt>
                      <c:pt idx="304">
                        <c:v>51410</c:v>
                      </c:pt>
                      <c:pt idx="305">
                        <c:v>51441</c:v>
                      </c:pt>
                      <c:pt idx="306">
                        <c:v>51471</c:v>
                      </c:pt>
                      <c:pt idx="307">
                        <c:v>51502</c:v>
                      </c:pt>
                      <c:pt idx="308">
                        <c:v>51533</c:v>
                      </c:pt>
                      <c:pt idx="309">
                        <c:v>51561</c:v>
                      </c:pt>
                      <c:pt idx="310">
                        <c:v>51592</c:v>
                      </c:pt>
                      <c:pt idx="311">
                        <c:v>51622</c:v>
                      </c:pt>
                      <c:pt idx="312">
                        <c:v>51653</c:v>
                      </c:pt>
                      <c:pt idx="313">
                        <c:v>51683</c:v>
                      </c:pt>
                      <c:pt idx="314">
                        <c:v>51714</c:v>
                      </c:pt>
                      <c:pt idx="315">
                        <c:v>51745</c:v>
                      </c:pt>
                      <c:pt idx="316">
                        <c:v>51775</c:v>
                      </c:pt>
                      <c:pt idx="317">
                        <c:v>51806</c:v>
                      </c:pt>
                      <c:pt idx="318">
                        <c:v>51836</c:v>
                      </c:pt>
                      <c:pt idx="319">
                        <c:v>51867</c:v>
                      </c:pt>
                      <c:pt idx="320">
                        <c:v>51898</c:v>
                      </c:pt>
                      <c:pt idx="321">
                        <c:v>51926</c:v>
                      </c:pt>
                      <c:pt idx="322">
                        <c:v>51957</c:v>
                      </c:pt>
                      <c:pt idx="323">
                        <c:v>51987</c:v>
                      </c:pt>
                      <c:pt idx="324">
                        <c:v>52018</c:v>
                      </c:pt>
                      <c:pt idx="325">
                        <c:v>52048</c:v>
                      </c:pt>
                      <c:pt idx="326">
                        <c:v>52079</c:v>
                      </c:pt>
                      <c:pt idx="327">
                        <c:v>52110</c:v>
                      </c:pt>
                      <c:pt idx="328">
                        <c:v>52140</c:v>
                      </c:pt>
                      <c:pt idx="329">
                        <c:v>52171</c:v>
                      </c:pt>
                      <c:pt idx="330">
                        <c:v>52201</c:v>
                      </c:pt>
                      <c:pt idx="331">
                        <c:v>52232</c:v>
                      </c:pt>
                      <c:pt idx="332">
                        <c:v>52263</c:v>
                      </c:pt>
                      <c:pt idx="333">
                        <c:v>52291</c:v>
                      </c:pt>
                      <c:pt idx="334">
                        <c:v>52322</c:v>
                      </c:pt>
                      <c:pt idx="335">
                        <c:v>52352</c:v>
                      </c:pt>
                      <c:pt idx="336">
                        <c:v>52383</c:v>
                      </c:pt>
                      <c:pt idx="337">
                        <c:v>52413</c:v>
                      </c:pt>
                      <c:pt idx="338">
                        <c:v>52444</c:v>
                      </c:pt>
                      <c:pt idx="339">
                        <c:v>52475</c:v>
                      </c:pt>
                      <c:pt idx="340">
                        <c:v>52505</c:v>
                      </c:pt>
                      <c:pt idx="341">
                        <c:v>52536</c:v>
                      </c:pt>
                      <c:pt idx="342">
                        <c:v>52566</c:v>
                      </c:pt>
                      <c:pt idx="343">
                        <c:v>52597</c:v>
                      </c:pt>
                      <c:pt idx="344">
                        <c:v>52628</c:v>
                      </c:pt>
                      <c:pt idx="345">
                        <c:v>52657</c:v>
                      </c:pt>
                      <c:pt idx="346">
                        <c:v>52688</c:v>
                      </c:pt>
                      <c:pt idx="347">
                        <c:v>52718</c:v>
                      </c:pt>
                      <c:pt idx="348">
                        <c:v>52749</c:v>
                      </c:pt>
                      <c:pt idx="349">
                        <c:v>52779</c:v>
                      </c:pt>
                      <c:pt idx="350">
                        <c:v>52810</c:v>
                      </c:pt>
                      <c:pt idx="351">
                        <c:v>52841</c:v>
                      </c:pt>
                      <c:pt idx="352">
                        <c:v>52871</c:v>
                      </c:pt>
                      <c:pt idx="353">
                        <c:v>52902</c:v>
                      </c:pt>
                      <c:pt idx="354">
                        <c:v>52932</c:v>
                      </c:pt>
                      <c:pt idx="355">
                        <c:v>52963</c:v>
                      </c:pt>
                      <c:pt idx="356">
                        <c:v>52994</c:v>
                      </c:pt>
                      <c:pt idx="357">
                        <c:v>53022</c:v>
                      </c:pt>
                      <c:pt idx="358">
                        <c:v>53053</c:v>
                      </c:pt>
                      <c:pt idx="359">
                        <c:v>53083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'Fuel Cost Risk Sim'!$E$240:$MZ$240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360"/>
                      <c:pt idx="0">
                        <c:v>78.248627568402384</c:v>
                      </c:pt>
                      <c:pt idx="1">
                        <c:v>78.248627568402384</c:v>
                      </c:pt>
                      <c:pt idx="2">
                        <c:v>78.248627568402384</c:v>
                      </c:pt>
                      <c:pt idx="3">
                        <c:v>78.248627568402384</c:v>
                      </c:pt>
                      <c:pt idx="4">
                        <c:v>78.248627568402384</c:v>
                      </c:pt>
                      <c:pt idx="5">
                        <c:v>78.248627568402384</c:v>
                      </c:pt>
                      <c:pt idx="6">
                        <c:v>78.248627568402384</c:v>
                      </c:pt>
                      <c:pt idx="7">
                        <c:v>78.248627568402384</c:v>
                      </c:pt>
                      <c:pt idx="8">
                        <c:v>78.248627568402384</c:v>
                      </c:pt>
                      <c:pt idx="9">
                        <c:v>78.248627568402384</c:v>
                      </c:pt>
                      <c:pt idx="10">
                        <c:v>78.248627568402384</c:v>
                      </c:pt>
                      <c:pt idx="11">
                        <c:v>78.248627568402384</c:v>
                      </c:pt>
                      <c:pt idx="12">
                        <c:v>78.248627568402384</c:v>
                      </c:pt>
                      <c:pt idx="13">
                        <c:v>78.248627568402384</c:v>
                      </c:pt>
                      <c:pt idx="14">
                        <c:v>78.248627568402384</c:v>
                      </c:pt>
                      <c:pt idx="15">
                        <c:v>78.248627568402384</c:v>
                      </c:pt>
                      <c:pt idx="16">
                        <c:v>78.248627568402384</c:v>
                      </c:pt>
                      <c:pt idx="17">
                        <c:v>78.248627568402384</c:v>
                      </c:pt>
                      <c:pt idx="18">
                        <c:v>78.248627568402384</c:v>
                      </c:pt>
                      <c:pt idx="19">
                        <c:v>78.248627568402384</c:v>
                      </c:pt>
                      <c:pt idx="20">
                        <c:v>78.248627568402384</c:v>
                      </c:pt>
                      <c:pt idx="21">
                        <c:v>78.248627568402384</c:v>
                      </c:pt>
                      <c:pt idx="22">
                        <c:v>78.248627568402384</c:v>
                      </c:pt>
                      <c:pt idx="23">
                        <c:v>78.248627568402384</c:v>
                      </c:pt>
                      <c:pt idx="24">
                        <c:v>78.248627568402384</c:v>
                      </c:pt>
                      <c:pt idx="25">
                        <c:v>78.248627568402384</c:v>
                      </c:pt>
                      <c:pt idx="26">
                        <c:v>78.248627568402384</c:v>
                      </c:pt>
                      <c:pt idx="27">
                        <c:v>78.248627568402384</c:v>
                      </c:pt>
                      <c:pt idx="28">
                        <c:v>78.248627568402384</c:v>
                      </c:pt>
                      <c:pt idx="29">
                        <c:v>78.248627568402384</c:v>
                      </c:pt>
                      <c:pt idx="30">
                        <c:v>78.248627568402384</c:v>
                      </c:pt>
                      <c:pt idx="31">
                        <c:v>78.248627568402384</c:v>
                      </c:pt>
                      <c:pt idx="32">
                        <c:v>78.248627568402384</c:v>
                      </c:pt>
                      <c:pt idx="33">
                        <c:v>78.248627568402384</c:v>
                      </c:pt>
                      <c:pt idx="34">
                        <c:v>78.248627568402384</c:v>
                      </c:pt>
                      <c:pt idx="35">
                        <c:v>78.248627568402384</c:v>
                      </c:pt>
                      <c:pt idx="36">
                        <c:v>78.248627568402384</c:v>
                      </c:pt>
                      <c:pt idx="37">
                        <c:v>78.248627568402384</c:v>
                      </c:pt>
                      <c:pt idx="38">
                        <c:v>78.248627568402384</c:v>
                      </c:pt>
                      <c:pt idx="39">
                        <c:v>78.248627568402384</c:v>
                      </c:pt>
                      <c:pt idx="40">
                        <c:v>78.248627568402384</c:v>
                      </c:pt>
                      <c:pt idx="41">
                        <c:v>78.248627568402384</c:v>
                      </c:pt>
                      <c:pt idx="42">
                        <c:v>78.248627568402384</c:v>
                      </c:pt>
                      <c:pt idx="43">
                        <c:v>78.248627568402384</c:v>
                      </c:pt>
                      <c:pt idx="44">
                        <c:v>78.248627568402384</c:v>
                      </c:pt>
                      <c:pt idx="45">
                        <c:v>78.248627568402384</c:v>
                      </c:pt>
                      <c:pt idx="46">
                        <c:v>78.248627568402384</c:v>
                      </c:pt>
                      <c:pt idx="47">
                        <c:v>78.248627568402384</c:v>
                      </c:pt>
                      <c:pt idx="48">
                        <c:v>78.248627568402384</c:v>
                      </c:pt>
                      <c:pt idx="49">
                        <c:v>78.248627568402384</c:v>
                      </c:pt>
                      <c:pt idx="50">
                        <c:v>78.248627568402384</c:v>
                      </c:pt>
                      <c:pt idx="51">
                        <c:v>78.248627568402384</c:v>
                      </c:pt>
                      <c:pt idx="52">
                        <c:v>78.248627568402384</c:v>
                      </c:pt>
                      <c:pt idx="53">
                        <c:v>78.248627568402384</c:v>
                      </c:pt>
                      <c:pt idx="54">
                        <c:v>78.248627568402384</c:v>
                      </c:pt>
                      <c:pt idx="55">
                        <c:v>78.248627568402384</c:v>
                      </c:pt>
                      <c:pt idx="56">
                        <c:v>78.248627568402384</c:v>
                      </c:pt>
                      <c:pt idx="57">
                        <c:v>78.248627568402384</c:v>
                      </c:pt>
                      <c:pt idx="58">
                        <c:v>78.248627568402384</c:v>
                      </c:pt>
                      <c:pt idx="59">
                        <c:v>78.248627568402384</c:v>
                      </c:pt>
                      <c:pt idx="60">
                        <c:v>78.248627568402384</c:v>
                      </c:pt>
                      <c:pt idx="61">
                        <c:v>78.248627568402384</c:v>
                      </c:pt>
                      <c:pt idx="62">
                        <c:v>78.248627568402384</c:v>
                      </c:pt>
                      <c:pt idx="63">
                        <c:v>78.248627568402384</c:v>
                      </c:pt>
                      <c:pt idx="64">
                        <c:v>78.248627568402384</c:v>
                      </c:pt>
                      <c:pt idx="65">
                        <c:v>78.248627568402384</c:v>
                      </c:pt>
                      <c:pt idx="66">
                        <c:v>78.248627568402384</c:v>
                      </c:pt>
                      <c:pt idx="67">
                        <c:v>78.248627568402384</c:v>
                      </c:pt>
                      <c:pt idx="68">
                        <c:v>78.248627568402384</c:v>
                      </c:pt>
                      <c:pt idx="69">
                        <c:v>78.248627568402384</c:v>
                      </c:pt>
                      <c:pt idx="70">
                        <c:v>78.248627568402384</c:v>
                      </c:pt>
                      <c:pt idx="71">
                        <c:v>78.248627568402384</c:v>
                      </c:pt>
                      <c:pt idx="72">
                        <c:v>78.248627568402384</c:v>
                      </c:pt>
                      <c:pt idx="73">
                        <c:v>78.248627568402384</c:v>
                      </c:pt>
                      <c:pt idx="74">
                        <c:v>78.248627568402384</c:v>
                      </c:pt>
                      <c:pt idx="75">
                        <c:v>78.248627568402384</c:v>
                      </c:pt>
                      <c:pt idx="76">
                        <c:v>78.248627568402384</c:v>
                      </c:pt>
                      <c:pt idx="77">
                        <c:v>78.248627568402384</c:v>
                      </c:pt>
                      <c:pt idx="78">
                        <c:v>78.248627568402384</c:v>
                      </c:pt>
                      <c:pt idx="79">
                        <c:v>78.248627568402384</c:v>
                      </c:pt>
                      <c:pt idx="80">
                        <c:v>78.248627568402384</c:v>
                      </c:pt>
                      <c:pt idx="81">
                        <c:v>78.248627568402384</c:v>
                      </c:pt>
                      <c:pt idx="82">
                        <c:v>78.248627568402384</c:v>
                      </c:pt>
                      <c:pt idx="83">
                        <c:v>78.248627568402384</c:v>
                      </c:pt>
                      <c:pt idx="84">
                        <c:v>78.248627568402384</c:v>
                      </c:pt>
                      <c:pt idx="85">
                        <c:v>78.248627568402384</c:v>
                      </c:pt>
                      <c:pt idx="86">
                        <c:v>78.248627568402384</c:v>
                      </c:pt>
                      <c:pt idx="87">
                        <c:v>78.248627568402384</c:v>
                      </c:pt>
                      <c:pt idx="88">
                        <c:v>78.248627568402384</c:v>
                      </c:pt>
                      <c:pt idx="89">
                        <c:v>78.248627568402384</c:v>
                      </c:pt>
                      <c:pt idx="90">
                        <c:v>78.248627568402384</c:v>
                      </c:pt>
                      <c:pt idx="91">
                        <c:v>78.248627568402384</c:v>
                      </c:pt>
                      <c:pt idx="92">
                        <c:v>78.248627568402384</c:v>
                      </c:pt>
                      <c:pt idx="93">
                        <c:v>78.248627568402384</c:v>
                      </c:pt>
                      <c:pt idx="94">
                        <c:v>78.248627568402384</c:v>
                      </c:pt>
                      <c:pt idx="95">
                        <c:v>78.248627568402384</c:v>
                      </c:pt>
                      <c:pt idx="96">
                        <c:v>78.248627568402384</c:v>
                      </c:pt>
                      <c:pt idx="97">
                        <c:v>78.248627568402384</c:v>
                      </c:pt>
                      <c:pt idx="98">
                        <c:v>78.248627568402384</c:v>
                      </c:pt>
                      <c:pt idx="99">
                        <c:v>78.248627568402384</c:v>
                      </c:pt>
                      <c:pt idx="100">
                        <c:v>78.248627568402384</c:v>
                      </c:pt>
                      <c:pt idx="101">
                        <c:v>78.248627568402384</c:v>
                      </c:pt>
                      <c:pt idx="102">
                        <c:v>78.248627568402384</c:v>
                      </c:pt>
                      <c:pt idx="103">
                        <c:v>78.248627568402384</c:v>
                      </c:pt>
                      <c:pt idx="104">
                        <c:v>78.248627568402384</c:v>
                      </c:pt>
                      <c:pt idx="105">
                        <c:v>78.248627568402384</c:v>
                      </c:pt>
                      <c:pt idx="106">
                        <c:v>78.248627568402384</c:v>
                      </c:pt>
                      <c:pt idx="107">
                        <c:v>78.248627568402384</c:v>
                      </c:pt>
                      <c:pt idx="108">
                        <c:v>78.248627568402384</c:v>
                      </c:pt>
                      <c:pt idx="109">
                        <c:v>78.248627568402384</c:v>
                      </c:pt>
                      <c:pt idx="110">
                        <c:v>78.248627568402384</c:v>
                      </c:pt>
                      <c:pt idx="111">
                        <c:v>78.248627568402384</c:v>
                      </c:pt>
                      <c:pt idx="112">
                        <c:v>78.248627568402384</c:v>
                      </c:pt>
                      <c:pt idx="113">
                        <c:v>78.248627568402384</c:v>
                      </c:pt>
                      <c:pt idx="114">
                        <c:v>78.248627568402384</c:v>
                      </c:pt>
                      <c:pt idx="115">
                        <c:v>78.248627568402384</c:v>
                      </c:pt>
                      <c:pt idx="116">
                        <c:v>78.248627568402384</c:v>
                      </c:pt>
                      <c:pt idx="117">
                        <c:v>78.248627568402384</c:v>
                      </c:pt>
                      <c:pt idx="118">
                        <c:v>78.248627568402384</c:v>
                      </c:pt>
                      <c:pt idx="119">
                        <c:v>78.248627568402384</c:v>
                      </c:pt>
                      <c:pt idx="120">
                        <c:v>78.248627568402384</c:v>
                      </c:pt>
                      <c:pt idx="121">
                        <c:v>78.248627568402384</c:v>
                      </c:pt>
                      <c:pt idx="122">
                        <c:v>78.248627568402384</c:v>
                      </c:pt>
                      <c:pt idx="123">
                        <c:v>78.248627568402384</c:v>
                      </c:pt>
                      <c:pt idx="124">
                        <c:v>78.248627568402384</c:v>
                      </c:pt>
                      <c:pt idx="125">
                        <c:v>78.248627568402384</c:v>
                      </c:pt>
                      <c:pt idx="126">
                        <c:v>78.248627568402384</c:v>
                      </c:pt>
                      <c:pt idx="127">
                        <c:v>78.248627568402384</c:v>
                      </c:pt>
                      <c:pt idx="128">
                        <c:v>78.248627568402384</c:v>
                      </c:pt>
                      <c:pt idx="129">
                        <c:v>78.248627568402384</c:v>
                      </c:pt>
                      <c:pt idx="130">
                        <c:v>78.248627568402384</c:v>
                      </c:pt>
                      <c:pt idx="131">
                        <c:v>78.248627568402384</c:v>
                      </c:pt>
                      <c:pt idx="132">
                        <c:v>78.248627568402384</c:v>
                      </c:pt>
                      <c:pt idx="133">
                        <c:v>78.248627568402384</c:v>
                      </c:pt>
                      <c:pt idx="134">
                        <c:v>78.248627568402384</c:v>
                      </c:pt>
                      <c:pt idx="135">
                        <c:v>78.248627568402384</c:v>
                      </c:pt>
                      <c:pt idx="136">
                        <c:v>78.248627568402384</c:v>
                      </c:pt>
                      <c:pt idx="137">
                        <c:v>78.248627568402384</c:v>
                      </c:pt>
                      <c:pt idx="138">
                        <c:v>78.248627568402384</c:v>
                      </c:pt>
                      <c:pt idx="139">
                        <c:v>78.248627568402384</c:v>
                      </c:pt>
                      <c:pt idx="140">
                        <c:v>78.248627568402384</c:v>
                      </c:pt>
                      <c:pt idx="141">
                        <c:v>78.248627568402384</c:v>
                      </c:pt>
                      <c:pt idx="142">
                        <c:v>78.248627568402384</c:v>
                      </c:pt>
                      <c:pt idx="143">
                        <c:v>78.248627568402384</c:v>
                      </c:pt>
                      <c:pt idx="144">
                        <c:v>78.248627568402384</c:v>
                      </c:pt>
                      <c:pt idx="145">
                        <c:v>78.248627568402384</c:v>
                      </c:pt>
                      <c:pt idx="146">
                        <c:v>78.248627568402384</c:v>
                      </c:pt>
                      <c:pt idx="147">
                        <c:v>78.248627568402384</c:v>
                      </c:pt>
                      <c:pt idx="148">
                        <c:v>78.248627568402384</c:v>
                      </c:pt>
                      <c:pt idx="149">
                        <c:v>78.248627568402384</c:v>
                      </c:pt>
                      <c:pt idx="150">
                        <c:v>78.248627568402384</c:v>
                      </c:pt>
                      <c:pt idx="151">
                        <c:v>78.248627568402384</c:v>
                      </c:pt>
                      <c:pt idx="152">
                        <c:v>78.248627568402384</c:v>
                      </c:pt>
                      <c:pt idx="153">
                        <c:v>78.248627568402384</c:v>
                      </c:pt>
                      <c:pt idx="154">
                        <c:v>78.248627568402384</c:v>
                      </c:pt>
                      <c:pt idx="155">
                        <c:v>78.248627568402384</c:v>
                      </c:pt>
                      <c:pt idx="156">
                        <c:v>78.248627568402384</c:v>
                      </c:pt>
                      <c:pt idx="157">
                        <c:v>78.248627568402384</c:v>
                      </c:pt>
                      <c:pt idx="158">
                        <c:v>78.248627568402384</c:v>
                      </c:pt>
                      <c:pt idx="159">
                        <c:v>78.248627568402384</c:v>
                      </c:pt>
                      <c:pt idx="160">
                        <c:v>78.248627568402384</c:v>
                      </c:pt>
                      <c:pt idx="161">
                        <c:v>78.248627568402384</c:v>
                      </c:pt>
                      <c:pt idx="162">
                        <c:v>78.248627568402384</c:v>
                      </c:pt>
                      <c:pt idx="163">
                        <c:v>78.248627568402384</c:v>
                      </c:pt>
                      <c:pt idx="164">
                        <c:v>78.248627568402384</c:v>
                      </c:pt>
                      <c:pt idx="165">
                        <c:v>78.248627568402384</c:v>
                      </c:pt>
                      <c:pt idx="166">
                        <c:v>78.248627568402384</c:v>
                      </c:pt>
                      <c:pt idx="167">
                        <c:v>78.248627568402384</c:v>
                      </c:pt>
                      <c:pt idx="168">
                        <c:v>78.248627568402384</c:v>
                      </c:pt>
                      <c:pt idx="169">
                        <c:v>78.248627568402384</c:v>
                      </c:pt>
                      <c:pt idx="170">
                        <c:v>78.248627568402384</c:v>
                      </c:pt>
                      <c:pt idx="171">
                        <c:v>78.248627568402384</c:v>
                      </c:pt>
                      <c:pt idx="172">
                        <c:v>78.248627568402384</c:v>
                      </c:pt>
                      <c:pt idx="173">
                        <c:v>78.248627568402384</c:v>
                      </c:pt>
                      <c:pt idx="174">
                        <c:v>78.248627568402384</c:v>
                      </c:pt>
                      <c:pt idx="175">
                        <c:v>78.248627568402384</c:v>
                      </c:pt>
                      <c:pt idx="176">
                        <c:v>78.248627568402384</c:v>
                      </c:pt>
                      <c:pt idx="177">
                        <c:v>78.248627568402384</c:v>
                      </c:pt>
                      <c:pt idx="178">
                        <c:v>78.248627568402384</c:v>
                      </c:pt>
                      <c:pt idx="179">
                        <c:v>78.248627568402384</c:v>
                      </c:pt>
                      <c:pt idx="180">
                        <c:v>78.248627568402384</c:v>
                      </c:pt>
                      <c:pt idx="181">
                        <c:v>78.248627568402384</c:v>
                      </c:pt>
                      <c:pt idx="182">
                        <c:v>78.248627568402384</c:v>
                      </c:pt>
                      <c:pt idx="183">
                        <c:v>78.248627568402384</c:v>
                      </c:pt>
                      <c:pt idx="184">
                        <c:v>78.248627568402384</c:v>
                      </c:pt>
                      <c:pt idx="185">
                        <c:v>78.248627568402384</c:v>
                      </c:pt>
                      <c:pt idx="186">
                        <c:v>78.248627568402384</c:v>
                      </c:pt>
                      <c:pt idx="187">
                        <c:v>78.248627568402384</c:v>
                      </c:pt>
                      <c:pt idx="188">
                        <c:v>78.248627568402384</c:v>
                      </c:pt>
                      <c:pt idx="189">
                        <c:v>78.248627568402384</c:v>
                      </c:pt>
                      <c:pt idx="190">
                        <c:v>78.248627568402384</c:v>
                      </c:pt>
                      <c:pt idx="191">
                        <c:v>78.248627568402384</c:v>
                      </c:pt>
                      <c:pt idx="192">
                        <c:v>78.248627568402384</c:v>
                      </c:pt>
                      <c:pt idx="193">
                        <c:v>78.248627568402384</c:v>
                      </c:pt>
                      <c:pt idx="194">
                        <c:v>78.248627568402384</c:v>
                      </c:pt>
                      <c:pt idx="195">
                        <c:v>78.248627568402384</c:v>
                      </c:pt>
                      <c:pt idx="196">
                        <c:v>78.248627568402384</c:v>
                      </c:pt>
                      <c:pt idx="197">
                        <c:v>78.248627568402384</c:v>
                      </c:pt>
                      <c:pt idx="198">
                        <c:v>78.248627568402384</c:v>
                      </c:pt>
                      <c:pt idx="199">
                        <c:v>78.248627568402384</c:v>
                      </c:pt>
                      <c:pt idx="200">
                        <c:v>78.248627568402384</c:v>
                      </c:pt>
                      <c:pt idx="201">
                        <c:v>78.248627568402384</c:v>
                      </c:pt>
                      <c:pt idx="202">
                        <c:v>78.248627568402384</c:v>
                      </c:pt>
                      <c:pt idx="203">
                        <c:v>78.248627568402384</c:v>
                      </c:pt>
                      <c:pt idx="204">
                        <c:v>78.248627568402384</c:v>
                      </c:pt>
                      <c:pt idx="205">
                        <c:v>78.248627568402384</c:v>
                      </c:pt>
                      <c:pt idx="206">
                        <c:v>78.248627568402384</c:v>
                      </c:pt>
                      <c:pt idx="207">
                        <c:v>78.248627568402384</c:v>
                      </c:pt>
                      <c:pt idx="208">
                        <c:v>78.248627568402384</c:v>
                      </c:pt>
                      <c:pt idx="209">
                        <c:v>78.248627568402384</c:v>
                      </c:pt>
                      <c:pt idx="210">
                        <c:v>78.248627568402384</c:v>
                      </c:pt>
                      <c:pt idx="211">
                        <c:v>78.248627568402384</c:v>
                      </c:pt>
                      <c:pt idx="212">
                        <c:v>78.248627568402384</c:v>
                      </c:pt>
                      <c:pt idx="213">
                        <c:v>78.248627568402384</c:v>
                      </c:pt>
                      <c:pt idx="214">
                        <c:v>78.248627568402384</c:v>
                      </c:pt>
                      <c:pt idx="215">
                        <c:v>78.248627568402384</c:v>
                      </c:pt>
                      <c:pt idx="216">
                        <c:v>78.248627568402384</c:v>
                      </c:pt>
                      <c:pt idx="217">
                        <c:v>78.248627568402384</c:v>
                      </c:pt>
                      <c:pt idx="218">
                        <c:v>78.248627568402384</c:v>
                      </c:pt>
                      <c:pt idx="219">
                        <c:v>78.248627568402384</c:v>
                      </c:pt>
                      <c:pt idx="220">
                        <c:v>78.248627568402384</c:v>
                      </c:pt>
                      <c:pt idx="221">
                        <c:v>78.248627568402384</c:v>
                      </c:pt>
                      <c:pt idx="222">
                        <c:v>78.248627568402384</c:v>
                      </c:pt>
                      <c:pt idx="223">
                        <c:v>78.248627568402384</c:v>
                      </c:pt>
                      <c:pt idx="224">
                        <c:v>78.248627568402384</c:v>
                      </c:pt>
                      <c:pt idx="225">
                        <c:v>78.248627568402384</c:v>
                      </c:pt>
                      <c:pt idx="226">
                        <c:v>78.248627568402384</c:v>
                      </c:pt>
                      <c:pt idx="227">
                        <c:v>78.248627568402384</c:v>
                      </c:pt>
                      <c:pt idx="228">
                        <c:v>78.248627568402384</c:v>
                      </c:pt>
                      <c:pt idx="229">
                        <c:v>78.248627568402384</c:v>
                      </c:pt>
                      <c:pt idx="230">
                        <c:v>78.248627568402384</c:v>
                      </c:pt>
                      <c:pt idx="231">
                        <c:v>78.248627568402384</c:v>
                      </c:pt>
                      <c:pt idx="232">
                        <c:v>78.248627568402384</c:v>
                      </c:pt>
                      <c:pt idx="233">
                        <c:v>78.248627568402384</c:v>
                      </c:pt>
                      <c:pt idx="234">
                        <c:v>78.248627568402384</c:v>
                      </c:pt>
                      <c:pt idx="235">
                        <c:v>78.248627568402384</c:v>
                      </c:pt>
                      <c:pt idx="236">
                        <c:v>78.248627568402384</c:v>
                      </c:pt>
                      <c:pt idx="237">
                        <c:v>78.248627568402384</c:v>
                      </c:pt>
                      <c:pt idx="238">
                        <c:v>78.248627568402384</c:v>
                      </c:pt>
                      <c:pt idx="239">
                        <c:v>78.248627568402384</c:v>
                      </c:pt>
                      <c:pt idx="240">
                        <c:v>78.248627568402384</c:v>
                      </c:pt>
                      <c:pt idx="241">
                        <c:v>78.248627568402384</c:v>
                      </c:pt>
                      <c:pt idx="242">
                        <c:v>78.248627568402384</c:v>
                      </c:pt>
                      <c:pt idx="243">
                        <c:v>78.248627568402384</c:v>
                      </c:pt>
                      <c:pt idx="244">
                        <c:v>78.248627568402384</c:v>
                      </c:pt>
                      <c:pt idx="245">
                        <c:v>78.248627568402384</c:v>
                      </c:pt>
                      <c:pt idx="246">
                        <c:v>78.248627568402384</c:v>
                      </c:pt>
                      <c:pt idx="247">
                        <c:v>78.248627568402384</c:v>
                      </c:pt>
                      <c:pt idx="248">
                        <c:v>78.248627568402384</c:v>
                      </c:pt>
                      <c:pt idx="249">
                        <c:v>78.248627568402384</c:v>
                      </c:pt>
                      <c:pt idx="250">
                        <c:v>78.248627568402384</c:v>
                      </c:pt>
                      <c:pt idx="251">
                        <c:v>78.248627568402384</c:v>
                      </c:pt>
                      <c:pt idx="252">
                        <c:v>78.248627568402384</c:v>
                      </c:pt>
                      <c:pt idx="253">
                        <c:v>78.248627568402384</c:v>
                      </c:pt>
                      <c:pt idx="254">
                        <c:v>78.248627568402384</c:v>
                      </c:pt>
                      <c:pt idx="255">
                        <c:v>78.248627568402384</c:v>
                      </c:pt>
                      <c:pt idx="256">
                        <c:v>78.248627568402384</c:v>
                      </c:pt>
                      <c:pt idx="257">
                        <c:v>78.248627568402384</c:v>
                      </c:pt>
                      <c:pt idx="258">
                        <c:v>78.248627568402384</c:v>
                      </c:pt>
                      <c:pt idx="259">
                        <c:v>78.248627568402384</c:v>
                      </c:pt>
                      <c:pt idx="260">
                        <c:v>78.248627568402384</c:v>
                      </c:pt>
                      <c:pt idx="261">
                        <c:v>78.248627568402384</c:v>
                      </c:pt>
                      <c:pt idx="262">
                        <c:v>78.248627568402384</c:v>
                      </c:pt>
                      <c:pt idx="263">
                        <c:v>78.248627568402384</c:v>
                      </c:pt>
                      <c:pt idx="264">
                        <c:v>78.248627568402384</c:v>
                      </c:pt>
                      <c:pt idx="265">
                        <c:v>78.248627568402384</c:v>
                      </c:pt>
                      <c:pt idx="266">
                        <c:v>78.248627568402384</c:v>
                      </c:pt>
                      <c:pt idx="267">
                        <c:v>78.248627568402384</c:v>
                      </c:pt>
                      <c:pt idx="268">
                        <c:v>78.248627568402384</c:v>
                      </c:pt>
                      <c:pt idx="269">
                        <c:v>78.248627568402384</c:v>
                      </c:pt>
                      <c:pt idx="270">
                        <c:v>78.248627568402384</c:v>
                      </c:pt>
                      <c:pt idx="271">
                        <c:v>78.248627568402384</c:v>
                      </c:pt>
                      <c:pt idx="272">
                        <c:v>78.248627568402384</c:v>
                      </c:pt>
                      <c:pt idx="273">
                        <c:v>78.248627568402384</c:v>
                      </c:pt>
                      <c:pt idx="274">
                        <c:v>78.248627568402384</c:v>
                      </c:pt>
                      <c:pt idx="275">
                        <c:v>78.248627568402384</c:v>
                      </c:pt>
                      <c:pt idx="276">
                        <c:v>78.248627568402384</c:v>
                      </c:pt>
                      <c:pt idx="277">
                        <c:v>78.248627568402384</c:v>
                      </c:pt>
                      <c:pt idx="278">
                        <c:v>78.248627568402384</c:v>
                      </c:pt>
                      <c:pt idx="279">
                        <c:v>78.248627568402384</c:v>
                      </c:pt>
                      <c:pt idx="280">
                        <c:v>78.248627568402384</c:v>
                      </c:pt>
                      <c:pt idx="281">
                        <c:v>78.248627568402384</c:v>
                      </c:pt>
                      <c:pt idx="282">
                        <c:v>78.248627568402384</c:v>
                      </c:pt>
                      <c:pt idx="283">
                        <c:v>78.248627568402384</c:v>
                      </c:pt>
                      <c:pt idx="284">
                        <c:v>78.248627568402384</c:v>
                      </c:pt>
                      <c:pt idx="285">
                        <c:v>78.248627568402384</c:v>
                      </c:pt>
                      <c:pt idx="286">
                        <c:v>78.248627568402384</c:v>
                      </c:pt>
                      <c:pt idx="287">
                        <c:v>78.248627568402384</c:v>
                      </c:pt>
                      <c:pt idx="288">
                        <c:v>78.248627568402384</c:v>
                      </c:pt>
                      <c:pt idx="289">
                        <c:v>78.248627568402384</c:v>
                      </c:pt>
                      <c:pt idx="290">
                        <c:v>78.248627568402384</c:v>
                      </c:pt>
                      <c:pt idx="291">
                        <c:v>78.248627568402384</c:v>
                      </c:pt>
                      <c:pt idx="292">
                        <c:v>78.248627568402384</c:v>
                      </c:pt>
                      <c:pt idx="293">
                        <c:v>78.248627568402384</c:v>
                      </c:pt>
                      <c:pt idx="294">
                        <c:v>78.248627568402384</c:v>
                      </c:pt>
                      <c:pt idx="295">
                        <c:v>78.248627568402384</c:v>
                      </c:pt>
                      <c:pt idx="296">
                        <c:v>78.248627568402384</c:v>
                      </c:pt>
                      <c:pt idx="297">
                        <c:v>78.248627568402384</c:v>
                      </c:pt>
                      <c:pt idx="298">
                        <c:v>78.248627568402384</c:v>
                      </c:pt>
                      <c:pt idx="299">
                        <c:v>78.248627568402384</c:v>
                      </c:pt>
                      <c:pt idx="300">
                        <c:v>78.248627568402384</c:v>
                      </c:pt>
                      <c:pt idx="301">
                        <c:v>78.248627568402384</c:v>
                      </c:pt>
                      <c:pt idx="302">
                        <c:v>78.248627568402384</c:v>
                      </c:pt>
                      <c:pt idx="303">
                        <c:v>78.248627568402384</c:v>
                      </c:pt>
                      <c:pt idx="304">
                        <c:v>78.248627568402384</c:v>
                      </c:pt>
                      <c:pt idx="305">
                        <c:v>78.248627568402384</c:v>
                      </c:pt>
                      <c:pt idx="306">
                        <c:v>78.248627568402384</c:v>
                      </c:pt>
                      <c:pt idx="307">
                        <c:v>78.248627568402384</c:v>
                      </c:pt>
                      <c:pt idx="308">
                        <c:v>78.248627568402384</c:v>
                      </c:pt>
                      <c:pt idx="309">
                        <c:v>78.248627568402384</c:v>
                      </c:pt>
                      <c:pt idx="310">
                        <c:v>78.248627568402384</c:v>
                      </c:pt>
                      <c:pt idx="311">
                        <c:v>78.248627568402384</c:v>
                      </c:pt>
                      <c:pt idx="312">
                        <c:v>78.248627568402384</c:v>
                      </c:pt>
                      <c:pt idx="313">
                        <c:v>78.248627568402384</c:v>
                      </c:pt>
                      <c:pt idx="314">
                        <c:v>78.248627568402384</c:v>
                      </c:pt>
                      <c:pt idx="315">
                        <c:v>78.248627568402384</c:v>
                      </c:pt>
                      <c:pt idx="316">
                        <c:v>78.248627568402384</c:v>
                      </c:pt>
                      <c:pt idx="317">
                        <c:v>78.248627568402384</c:v>
                      </c:pt>
                      <c:pt idx="318">
                        <c:v>78.248627568402384</c:v>
                      </c:pt>
                      <c:pt idx="319">
                        <c:v>78.248627568402384</c:v>
                      </c:pt>
                      <c:pt idx="320">
                        <c:v>78.248627568402384</c:v>
                      </c:pt>
                      <c:pt idx="321">
                        <c:v>78.248627568402384</c:v>
                      </c:pt>
                      <c:pt idx="322">
                        <c:v>78.248627568402384</c:v>
                      </c:pt>
                      <c:pt idx="323">
                        <c:v>78.248627568402384</c:v>
                      </c:pt>
                      <c:pt idx="324">
                        <c:v>78.248627568402384</c:v>
                      </c:pt>
                      <c:pt idx="325">
                        <c:v>78.248627568402384</c:v>
                      </c:pt>
                      <c:pt idx="326">
                        <c:v>78.248627568402384</c:v>
                      </c:pt>
                      <c:pt idx="327">
                        <c:v>78.248627568402384</c:v>
                      </c:pt>
                      <c:pt idx="328">
                        <c:v>78.248627568402384</c:v>
                      </c:pt>
                      <c:pt idx="329">
                        <c:v>78.248627568402384</c:v>
                      </c:pt>
                      <c:pt idx="330">
                        <c:v>78.248627568402384</c:v>
                      </c:pt>
                      <c:pt idx="331">
                        <c:v>78.248627568402384</c:v>
                      </c:pt>
                      <c:pt idx="332">
                        <c:v>78.248627568402384</c:v>
                      </c:pt>
                      <c:pt idx="333">
                        <c:v>78.248627568402384</c:v>
                      </c:pt>
                      <c:pt idx="334">
                        <c:v>78.248627568402384</c:v>
                      </c:pt>
                      <c:pt idx="335">
                        <c:v>78.248627568402384</c:v>
                      </c:pt>
                      <c:pt idx="336">
                        <c:v>78.248627568402384</c:v>
                      </c:pt>
                      <c:pt idx="337">
                        <c:v>78.248627568402384</c:v>
                      </c:pt>
                      <c:pt idx="338">
                        <c:v>78.248627568402384</c:v>
                      </c:pt>
                      <c:pt idx="339">
                        <c:v>78.248627568402384</c:v>
                      </c:pt>
                      <c:pt idx="340">
                        <c:v>78.248627568402384</c:v>
                      </c:pt>
                      <c:pt idx="341">
                        <c:v>78.248627568402384</c:v>
                      </c:pt>
                      <c:pt idx="342">
                        <c:v>78.248627568402384</c:v>
                      </c:pt>
                      <c:pt idx="343">
                        <c:v>78.248627568402384</c:v>
                      </c:pt>
                      <c:pt idx="344">
                        <c:v>78.248627568402384</c:v>
                      </c:pt>
                      <c:pt idx="345">
                        <c:v>78.248627568402384</c:v>
                      </c:pt>
                      <c:pt idx="346">
                        <c:v>78.248627568402384</c:v>
                      </c:pt>
                      <c:pt idx="347">
                        <c:v>78.248627568402384</c:v>
                      </c:pt>
                      <c:pt idx="348">
                        <c:v>78.248627568402384</c:v>
                      </c:pt>
                      <c:pt idx="349">
                        <c:v>78.248627568402384</c:v>
                      </c:pt>
                      <c:pt idx="350">
                        <c:v>78.248627568402384</c:v>
                      </c:pt>
                      <c:pt idx="351">
                        <c:v>78.248627568402384</c:v>
                      </c:pt>
                      <c:pt idx="352">
                        <c:v>78.248627568402384</c:v>
                      </c:pt>
                      <c:pt idx="353">
                        <c:v>78.248627568402384</c:v>
                      </c:pt>
                      <c:pt idx="354">
                        <c:v>78.248627568402384</c:v>
                      </c:pt>
                      <c:pt idx="355">
                        <c:v>78.248627568402384</c:v>
                      </c:pt>
                      <c:pt idx="356">
                        <c:v>78.248627568402384</c:v>
                      </c:pt>
                      <c:pt idx="357">
                        <c:v>78.248627568402384</c:v>
                      </c:pt>
                      <c:pt idx="358">
                        <c:v>78.248627568402384</c:v>
                      </c:pt>
                      <c:pt idx="359">
                        <c:v>78.248627568402384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410192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5392"/>
        <c:crosses val="autoZero"/>
        <c:auto val="1"/>
        <c:lblOffset val="100"/>
        <c:baseTimeUnit val="months"/>
      </c:dateAx>
      <c:valAx>
        <c:axId val="4101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Electric Bill -- 600 KWhr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'Fuel Cost Risk Sim'!$D$244</c:f>
              <c:strCache>
                <c:ptCount val="1"/>
                <c:pt idx="0">
                  <c:v>AB1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Sim'!$E$243:$MZ$243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Sim'!$E$244:$MZ$244</c:f>
              <c:numCache>
                <c:formatCode>_("$"* #,##0.00_);_("$"* \(#,##0.00\);_("$"* "-"??_);_(@_)</c:formatCode>
                <c:ptCount val="360"/>
                <c:pt idx="0">
                  <c:v>168.3896424530474</c:v>
                </c:pt>
                <c:pt idx="1">
                  <c:v>168.60867187743065</c:v>
                </c:pt>
                <c:pt idx="2">
                  <c:v>168.82841095742597</c:v>
                </c:pt>
                <c:pt idx="3">
                  <c:v>169.04886199231845</c:v>
                </c:pt>
                <c:pt idx="4">
                  <c:v>169.27002728884275</c:v>
                </c:pt>
                <c:pt idx="5">
                  <c:v>169.49190916120764</c:v>
                </c:pt>
                <c:pt idx="6">
                  <c:v>169.71450993111961</c:v>
                </c:pt>
                <c:pt idx="7">
                  <c:v>169.93783192780765</c:v>
                </c:pt>
                <c:pt idx="8">
                  <c:v>170.16187748804748</c:v>
                </c:pt>
                <c:pt idx="9">
                  <c:v>170.38664895618587</c:v>
                </c:pt>
                <c:pt idx="10">
                  <c:v>170.61214868416533</c:v>
                </c:pt>
                <c:pt idx="11">
                  <c:v>170.83837903154867</c:v>
                </c:pt>
                <c:pt idx="12">
                  <c:v>171.06534236554373</c:v>
                </c:pt>
                <c:pt idx="13">
                  <c:v>171.29304106102799</c:v>
                </c:pt>
                <c:pt idx="14">
                  <c:v>171.52147750057367</c:v>
                </c:pt>
                <c:pt idx="15">
                  <c:v>171.75065407447244</c:v>
                </c:pt>
                <c:pt idx="16">
                  <c:v>171.9805731807605</c:v>
                </c:pt>
                <c:pt idx="17">
                  <c:v>172.21123722524379</c:v>
                </c:pt>
                <c:pt idx="18">
                  <c:v>172.44264862152295</c:v>
                </c:pt>
                <c:pt idx="19">
                  <c:v>172.67480979101879</c:v>
                </c:pt>
                <c:pt idx="20">
                  <c:v>172.90772316299746</c:v>
                </c:pt>
                <c:pt idx="21">
                  <c:v>173.14139117459595</c:v>
                </c:pt>
                <c:pt idx="22">
                  <c:v>173.37581627084759</c:v>
                </c:pt>
                <c:pt idx="23">
                  <c:v>173.61100090470762</c:v>
                </c:pt>
                <c:pt idx="24">
                  <c:v>173.84694753707885</c:v>
                </c:pt>
                <c:pt idx="25">
                  <c:v>174.08365863683741</c:v>
                </c:pt>
                <c:pt idx="26">
                  <c:v>174.32113668085861</c:v>
                </c:pt>
                <c:pt idx="27">
                  <c:v>174.55938415404282</c:v>
                </c:pt>
                <c:pt idx="28">
                  <c:v>174.79840354934151</c:v>
                </c:pt>
                <c:pt idx="29">
                  <c:v>175.03819736778331</c:v>
                </c:pt>
                <c:pt idx="30">
                  <c:v>175.27876811850021</c:v>
                </c:pt>
                <c:pt idx="31">
                  <c:v>175.5201183187537</c:v>
                </c:pt>
                <c:pt idx="32">
                  <c:v>175.76225049396132</c:v>
                </c:pt>
                <c:pt idx="33">
                  <c:v>176.00516717772285</c:v>
                </c:pt>
                <c:pt idx="34">
                  <c:v>176.24887091184712</c:v>
                </c:pt>
                <c:pt idx="35">
                  <c:v>176.49336424637812</c:v>
                </c:pt>
                <c:pt idx="36">
                  <c:v>176.73864973962233</c:v>
                </c:pt>
                <c:pt idx="37">
                  <c:v>176.98472995817491</c:v>
                </c:pt>
                <c:pt idx="38">
                  <c:v>177.23160747694686</c:v>
                </c:pt>
                <c:pt idx="39">
                  <c:v>177.47928487919188</c:v>
                </c:pt>
                <c:pt idx="40">
                  <c:v>177.7277647565335</c:v>
                </c:pt>
                <c:pt idx="41">
                  <c:v>177.97704970899201</c:v>
                </c:pt>
                <c:pt idx="42">
                  <c:v>178.22714234501183</c:v>
                </c:pt>
                <c:pt idx="43">
                  <c:v>178.47804528148868</c:v>
                </c:pt>
                <c:pt idx="44">
                  <c:v>178.72976114379708</c:v>
                </c:pt>
                <c:pt idx="45">
                  <c:v>178.98229256581777</c:v>
                </c:pt>
                <c:pt idx="46">
                  <c:v>179.23564218996523</c:v>
                </c:pt>
                <c:pt idx="47">
                  <c:v>179.4898126672154</c:v>
                </c:pt>
                <c:pt idx="48">
                  <c:v>179.74480665713338</c:v>
                </c:pt>
                <c:pt idx="49">
                  <c:v>180.00062682790124</c:v>
                </c:pt>
                <c:pt idx="50">
                  <c:v>180.25727585634596</c:v>
                </c:pt>
                <c:pt idx="51">
                  <c:v>180.51475642796748</c:v>
                </c:pt>
                <c:pt idx="52">
                  <c:v>180.77307123696676</c:v>
                </c:pt>
                <c:pt idx="53">
                  <c:v>181.03222298627395</c:v>
                </c:pt>
                <c:pt idx="54">
                  <c:v>181.29221438757668</c:v>
                </c:pt>
                <c:pt idx="55">
                  <c:v>181.5530481613485</c:v>
                </c:pt>
                <c:pt idx="56">
                  <c:v>181.81472703687729</c:v>
                </c:pt>
                <c:pt idx="57">
                  <c:v>182.07725375229376</c:v>
                </c:pt>
                <c:pt idx="58">
                  <c:v>182.34063105460029</c:v>
                </c:pt>
                <c:pt idx="59">
                  <c:v>182.60486169969946</c:v>
                </c:pt>
                <c:pt idx="60">
                  <c:v>177.91950834347836</c:v>
                </c:pt>
                <c:pt idx="61">
                  <c:v>178.09702629902358</c:v>
                </c:pt>
                <c:pt idx="62">
                  <c:v>178.27511941296927</c:v>
                </c:pt>
                <c:pt idx="63">
                  <c:v>178.45378954882943</c:v>
                </c:pt>
                <c:pt idx="64">
                  <c:v>178.6330385761558</c:v>
                </c:pt>
                <c:pt idx="65">
                  <c:v>178.8128683705574</c:v>
                </c:pt>
                <c:pt idx="66">
                  <c:v>178.99328081372033</c:v>
                </c:pt>
                <c:pt idx="67">
                  <c:v>179.17427779342736</c:v>
                </c:pt>
                <c:pt idx="68">
                  <c:v>179.35586120357755</c:v>
                </c:pt>
                <c:pt idx="69">
                  <c:v>179.53803294420635</c:v>
                </c:pt>
                <c:pt idx="70">
                  <c:v>179.72079492150522</c:v>
                </c:pt>
                <c:pt idx="71">
                  <c:v>179.90414904784166</c:v>
                </c:pt>
                <c:pt idx="72">
                  <c:v>180.08809724177939</c:v>
                </c:pt>
                <c:pt idx="73">
                  <c:v>180.27264142809818</c:v>
                </c:pt>
                <c:pt idx="74">
                  <c:v>180.45778353781407</c:v>
                </c:pt>
                <c:pt idx="75">
                  <c:v>180.64352550819962</c:v>
                </c:pt>
                <c:pt idx="76">
                  <c:v>180.82986928280417</c:v>
                </c:pt>
                <c:pt idx="77">
                  <c:v>181.01681681147414</c:v>
                </c:pt>
                <c:pt idx="78">
                  <c:v>181.20437005037348</c:v>
                </c:pt>
                <c:pt idx="79">
                  <c:v>181.39253096200409</c:v>
                </c:pt>
                <c:pt idx="80">
                  <c:v>181.58130151522639</c:v>
                </c:pt>
                <c:pt idx="81">
                  <c:v>181.77068368527989</c:v>
                </c:pt>
                <c:pt idx="82">
                  <c:v>181.96067945380395</c:v>
                </c:pt>
                <c:pt idx="83">
                  <c:v>182.15129080885833</c:v>
                </c:pt>
                <c:pt idx="84">
                  <c:v>182.34251974494424</c:v>
                </c:pt>
                <c:pt idx="85">
                  <c:v>182.53436826302493</c:v>
                </c:pt>
                <c:pt idx="86">
                  <c:v>182.72683837054686</c:v>
                </c:pt>
                <c:pt idx="87">
                  <c:v>182.91993208146062</c:v>
                </c:pt>
                <c:pt idx="88">
                  <c:v>183.11365141624202</c:v>
                </c:pt>
                <c:pt idx="89">
                  <c:v>183.3079984019131</c:v>
                </c:pt>
                <c:pt idx="90">
                  <c:v>183.50297507206363</c:v>
                </c:pt>
                <c:pt idx="91">
                  <c:v>183.69858346687209</c:v>
                </c:pt>
                <c:pt idx="92">
                  <c:v>183.89482563312711</c:v>
                </c:pt>
                <c:pt idx="93">
                  <c:v>184.09170362424908</c:v>
                </c:pt>
                <c:pt idx="94">
                  <c:v>184.28921950031128</c:v>
                </c:pt>
                <c:pt idx="95">
                  <c:v>184.48737532806174</c:v>
                </c:pt>
                <c:pt idx="96">
                  <c:v>184.68617318094482</c:v>
                </c:pt>
                <c:pt idx="97">
                  <c:v>184.88561513912268</c:v>
                </c:pt>
                <c:pt idx="98">
                  <c:v>185.0857032894973</c:v>
                </c:pt>
                <c:pt idx="99">
                  <c:v>185.28643972573224</c:v>
                </c:pt>
                <c:pt idx="100">
                  <c:v>185.48782654827448</c:v>
                </c:pt>
                <c:pt idx="101">
                  <c:v>185.68986586437654</c:v>
                </c:pt>
                <c:pt idx="102">
                  <c:v>185.89255978811829</c:v>
                </c:pt>
                <c:pt idx="103">
                  <c:v>186.09591044042938</c:v>
                </c:pt>
                <c:pt idx="104">
                  <c:v>186.29991994911117</c:v>
                </c:pt>
                <c:pt idx="105">
                  <c:v>186.50459044885915</c:v>
                </c:pt>
                <c:pt idx="106">
                  <c:v>186.70992408128521</c:v>
                </c:pt>
                <c:pt idx="107">
                  <c:v>186.91592299494005</c:v>
                </c:pt>
                <c:pt idx="108">
                  <c:v>187.12258934533571</c:v>
                </c:pt>
                <c:pt idx="109">
                  <c:v>187.32992529496804</c:v>
                </c:pt>
                <c:pt idx="110">
                  <c:v>187.53793301333945</c:v>
                </c:pt>
                <c:pt idx="111">
                  <c:v>187.74661467698155</c:v>
                </c:pt>
                <c:pt idx="112">
                  <c:v>187.95597246947779</c:v>
                </c:pt>
                <c:pt idx="113">
                  <c:v>188.16600858148649</c:v>
                </c:pt>
                <c:pt idx="114">
                  <c:v>188.37672521076382</c:v>
                </c:pt>
                <c:pt idx="115">
                  <c:v>188.58812456218655</c:v>
                </c:pt>
                <c:pt idx="116">
                  <c:v>188.80020884777525</c:v>
                </c:pt>
                <c:pt idx="117">
                  <c:v>189.01298028671761</c:v>
                </c:pt>
                <c:pt idx="118">
                  <c:v>189.22644110539119</c:v>
                </c:pt>
                <c:pt idx="119">
                  <c:v>189.44059353738731</c:v>
                </c:pt>
                <c:pt idx="120">
                  <c:v>189.65543982353401</c:v>
                </c:pt>
                <c:pt idx="121">
                  <c:v>189.87098221191957</c:v>
                </c:pt>
                <c:pt idx="122">
                  <c:v>190.08722295791614</c:v>
                </c:pt>
                <c:pt idx="123">
                  <c:v>190.30416432420327</c:v>
                </c:pt>
                <c:pt idx="124">
                  <c:v>190.52180858079163</c:v>
                </c:pt>
                <c:pt idx="125">
                  <c:v>190.74015800504657</c:v>
                </c:pt>
                <c:pt idx="126">
                  <c:v>190.95921488171231</c:v>
                </c:pt>
                <c:pt idx="127">
                  <c:v>191.17898150293553</c:v>
                </c:pt>
                <c:pt idx="128">
                  <c:v>191.39946016828952</c:v>
                </c:pt>
                <c:pt idx="129">
                  <c:v>191.62065318479816</c:v>
                </c:pt>
                <c:pt idx="130">
                  <c:v>191.84256286696007</c:v>
                </c:pt>
                <c:pt idx="131">
                  <c:v>192.06519153677283</c:v>
                </c:pt>
                <c:pt idx="132">
                  <c:v>192.28854152375746</c:v>
                </c:pt>
                <c:pt idx="133">
                  <c:v>192.51261516498238</c:v>
                </c:pt>
                <c:pt idx="134">
                  <c:v>192.73741480508835</c:v>
                </c:pt>
                <c:pt idx="135">
                  <c:v>192.96294279631257</c:v>
                </c:pt>
                <c:pt idx="136">
                  <c:v>193.18920149851368</c:v>
                </c:pt>
                <c:pt idx="137">
                  <c:v>193.41619327919611</c:v>
                </c:pt>
                <c:pt idx="138">
                  <c:v>193.64392051353502</c:v>
                </c:pt>
                <c:pt idx="139">
                  <c:v>193.87238558440131</c:v>
                </c:pt>
                <c:pt idx="140">
                  <c:v>194.10159088238618</c:v>
                </c:pt>
                <c:pt idx="141">
                  <c:v>194.33153880582643</c:v>
                </c:pt>
                <c:pt idx="142">
                  <c:v>194.56223176082952</c:v>
                </c:pt>
                <c:pt idx="143">
                  <c:v>194.79367216129862</c:v>
                </c:pt>
                <c:pt idx="144">
                  <c:v>195.02586242895796</c:v>
                </c:pt>
                <c:pt idx="145">
                  <c:v>195.25880499337825</c:v>
                </c:pt>
                <c:pt idx="146">
                  <c:v>195.49250229200192</c:v>
                </c:pt>
                <c:pt idx="147">
                  <c:v>195.72695677016873</c:v>
                </c:pt>
                <c:pt idx="148">
                  <c:v>195.96217088114139</c:v>
                </c:pt>
                <c:pt idx="149">
                  <c:v>196.19814708613109</c:v>
                </c:pt>
                <c:pt idx="150">
                  <c:v>196.43488785432342</c:v>
                </c:pt>
                <c:pt idx="151">
                  <c:v>196.67239566290422</c:v>
                </c:pt>
                <c:pt idx="152">
                  <c:v>196.91067299708521</c:v>
                </c:pt>
                <c:pt idx="153">
                  <c:v>197.14972235013033</c:v>
                </c:pt>
                <c:pt idx="154">
                  <c:v>197.38954622338176</c:v>
                </c:pt>
                <c:pt idx="155">
                  <c:v>197.63014712628583</c:v>
                </c:pt>
                <c:pt idx="156">
                  <c:v>197.87152757641968</c:v>
                </c:pt>
                <c:pt idx="157">
                  <c:v>198.11369009951724</c:v>
                </c:pt>
                <c:pt idx="158">
                  <c:v>198.35663722949599</c:v>
                </c:pt>
                <c:pt idx="159">
                  <c:v>198.60037150848316</c:v>
                </c:pt>
                <c:pt idx="160">
                  <c:v>198.84489548684257</c:v>
                </c:pt>
                <c:pt idx="161">
                  <c:v>199.09021172320115</c:v>
                </c:pt>
                <c:pt idx="162">
                  <c:v>199.33632278447587</c:v>
                </c:pt>
                <c:pt idx="163">
                  <c:v>199.58323124590044</c:v>
                </c:pt>
                <c:pt idx="164">
                  <c:v>199.83093969105232</c:v>
                </c:pt>
                <c:pt idx="165">
                  <c:v>200.07945071187982</c:v>
                </c:pt>
                <c:pt idx="166">
                  <c:v>200.32876690872914</c:v>
                </c:pt>
                <c:pt idx="167">
                  <c:v>200.57889089037161</c:v>
                </c:pt>
                <c:pt idx="168">
                  <c:v>200.82982527403101</c:v>
                </c:pt>
                <c:pt idx="169">
                  <c:v>201.08157268541083</c:v>
                </c:pt>
                <c:pt idx="170">
                  <c:v>201.33413575872203</c:v>
                </c:pt>
                <c:pt idx="171">
                  <c:v>201.5875171367102</c:v>
                </c:pt>
                <c:pt idx="172">
                  <c:v>201.84171947068359</c:v>
                </c:pt>
                <c:pt idx="173">
                  <c:v>202.09674542054054</c:v>
                </c:pt>
                <c:pt idx="174">
                  <c:v>202.35259765479765</c:v>
                </c:pt>
                <c:pt idx="175">
                  <c:v>202.60927885061736</c:v>
                </c:pt>
                <c:pt idx="176">
                  <c:v>202.86679169383626</c:v>
                </c:pt>
                <c:pt idx="177">
                  <c:v>203.12513887899286</c:v>
                </c:pt>
                <c:pt idx="178">
                  <c:v>203.38432310935616</c:v>
                </c:pt>
                <c:pt idx="179">
                  <c:v>203.64434709695374</c:v>
                </c:pt>
                <c:pt idx="180">
                  <c:v>203.90521356260001</c:v>
                </c:pt>
                <c:pt idx="181">
                  <c:v>204.16692523592491</c:v>
                </c:pt>
                <c:pt idx="182">
                  <c:v>204.42948485540248</c:v>
                </c:pt>
                <c:pt idx="183">
                  <c:v>204.69289516837927</c:v>
                </c:pt>
                <c:pt idx="184">
                  <c:v>204.95715893110327</c:v>
                </c:pt>
                <c:pt idx="185">
                  <c:v>205.22227890875277</c:v>
                </c:pt>
                <c:pt idx="186">
                  <c:v>205.48825787546522</c:v>
                </c:pt>
                <c:pt idx="187">
                  <c:v>205.75509861436629</c:v>
                </c:pt>
                <c:pt idx="188">
                  <c:v>206.02280391759888</c:v>
                </c:pt>
                <c:pt idx="189">
                  <c:v>206.29137658635261</c:v>
                </c:pt>
                <c:pt idx="190">
                  <c:v>206.56081943089282</c:v>
                </c:pt>
                <c:pt idx="191">
                  <c:v>206.83113527059015</c:v>
                </c:pt>
                <c:pt idx="192">
                  <c:v>207.10232693395</c:v>
                </c:pt>
                <c:pt idx="193">
                  <c:v>207.3743972586422</c:v>
                </c:pt>
                <c:pt idx="194">
                  <c:v>207.64734909153057</c:v>
                </c:pt>
                <c:pt idx="195">
                  <c:v>207.92118528870276</c:v>
                </c:pt>
                <c:pt idx="196">
                  <c:v>208.19590871550014</c:v>
                </c:pt>
                <c:pt idx="197">
                  <c:v>208.47152224654786</c:v>
                </c:pt>
                <c:pt idx="198">
                  <c:v>208.7480287657848</c:v>
                </c:pt>
                <c:pt idx="199">
                  <c:v>209.02543116649383</c:v>
                </c:pt>
                <c:pt idx="200">
                  <c:v>209.30373235133203</c:v>
                </c:pt>
                <c:pt idx="201">
                  <c:v>209.58293523236114</c:v>
                </c:pt>
                <c:pt idx="202">
                  <c:v>209.86304273107794</c:v>
                </c:pt>
                <c:pt idx="203">
                  <c:v>210.14405777844493</c:v>
                </c:pt>
                <c:pt idx="204">
                  <c:v>210.42598331492081</c:v>
                </c:pt>
                <c:pt idx="205">
                  <c:v>210.70882229049153</c:v>
                </c:pt>
                <c:pt idx="206">
                  <c:v>210.99257766470083</c:v>
                </c:pt>
                <c:pt idx="207">
                  <c:v>211.27725240668153</c:v>
                </c:pt>
                <c:pt idx="208">
                  <c:v>211.5628494951863</c:v>
                </c:pt>
                <c:pt idx="209">
                  <c:v>211.84937191861911</c:v>
                </c:pt>
                <c:pt idx="210">
                  <c:v>212.13682267506624</c:v>
                </c:pt>
                <c:pt idx="211">
                  <c:v>212.4252047723279</c:v>
                </c:pt>
                <c:pt idx="212">
                  <c:v>212.71452122794943</c:v>
                </c:pt>
                <c:pt idx="213">
                  <c:v>213.00477506925313</c:v>
                </c:pt>
                <c:pt idx="214">
                  <c:v>213.29596933336984</c:v>
                </c:pt>
                <c:pt idx="215">
                  <c:v>213.58810706727058</c:v>
                </c:pt>
                <c:pt idx="216">
                  <c:v>213.88119132779877</c:v>
                </c:pt>
                <c:pt idx="217">
                  <c:v>214.17522518170171</c:v>
                </c:pt>
                <c:pt idx="218">
                  <c:v>214.4702117056633</c:v>
                </c:pt>
                <c:pt idx="219">
                  <c:v>214.76615398633561</c:v>
                </c:pt>
                <c:pt idx="220">
                  <c:v>215.06305512037164</c:v>
                </c:pt>
                <c:pt idx="221">
                  <c:v>215.36091821445751</c:v>
                </c:pt>
                <c:pt idx="222">
                  <c:v>215.65974638534499</c:v>
                </c:pt>
                <c:pt idx="223">
                  <c:v>215.95954275988413</c:v>
                </c:pt>
                <c:pt idx="224">
                  <c:v>216.26031047505603</c:v>
                </c:pt>
                <c:pt idx="225">
                  <c:v>216.56205267800556</c:v>
                </c:pt>
                <c:pt idx="226">
                  <c:v>216.86477252607426</c:v>
                </c:pt>
                <c:pt idx="227">
                  <c:v>217.16847318683364</c:v>
                </c:pt>
                <c:pt idx="228">
                  <c:v>217.47315783811803</c:v>
                </c:pt>
                <c:pt idx="229">
                  <c:v>217.77882966805794</c:v>
                </c:pt>
                <c:pt idx="230">
                  <c:v>218.08549187511358</c:v>
                </c:pt>
                <c:pt idx="231">
                  <c:v>218.39314766810793</c:v>
                </c:pt>
                <c:pt idx="232">
                  <c:v>218.70180026626076</c:v>
                </c:pt>
                <c:pt idx="233">
                  <c:v>219.01145289922204</c:v>
                </c:pt>
                <c:pt idx="234">
                  <c:v>219.32210880710579</c:v>
                </c:pt>
                <c:pt idx="235">
                  <c:v>219.63377124052403</c:v>
                </c:pt>
                <c:pt idx="236">
                  <c:v>219.9464434606208</c:v>
                </c:pt>
                <c:pt idx="237">
                  <c:v>220.26012873910616</c:v>
                </c:pt>
                <c:pt idx="238">
                  <c:v>220.57483035829063</c:v>
                </c:pt>
                <c:pt idx="239">
                  <c:v>220.89055161111929</c:v>
                </c:pt>
                <c:pt idx="240">
                  <c:v>84.000000000000014</c:v>
                </c:pt>
                <c:pt idx="241">
                  <c:v>84.000000000000014</c:v>
                </c:pt>
                <c:pt idx="242">
                  <c:v>84.000000000000014</c:v>
                </c:pt>
                <c:pt idx="243">
                  <c:v>84.000000000000014</c:v>
                </c:pt>
                <c:pt idx="244">
                  <c:v>84.000000000000014</c:v>
                </c:pt>
                <c:pt idx="245">
                  <c:v>84.000000000000014</c:v>
                </c:pt>
                <c:pt idx="246">
                  <c:v>84.000000000000014</c:v>
                </c:pt>
                <c:pt idx="247">
                  <c:v>84.000000000000014</c:v>
                </c:pt>
                <c:pt idx="248">
                  <c:v>84.000000000000014</c:v>
                </c:pt>
                <c:pt idx="249">
                  <c:v>84.000000000000014</c:v>
                </c:pt>
                <c:pt idx="250">
                  <c:v>84.000000000000014</c:v>
                </c:pt>
                <c:pt idx="251">
                  <c:v>84.000000000000014</c:v>
                </c:pt>
                <c:pt idx="252">
                  <c:v>84.000000000000014</c:v>
                </c:pt>
                <c:pt idx="253">
                  <c:v>84.000000000000014</c:v>
                </c:pt>
                <c:pt idx="254">
                  <c:v>84.000000000000014</c:v>
                </c:pt>
                <c:pt idx="255">
                  <c:v>84.000000000000014</c:v>
                </c:pt>
                <c:pt idx="256">
                  <c:v>84.000000000000014</c:v>
                </c:pt>
                <c:pt idx="257">
                  <c:v>84.000000000000014</c:v>
                </c:pt>
                <c:pt idx="258">
                  <c:v>84.000000000000014</c:v>
                </c:pt>
                <c:pt idx="259">
                  <c:v>84.000000000000014</c:v>
                </c:pt>
                <c:pt idx="260">
                  <c:v>84.000000000000014</c:v>
                </c:pt>
                <c:pt idx="261">
                  <c:v>84.000000000000014</c:v>
                </c:pt>
                <c:pt idx="262">
                  <c:v>84.000000000000014</c:v>
                </c:pt>
                <c:pt idx="263">
                  <c:v>84.000000000000014</c:v>
                </c:pt>
                <c:pt idx="264">
                  <c:v>84.000000000000014</c:v>
                </c:pt>
                <c:pt idx="265">
                  <c:v>84.000000000000014</c:v>
                </c:pt>
                <c:pt idx="266">
                  <c:v>84.000000000000014</c:v>
                </c:pt>
                <c:pt idx="267">
                  <c:v>84.000000000000014</c:v>
                </c:pt>
                <c:pt idx="268">
                  <c:v>84.000000000000014</c:v>
                </c:pt>
                <c:pt idx="269">
                  <c:v>84.000000000000014</c:v>
                </c:pt>
                <c:pt idx="270">
                  <c:v>84.000000000000014</c:v>
                </c:pt>
                <c:pt idx="271">
                  <c:v>84.000000000000014</c:v>
                </c:pt>
                <c:pt idx="272">
                  <c:v>84.000000000000014</c:v>
                </c:pt>
                <c:pt idx="273">
                  <c:v>84.000000000000014</c:v>
                </c:pt>
                <c:pt idx="274">
                  <c:v>84.000000000000014</c:v>
                </c:pt>
                <c:pt idx="275">
                  <c:v>84.000000000000014</c:v>
                </c:pt>
                <c:pt idx="276">
                  <c:v>84.000000000000014</c:v>
                </c:pt>
                <c:pt idx="277">
                  <c:v>84.000000000000014</c:v>
                </c:pt>
                <c:pt idx="278">
                  <c:v>84.000000000000014</c:v>
                </c:pt>
                <c:pt idx="279">
                  <c:v>84.000000000000014</c:v>
                </c:pt>
                <c:pt idx="280">
                  <c:v>84.000000000000014</c:v>
                </c:pt>
                <c:pt idx="281">
                  <c:v>84.000000000000014</c:v>
                </c:pt>
                <c:pt idx="282">
                  <c:v>84.000000000000014</c:v>
                </c:pt>
                <c:pt idx="283">
                  <c:v>84.000000000000014</c:v>
                </c:pt>
                <c:pt idx="284">
                  <c:v>84.000000000000014</c:v>
                </c:pt>
                <c:pt idx="285">
                  <c:v>84.000000000000014</c:v>
                </c:pt>
                <c:pt idx="286">
                  <c:v>84.000000000000014</c:v>
                </c:pt>
                <c:pt idx="287">
                  <c:v>84.000000000000014</c:v>
                </c:pt>
                <c:pt idx="288">
                  <c:v>84.000000000000014</c:v>
                </c:pt>
                <c:pt idx="289">
                  <c:v>84.000000000000014</c:v>
                </c:pt>
                <c:pt idx="290">
                  <c:v>84.000000000000014</c:v>
                </c:pt>
                <c:pt idx="291">
                  <c:v>84.000000000000014</c:v>
                </c:pt>
                <c:pt idx="292">
                  <c:v>84.000000000000014</c:v>
                </c:pt>
                <c:pt idx="293">
                  <c:v>84.000000000000014</c:v>
                </c:pt>
                <c:pt idx="294">
                  <c:v>84.000000000000014</c:v>
                </c:pt>
                <c:pt idx="295">
                  <c:v>84.000000000000014</c:v>
                </c:pt>
                <c:pt idx="296">
                  <c:v>84.000000000000014</c:v>
                </c:pt>
                <c:pt idx="297">
                  <c:v>84.000000000000014</c:v>
                </c:pt>
                <c:pt idx="298">
                  <c:v>84.000000000000014</c:v>
                </c:pt>
                <c:pt idx="299">
                  <c:v>84.000000000000014</c:v>
                </c:pt>
                <c:pt idx="300">
                  <c:v>84.000000000000014</c:v>
                </c:pt>
                <c:pt idx="301">
                  <c:v>84.000000000000014</c:v>
                </c:pt>
                <c:pt idx="302">
                  <c:v>84.000000000000014</c:v>
                </c:pt>
                <c:pt idx="303">
                  <c:v>84.000000000000014</c:v>
                </c:pt>
                <c:pt idx="304">
                  <c:v>84.000000000000014</c:v>
                </c:pt>
                <c:pt idx="305">
                  <c:v>84.000000000000014</c:v>
                </c:pt>
                <c:pt idx="306">
                  <c:v>84.000000000000014</c:v>
                </c:pt>
                <c:pt idx="307">
                  <c:v>84.000000000000014</c:v>
                </c:pt>
                <c:pt idx="308">
                  <c:v>84.000000000000014</c:v>
                </c:pt>
                <c:pt idx="309">
                  <c:v>84.000000000000014</c:v>
                </c:pt>
                <c:pt idx="310">
                  <c:v>84.000000000000014</c:v>
                </c:pt>
                <c:pt idx="311">
                  <c:v>84.000000000000014</c:v>
                </c:pt>
                <c:pt idx="312">
                  <c:v>84.000000000000014</c:v>
                </c:pt>
                <c:pt idx="313">
                  <c:v>84.000000000000014</c:v>
                </c:pt>
                <c:pt idx="314">
                  <c:v>84.000000000000014</c:v>
                </c:pt>
                <c:pt idx="315">
                  <c:v>84.000000000000014</c:v>
                </c:pt>
                <c:pt idx="316">
                  <c:v>84.000000000000014</c:v>
                </c:pt>
                <c:pt idx="317">
                  <c:v>84.000000000000014</c:v>
                </c:pt>
                <c:pt idx="318">
                  <c:v>84.000000000000014</c:v>
                </c:pt>
                <c:pt idx="319">
                  <c:v>84.000000000000014</c:v>
                </c:pt>
                <c:pt idx="320">
                  <c:v>84.000000000000014</c:v>
                </c:pt>
                <c:pt idx="321">
                  <c:v>84.000000000000014</c:v>
                </c:pt>
                <c:pt idx="322">
                  <c:v>84.000000000000014</c:v>
                </c:pt>
                <c:pt idx="323">
                  <c:v>84.000000000000014</c:v>
                </c:pt>
                <c:pt idx="324">
                  <c:v>84.000000000000014</c:v>
                </c:pt>
                <c:pt idx="325">
                  <c:v>84.000000000000014</c:v>
                </c:pt>
                <c:pt idx="326">
                  <c:v>84.000000000000014</c:v>
                </c:pt>
                <c:pt idx="327">
                  <c:v>84.000000000000014</c:v>
                </c:pt>
                <c:pt idx="328">
                  <c:v>84.000000000000014</c:v>
                </c:pt>
                <c:pt idx="329">
                  <c:v>84.000000000000014</c:v>
                </c:pt>
                <c:pt idx="330">
                  <c:v>84.000000000000014</c:v>
                </c:pt>
                <c:pt idx="331">
                  <c:v>84.000000000000014</c:v>
                </c:pt>
                <c:pt idx="332">
                  <c:v>84.000000000000014</c:v>
                </c:pt>
                <c:pt idx="333">
                  <c:v>84.000000000000014</c:v>
                </c:pt>
                <c:pt idx="334">
                  <c:v>84.000000000000014</c:v>
                </c:pt>
                <c:pt idx="335">
                  <c:v>84.000000000000014</c:v>
                </c:pt>
                <c:pt idx="336">
                  <c:v>84.000000000000014</c:v>
                </c:pt>
                <c:pt idx="337">
                  <c:v>84.000000000000014</c:v>
                </c:pt>
                <c:pt idx="338">
                  <c:v>84.000000000000014</c:v>
                </c:pt>
                <c:pt idx="339">
                  <c:v>84.000000000000014</c:v>
                </c:pt>
                <c:pt idx="340">
                  <c:v>84.000000000000014</c:v>
                </c:pt>
                <c:pt idx="341">
                  <c:v>84.000000000000014</c:v>
                </c:pt>
                <c:pt idx="342">
                  <c:v>84.000000000000014</c:v>
                </c:pt>
                <c:pt idx="343">
                  <c:v>84.000000000000014</c:v>
                </c:pt>
                <c:pt idx="344">
                  <c:v>84.000000000000014</c:v>
                </c:pt>
                <c:pt idx="345">
                  <c:v>84.000000000000014</c:v>
                </c:pt>
                <c:pt idx="346">
                  <c:v>84.000000000000014</c:v>
                </c:pt>
                <c:pt idx="347">
                  <c:v>84.000000000000014</c:v>
                </c:pt>
                <c:pt idx="348">
                  <c:v>84.000000000000014</c:v>
                </c:pt>
                <c:pt idx="349">
                  <c:v>84.000000000000014</c:v>
                </c:pt>
                <c:pt idx="350">
                  <c:v>84.000000000000014</c:v>
                </c:pt>
                <c:pt idx="351">
                  <c:v>84.000000000000014</c:v>
                </c:pt>
                <c:pt idx="352">
                  <c:v>84.000000000000014</c:v>
                </c:pt>
                <c:pt idx="353">
                  <c:v>84.000000000000014</c:v>
                </c:pt>
                <c:pt idx="354">
                  <c:v>84.000000000000014</c:v>
                </c:pt>
                <c:pt idx="355">
                  <c:v>84.000000000000014</c:v>
                </c:pt>
                <c:pt idx="356">
                  <c:v>84.000000000000014</c:v>
                </c:pt>
                <c:pt idx="357">
                  <c:v>84.000000000000014</c:v>
                </c:pt>
                <c:pt idx="358">
                  <c:v>84.000000000000014</c:v>
                </c:pt>
                <c:pt idx="359">
                  <c:v>84.000000000000014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'Fuel Cost Risk Sim'!$D$245</c:f>
              <c:strCache>
                <c:ptCount val="1"/>
                <c:pt idx="0">
                  <c:v>AB2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'Fuel Cost Risk Sim'!$E$243:$MZ$243</c:f>
              <c:numCache>
                <c:formatCode>m/d/yyyy</c:formatCode>
                <c:ptCount val="360"/>
                <c:pt idx="0">
                  <c:v>42156</c:v>
                </c:pt>
                <c:pt idx="1">
                  <c:v>42186</c:v>
                </c:pt>
                <c:pt idx="2">
                  <c:v>42217</c:v>
                </c:pt>
                <c:pt idx="3">
                  <c:v>42248</c:v>
                </c:pt>
                <c:pt idx="4">
                  <c:v>42278</c:v>
                </c:pt>
                <c:pt idx="5">
                  <c:v>42309</c:v>
                </c:pt>
                <c:pt idx="6">
                  <c:v>42339</c:v>
                </c:pt>
                <c:pt idx="7">
                  <c:v>42370</c:v>
                </c:pt>
                <c:pt idx="8">
                  <c:v>42401</c:v>
                </c:pt>
                <c:pt idx="9">
                  <c:v>42430</c:v>
                </c:pt>
                <c:pt idx="10">
                  <c:v>42461</c:v>
                </c:pt>
                <c:pt idx="11">
                  <c:v>42491</c:v>
                </c:pt>
                <c:pt idx="12">
                  <c:v>42522</c:v>
                </c:pt>
                <c:pt idx="13">
                  <c:v>42552</c:v>
                </c:pt>
                <c:pt idx="14">
                  <c:v>42583</c:v>
                </c:pt>
                <c:pt idx="15">
                  <c:v>42614</c:v>
                </c:pt>
                <c:pt idx="16">
                  <c:v>42644</c:v>
                </c:pt>
                <c:pt idx="17">
                  <c:v>42675</c:v>
                </c:pt>
                <c:pt idx="18">
                  <c:v>42705</c:v>
                </c:pt>
                <c:pt idx="19">
                  <c:v>42736</c:v>
                </c:pt>
                <c:pt idx="20">
                  <c:v>42767</c:v>
                </c:pt>
                <c:pt idx="21">
                  <c:v>42795</c:v>
                </c:pt>
                <c:pt idx="22">
                  <c:v>42826</c:v>
                </c:pt>
                <c:pt idx="23">
                  <c:v>42856</c:v>
                </c:pt>
                <c:pt idx="24">
                  <c:v>42887</c:v>
                </c:pt>
                <c:pt idx="25">
                  <c:v>42917</c:v>
                </c:pt>
                <c:pt idx="26">
                  <c:v>42948</c:v>
                </c:pt>
                <c:pt idx="27">
                  <c:v>42979</c:v>
                </c:pt>
                <c:pt idx="28">
                  <c:v>43009</c:v>
                </c:pt>
                <c:pt idx="29">
                  <c:v>43040</c:v>
                </c:pt>
                <c:pt idx="30">
                  <c:v>43070</c:v>
                </c:pt>
                <c:pt idx="31">
                  <c:v>43101</c:v>
                </c:pt>
                <c:pt idx="32">
                  <c:v>43132</c:v>
                </c:pt>
                <c:pt idx="33">
                  <c:v>43160</c:v>
                </c:pt>
                <c:pt idx="34">
                  <c:v>43191</c:v>
                </c:pt>
                <c:pt idx="35">
                  <c:v>43221</c:v>
                </c:pt>
                <c:pt idx="36">
                  <c:v>43252</c:v>
                </c:pt>
                <c:pt idx="37">
                  <c:v>43282</c:v>
                </c:pt>
                <c:pt idx="38">
                  <c:v>43313</c:v>
                </c:pt>
                <c:pt idx="39">
                  <c:v>43344</c:v>
                </c:pt>
                <c:pt idx="40">
                  <c:v>43374</c:v>
                </c:pt>
                <c:pt idx="41">
                  <c:v>43405</c:v>
                </c:pt>
                <c:pt idx="42">
                  <c:v>43435</c:v>
                </c:pt>
                <c:pt idx="43">
                  <c:v>43466</c:v>
                </c:pt>
                <c:pt idx="44">
                  <c:v>43497</c:v>
                </c:pt>
                <c:pt idx="45">
                  <c:v>43525</c:v>
                </c:pt>
                <c:pt idx="46">
                  <c:v>43556</c:v>
                </c:pt>
                <c:pt idx="47">
                  <c:v>43586</c:v>
                </c:pt>
                <c:pt idx="48">
                  <c:v>43617</c:v>
                </c:pt>
                <c:pt idx="49">
                  <c:v>43647</c:v>
                </c:pt>
                <c:pt idx="50">
                  <c:v>43678</c:v>
                </c:pt>
                <c:pt idx="51">
                  <c:v>43709</c:v>
                </c:pt>
                <c:pt idx="52">
                  <c:v>43739</c:v>
                </c:pt>
                <c:pt idx="53">
                  <c:v>43770</c:v>
                </c:pt>
                <c:pt idx="54">
                  <c:v>43800</c:v>
                </c:pt>
                <c:pt idx="55">
                  <c:v>43831</c:v>
                </c:pt>
                <c:pt idx="56">
                  <c:v>43862</c:v>
                </c:pt>
                <c:pt idx="57">
                  <c:v>43891</c:v>
                </c:pt>
                <c:pt idx="58">
                  <c:v>43922</c:v>
                </c:pt>
                <c:pt idx="59">
                  <c:v>43952</c:v>
                </c:pt>
                <c:pt idx="60">
                  <c:v>43983</c:v>
                </c:pt>
                <c:pt idx="61">
                  <c:v>44013</c:v>
                </c:pt>
                <c:pt idx="62">
                  <c:v>44044</c:v>
                </c:pt>
                <c:pt idx="63">
                  <c:v>44075</c:v>
                </c:pt>
                <c:pt idx="64">
                  <c:v>44105</c:v>
                </c:pt>
                <c:pt idx="65">
                  <c:v>44136</c:v>
                </c:pt>
                <c:pt idx="66">
                  <c:v>44166</c:v>
                </c:pt>
                <c:pt idx="67">
                  <c:v>44197</c:v>
                </c:pt>
                <c:pt idx="68">
                  <c:v>44228</c:v>
                </c:pt>
                <c:pt idx="69">
                  <c:v>44256</c:v>
                </c:pt>
                <c:pt idx="70">
                  <c:v>44287</c:v>
                </c:pt>
                <c:pt idx="71">
                  <c:v>44317</c:v>
                </c:pt>
                <c:pt idx="72">
                  <c:v>44348</c:v>
                </c:pt>
                <c:pt idx="73">
                  <c:v>44378</c:v>
                </c:pt>
                <c:pt idx="74">
                  <c:v>44409</c:v>
                </c:pt>
                <c:pt idx="75">
                  <c:v>44440</c:v>
                </c:pt>
                <c:pt idx="76">
                  <c:v>44470</c:v>
                </c:pt>
                <c:pt idx="77">
                  <c:v>44501</c:v>
                </c:pt>
                <c:pt idx="78">
                  <c:v>44531</c:v>
                </c:pt>
                <c:pt idx="79">
                  <c:v>44562</c:v>
                </c:pt>
                <c:pt idx="80">
                  <c:v>44593</c:v>
                </c:pt>
                <c:pt idx="81">
                  <c:v>44621</c:v>
                </c:pt>
                <c:pt idx="82">
                  <c:v>44652</c:v>
                </c:pt>
                <c:pt idx="83">
                  <c:v>44682</c:v>
                </c:pt>
                <c:pt idx="84">
                  <c:v>44713</c:v>
                </c:pt>
                <c:pt idx="85">
                  <c:v>44743</c:v>
                </c:pt>
                <c:pt idx="86">
                  <c:v>44774</c:v>
                </c:pt>
                <c:pt idx="87">
                  <c:v>44805</c:v>
                </c:pt>
                <c:pt idx="88">
                  <c:v>44835</c:v>
                </c:pt>
                <c:pt idx="89">
                  <c:v>44866</c:v>
                </c:pt>
                <c:pt idx="90">
                  <c:v>44896</c:v>
                </c:pt>
                <c:pt idx="91">
                  <c:v>44927</c:v>
                </c:pt>
                <c:pt idx="92">
                  <c:v>44958</c:v>
                </c:pt>
                <c:pt idx="93">
                  <c:v>44986</c:v>
                </c:pt>
                <c:pt idx="94">
                  <c:v>45017</c:v>
                </c:pt>
                <c:pt idx="95">
                  <c:v>45047</c:v>
                </c:pt>
                <c:pt idx="96">
                  <c:v>45078</c:v>
                </c:pt>
                <c:pt idx="97">
                  <c:v>45108</c:v>
                </c:pt>
                <c:pt idx="98">
                  <c:v>45139</c:v>
                </c:pt>
                <c:pt idx="99">
                  <c:v>45170</c:v>
                </c:pt>
                <c:pt idx="100">
                  <c:v>45200</c:v>
                </c:pt>
                <c:pt idx="101">
                  <c:v>45231</c:v>
                </c:pt>
                <c:pt idx="102">
                  <c:v>45261</c:v>
                </c:pt>
                <c:pt idx="103">
                  <c:v>45292</c:v>
                </c:pt>
                <c:pt idx="104">
                  <c:v>45323</c:v>
                </c:pt>
                <c:pt idx="105">
                  <c:v>45352</c:v>
                </c:pt>
                <c:pt idx="106">
                  <c:v>45383</c:v>
                </c:pt>
                <c:pt idx="107">
                  <c:v>45413</c:v>
                </c:pt>
                <c:pt idx="108">
                  <c:v>45444</c:v>
                </c:pt>
                <c:pt idx="109">
                  <c:v>45474</c:v>
                </c:pt>
                <c:pt idx="110">
                  <c:v>45505</c:v>
                </c:pt>
                <c:pt idx="111">
                  <c:v>45536</c:v>
                </c:pt>
                <c:pt idx="112">
                  <c:v>45566</c:v>
                </c:pt>
                <c:pt idx="113">
                  <c:v>45597</c:v>
                </c:pt>
                <c:pt idx="114">
                  <c:v>45627</c:v>
                </c:pt>
                <c:pt idx="115">
                  <c:v>45658</c:v>
                </c:pt>
                <c:pt idx="116">
                  <c:v>45689</c:v>
                </c:pt>
                <c:pt idx="117">
                  <c:v>45717</c:v>
                </c:pt>
                <c:pt idx="118">
                  <c:v>45748</c:v>
                </c:pt>
                <c:pt idx="119">
                  <c:v>45778</c:v>
                </c:pt>
                <c:pt idx="120">
                  <c:v>45809</c:v>
                </c:pt>
                <c:pt idx="121">
                  <c:v>45839</c:v>
                </c:pt>
                <c:pt idx="122">
                  <c:v>45870</c:v>
                </c:pt>
                <c:pt idx="123">
                  <c:v>45901</c:v>
                </c:pt>
                <c:pt idx="124">
                  <c:v>45931</c:v>
                </c:pt>
                <c:pt idx="125">
                  <c:v>45962</c:v>
                </c:pt>
                <c:pt idx="126">
                  <c:v>45992</c:v>
                </c:pt>
                <c:pt idx="127">
                  <c:v>46023</c:v>
                </c:pt>
                <c:pt idx="128">
                  <c:v>46054</c:v>
                </c:pt>
                <c:pt idx="129">
                  <c:v>46082</c:v>
                </c:pt>
                <c:pt idx="130">
                  <c:v>46113</c:v>
                </c:pt>
                <c:pt idx="131">
                  <c:v>46143</c:v>
                </c:pt>
                <c:pt idx="132">
                  <c:v>46174</c:v>
                </c:pt>
                <c:pt idx="133">
                  <c:v>46204</c:v>
                </c:pt>
                <c:pt idx="134">
                  <c:v>46235</c:v>
                </c:pt>
                <c:pt idx="135">
                  <c:v>46266</c:v>
                </c:pt>
                <c:pt idx="136">
                  <c:v>46296</c:v>
                </c:pt>
                <c:pt idx="137">
                  <c:v>46327</c:v>
                </c:pt>
                <c:pt idx="138">
                  <c:v>46357</c:v>
                </c:pt>
                <c:pt idx="139">
                  <c:v>46388</c:v>
                </c:pt>
                <c:pt idx="140">
                  <c:v>46419</c:v>
                </c:pt>
                <c:pt idx="141">
                  <c:v>46447</c:v>
                </c:pt>
                <c:pt idx="142">
                  <c:v>46478</c:v>
                </c:pt>
                <c:pt idx="143">
                  <c:v>46508</c:v>
                </c:pt>
                <c:pt idx="144">
                  <c:v>46539</c:v>
                </c:pt>
                <c:pt idx="145">
                  <c:v>46569</c:v>
                </c:pt>
                <c:pt idx="146">
                  <c:v>46600</c:v>
                </c:pt>
                <c:pt idx="147">
                  <c:v>46631</c:v>
                </c:pt>
                <c:pt idx="148">
                  <c:v>46661</c:v>
                </c:pt>
                <c:pt idx="149">
                  <c:v>46692</c:v>
                </c:pt>
                <c:pt idx="150">
                  <c:v>46722</c:v>
                </c:pt>
                <c:pt idx="151">
                  <c:v>46753</c:v>
                </c:pt>
                <c:pt idx="152">
                  <c:v>46784</c:v>
                </c:pt>
                <c:pt idx="153">
                  <c:v>46813</c:v>
                </c:pt>
                <c:pt idx="154">
                  <c:v>46844</c:v>
                </c:pt>
                <c:pt idx="155">
                  <c:v>46874</c:v>
                </c:pt>
                <c:pt idx="156">
                  <c:v>46905</c:v>
                </c:pt>
                <c:pt idx="157">
                  <c:v>46935</c:v>
                </c:pt>
                <c:pt idx="158">
                  <c:v>46966</c:v>
                </c:pt>
                <c:pt idx="159">
                  <c:v>46997</c:v>
                </c:pt>
                <c:pt idx="160">
                  <c:v>47027</c:v>
                </c:pt>
                <c:pt idx="161">
                  <c:v>47058</c:v>
                </c:pt>
                <c:pt idx="162">
                  <c:v>47088</c:v>
                </c:pt>
                <c:pt idx="163">
                  <c:v>47119</c:v>
                </c:pt>
                <c:pt idx="164">
                  <c:v>47150</c:v>
                </c:pt>
                <c:pt idx="165">
                  <c:v>47178</c:v>
                </c:pt>
                <c:pt idx="166">
                  <c:v>47209</c:v>
                </c:pt>
                <c:pt idx="167">
                  <c:v>47239</c:v>
                </c:pt>
                <c:pt idx="168">
                  <c:v>47270</c:v>
                </c:pt>
                <c:pt idx="169">
                  <c:v>47300</c:v>
                </c:pt>
                <c:pt idx="170">
                  <c:v>47331</c:v>
                </c:pt>
                <c:pt idx="171">
                  <c:v>47362</c:v>
                </c:pt>
                <c:pt idx="172">
                  <c:v>47392</c:v>
                </c:pt>
                <c:pt idx="173">
                  <c:v>47423</c:v>
                </c:pt>
                <c:pt idx="174">
                  <c:v>47453</c:v>
                </c:pt>
                <c:pt idx="175">
                  <c:v>47484</c:v>
                </c:pt>
                <c:pt idx="176">
                  <c:v>47515</c:v>
                </c:pt>
                <c:pt idx="177">
                  <c:v>47543</c:v>
                </c:pt>
                <c:pt idx="178">
                  <c:v>47574</c:v>
                </c:pt>
                <c:pt idx="179">
                  <c:v>47604</c:v>
                </c:pt>
                <c:pt idx="180">
                  <c:v>47635</c:v>
                </c:pt>
                <c:pt idx="181">
                  <c:v>47665</c:v>
                </c:pt>
                <c:pt idx="182">
                  <c:v>47696</c:v>
                </c:pt>
                <c:pt idx="183">
                  <c:v>47727</c:v>
                </c:pt>
                <c:pt idx="184">
                  <c:v>47757</c:v>
                </c:pt>
                <c:pt idx="185">
                  <c:v>47788</c:v>
                </c:pt>
                <c:pt idx="186">
                  <c:v>47818</c:v>
                </c:pt>
                <c:pt idx="187">
                  <c:v>47849</c:v>
                </c:pt>
                <c:pt idx="188">
                  <c:v>47880</c:v>
                </c:pt>
                <c:pt idx="189">
                  <c:v>47908</c:v>
                </c:pt>
                <c:pt idx="190">
                  <c:v>47939</c:v>
                </c:pt>
                <c:pt idx="191">
                  <c:v>47969</c:v>
                </c:pt>
                <c:pt idx="192">
                  <c:v>48000</c:v>
                </c:pt>
                <c:pt idx="193">
                  <c:v>48030</c:v>
                </c:pt>
                <c:pt idx="194">
                  <c:v>48061</c:v>
                </c:pt>
                <c:pt idx="195">
                  <c:v>48092</c:v>
                </c:pt>
                <c:pt idx="196">
                  <c:v>48122</c:v>
                </c:pt>
                <c:pt idx="197">
                  <c:v>48153</c:v>
                </c:pt>
                <c:pt idx="198">
                  <c:v>48183</c:v>
                </c:pt>
                <c:pt idx="199">
                  <c:v>48214</c:v>
                </c:pt>
                <c:pt idx="200">
                  <c:v>48245</c:v>
                </c:pt>
                <c:pt idx="201">
                  <c:v>48274</c:v>
                </c:pt>
                <c:pt idx="202">
                  <c:v>48305</c:v>
                </c:pt>
                <c:pt idx="203">
                  <c:v>48335</c:v>
                </c:pt>
                <c:pt idx="204">
                  <c:v>48366</c:v>
                </c:pt>
                <c:pt idx="205">
                  <c:v>48396</c:v>
                </c:pt>
                <c:pt idx="206">
                  <c:v>48427</c:v>
                </c:pt>
                <c:pt idx="207">
                  <c:v>48458</c:v>
                </c:pt>
                <c:pt idx="208">
                  <c:v>48488</c:v>
                </c:pt>
                <c:pt idx="209">
                  <c:v>48519</c:v>
                </c:pt>
                <c:pt idx="210">
                  <c:v>48549</c:v>
                </c:pt>
                <c:pt idx="211">
                  <c:v>48580</c:v>
                </c:pt>
                <c:pt idx="212">
                  <c:v>48611</c:v>
                </c:pt>
                <c:pt idx="213">
                  <c:v>48639</c:v>
                </c:pt>
                <c:pt idx="214">
                  <c:v>48670</c:v>
                </c:pt>
                <c:pt idx="215">
                  <c:v>48700</c:v>
                </c:pt>
                <c:pt idx="216">
                  <c:v>48731</c:v>
                </c:pt>
                <c:pt idx="217">
                  <c:v>48761</c:v>
                </c:pt>
                <c:pt idx="218">
                  <c:v>48792</c:v>
                </c:pt>
                <c:pt idx="219">
                  <c:v>48823</c:v>
                </c:pt>
                <c:pt idx="220">
                  <c:v>48853</c:v>
                </c:pt>
                <c:pt idx="221">
                  <c:v>48884</c:v>
                </c:pt>
                <c:pt idx="222">
                  <c:v>48914</c:v>
                </c:pt>
                <c:pt idx="223">
                  <c:v>48945</c:v>
                </c:pt>
                <c:pt idx="224">
                  <c:v>48976</c:v>
                </c:pt>
                <c:pt idx="225">
                  <c:v>49004</c:v>
                </c:pt>
                <c:pt idx="226">
                  <c:v>49035</c:v>
                </c:pt>
                <c:pt idx="227">
                  <c:v>49065</c:v>
                </c:pt>
                <c:pt idx="228">
                  <c:v>49096</c:v>
                </c:pt>
                <c:pt idx="229">
                  <c:v>49126</c:v>
                </c:pt>
                <c:pt idx="230">
                  <c:v>49157</c:v>
                </c:pt>
                <c:pt idx="231">
                  <c:v>49188</c:v>
                </c:pt>
                <c:pt idx="232">
                  <c:v>49218</c:v>
                </c:pt>
                <c:pt idx="233">
                  <c:v>49249</c:v>
                </c:pt>
                <c:pt idx="234">
                  <c:v>49279</c:v>
                </c:pt>
                <c:pt idx="235">
                  <c:v>49310</c:v>
                </c:pt>
                <c:pt idx="236">
                  <c:v>49341</c:v>
                </c:pt>
                <c:pt idx="237">
                  <c:v>49369</c:v>
                </c:pt>
                <c:pt idx="238">
                  <c:v>49400</c:v>
                </c:pt>
                <c:pt idx="239">
                  <c:v>49430</c:v>
                </c:pt>
                <c:pt idx="240">
                  <c:v>49461</c:v>
                </c:pt>
                <c:pt idx="241">
                  <c:v>49491</c:v>
                </c:pt>
                <c:pt idx="242">
                  <c:v>49522</c:v>
                </c:pt>
                <c:pt idx="243">
                  <c:v>49553</c:v>
                </c:pt>
                <c:pt idx="244">
                  <c:v>49583</c:v>
                </c:pt>
                <c:pt idx="245">
                  <c:v>49614</c:v>
                </c:pt>
                <c:pt idx="246">
                  <c:v>49644</c:v>
                </c:pt>
                <c:pt idx="247">
                  <c:v>49675</c:v>
                </c:pt>
                <c:pt idx="248">
                  <c:v>49706</c:v>
                </c:pt>
                <c:pt idx="249">
                  <c:v>49735</c:v>
                </c:pt>
                <c:pt idx="250">
                  <c:v>49766</c:v>
                </c:pt>
                <c:pt idx="251">
                  <c:v>49796</c:v>
                </c:pt>
                <c:pt idx="252">
                  <c:v>49827</c:v>
                </c:pt>
                <c:pt idx="253">
                  <c:v>49857</c:v>
                </c:pt>
                <c:pt idx="254">
                  <c:v>49888</c:v>
                </c:pt>
                <c:pt idx="255">
                  <c:v>49919</c:v>
                </c:pt>
                <c:pt idx="256">
                  <c:v>49949</c:v>
                </c:pt>
                <c:pt idx="257">
                  <c:v>49980</c:v>
                </c:pt>
                <c:pt idx="258">
                  <c:v>50010</c:v>
                </c:pt>
                <c:pt idx="259">
                  <c:v>50041</c:v>
                </c:pt>
                <c:pt idx="260">
                  <c:v>50072</c:v>
                </c:pt>
                <c:pt idx="261">
                  <c:v>50100</c:v>
                </c:pt>
                <c:pt idx="262">
                  <c:v>50131</c:v>
                </c:pt>
                <c:pt idx="263">
                  <c:v>50161</c:v>
                </c:pt>
                <c:pt idx="264">
                  <c:v>50192</c:v>
                </c:pt>
                <c:pt idx="265">
                  <c:v>50222</c:v>
                </c:pt>
                <c:pt idx="266">
                  <c:v>50253</c:v>
                </c:pt>
                <c:pt idx="267">
                  <c:v>50284</c:v>
                </c:pt>
                <c:pt idx="268">
                  <c:v>50314</c:v>
                </c:pt>
                <c:pt idx="269">
                  <c:v>50345</c:v>
                </c:pt>
                <c:pt idx="270">
                  <c:v>50375</c:v>
                </c:pt>
                <c:pt idx="271">
                  <c:v>50406</c:v>
                </c:pt>
                <c:pt idx="272">
                  <c:v>50437</c:v>
                </c:pt>
                <c:pt idx="273">
                  <c:v>50465</c:v>
                </c:pt>
                <c:pt idx="274">
                  <c:v>50496</c:v>
                </c:pt>
                <c:pt idx="275">
                  <c:v>50526</c:v>
                </c:pt>
                <c:pt idx="276">
                  <c:v>50557</c:v>
                </c:pt>
                <c:pt idx="277">
                  <c:v>50587</c:v>
                </c:pt>
                <c:pt idx="278">
                  <c:v>50618</c:v>
                </c:pt>
                <c:pt idx="279">
                  <c:v>50649</c:v>
                </c:pt>
                <c:pt idx="280">
                  <c:v>50679</c:v>
                </c:pt>
                <c:pt idx="281">
                  <c:v>50710</c:v>
                </c:pt>
                <c:pt idx="282">
                  <c:v>50740</c:v>
                </c:pt>
                <c:pt idx="283">
                  <c:v>50771</c:v>
                </c:pt>
                <c:pt idx="284">
                  <c:v>50802</c:v>
                </c:pt>
                <c:pt idx="285">
                  <c:v>50830</c:v>
                </c:pt>
                <c:pt idx="286">
                  <c:v>50861</c:v>
                </c:pt>
                <c:pt idx="287">
                  <c:v>50891</c:v>
                </c:pt>
                <c:pt idx="288">
                  <c:v>50922</c:v>
                </c:pt>
                <c:pt idx="289">
                  <c:v>50952</c:v>
                </c:pt>
                <c:pt idx="290">
                  <c:v>50983</c:v>
                </c:pt>
                <c:pt idx="291">
                  <c:v>51014</c:v>
                </c:pt>
                <c:pt idx="292">
                  <c:v>51044</c:v>
                </c:pt>
                <c:pt idx="293">
                  <c:v>51075</c:v>
                </c:pt>
                <c:pt idx="294">
                  <c:v>51105</c:v>
                </c:pt>
                <c:pt idx="295">
                  <c:v>51136</c:v>
                </c:pt>
                <c:pt idx="296">
                  <c:v>51167</c:v>
                </c:pt>
                <c:pt idx="297">
                  <c:v>51196</c:v>
                </c:pt>
                <c:pt idx="298">
                  <c:v>51227</c:v>
                </c:pt>
                <c:pt idx="299">
                  <c:v>51257</c:v>
                </c:pt>
                <c:pt idx="300">
                  <c:v>51288</c:v>
                </c:pt>
                <c:pt idx="301">
                  <c:v>51318</c:v>
                </c:pt>
                <c:pt idx="302">
                  <c:v>51349</c:v>
                </c:pt>
                <c:pt idx="303">
                  <c:v>51380</c:v>
                </c:pt>
                <c:pt idx="304">
                  <c:v>51410</c:v>
                </c:pt>
                <c:pt idx="305">
                  <c:v>51441</c:v>
                </c:pt>
                <c:pt idx="306">
                  <c:v>51471</c:v>
                </c:pt>
                <c:pt idx="307">
                  <c:v>51502</c:v>
                </c:pt>
                <c:pt idx="308">
                  <c:v>51533</c:v>
                </c:pt>
                <c:pt idx="309">
                  <c:v>51561</c:v>
                </c:pt>
                <c:pt idx="310">
                  <c:v>51592</c:v>
                </c:pt>
                <c:pt idx="311">
                  <c:v>51622</c:v>
                </c:pt>
                <c:pt idx="312">
                  <c:v>51653</c:v>
                </c:pt>
                <c:pt idx="313">
                  <c:v>51683</c:v>
                </c:pt>
                <c:pt idx="314">
                  <c:v>51714</c:v>
                </c:pt>
                <c:pt idx="315">
                  <c:v>51745</c:v>
                </c:pt>
                <c:pt idx="316">
                  <c:v>51775</c:v>
                </c:pt>
                <c:pt idx="317">
                  <c:v>51806</c:v>
                </c:pt>
                <c:pt idx="318">
                  <c:v>51836</c:v>
                </c:pt>
                <c:pt idx="319">
                  <c:v>51867</c:v>
                </c:pt>
                <c:pt idx="320">
                  <c:v>51898</c:v>
                </c:pt>
                <c:pt idx="321">
                  <c:v>51926</c:v>
                </c:pt>
                <c:pt idx="322">
                  <c:v>51957</c:v>
                </c:pt>
                <c:pt idx="323">
                  <c:v>51987</c:v>
                </c:pt>
                <c:pt idx="324">
                  <c:v>52018</c:v>
                </c:pt>
                <c:pt idx="325">
                  <c:v>52048</c:v>
                </c:pt>
                <c:pt idx="326">
                  <c:v>52079</c:v>
                </c:pt>
                <c:pt idx="327">
                  <c:v>52110</c:v>
                </c:pt>
                <c:pt idx="328">
                  <c:v>52140</c:v>
                </c:pt>
                <c:pt idx="329">
                  <c:v>52171</c:v>
                </c:pt>
                <c:pt idx="330">
                  <c:v>52201</c:v>
                </c:pt>
                <c:pt idx="331">
                  <c:v>52232</c:v>
                </c:pt>
                <c:pt idx="332">
                  <c:v>52263</c:v>
                </c:pt>
                <c:pt idx="333">
                  <c:v>52291</c:v>
                </c:pt>
                <c:pt idx="334">
                  <c:v>52322</c:v>
                </c:pt>
                <c:pt idx="335">
                  <c:v>52352</c:v>
                </c:pt>
                <c:pt idx="336">
                  <c:v>52383</c:v>
                </c:pt>
                <c:pt idx="337">
                  <c:v>52413</c:v>
                </c:pt>
                <c:pt idx="338">
                  <c:v>52444</c:v>
                </c:pt>
                <c:pt idx="339">
                  <c:v>52475</c:v>
                </c:pt>
                <c:pt idx="340">
                  <c:v>52505</c:v>
                </c:pt>
                <c:pt idx="341">
                  <c:v>52536</c:v>
                </c:pt>
                <c:pt idx="342">
                  <c:v>52566</c:v>
                </c:pt>
                <c:pt idx="343">
                  <c:v>52597</c:v>
                </c:pt>
                <c:pt idx="344">
                  <c:v>52628</c:v>
                </c:pt>
                <c:pt idx="345">
                  <c:v>52657</c:v>
                </c:pt>
                <c:pt idx="346">
                  <c:v>52688</c:v>
                </c:pt>
                <c:pt idx="347">
                  <c:v>52718</c:v>
                </c:pt>
                <c:pt idx="348">
                  <c:v>52749</c:v>
                </c:pt>
                <c:pt idx="349">
                  <c:v>52779</c:v>
                </c:pt>
                <c:pt idx="350">
                  <c:v>52810</c:v>
                </c:pt>
                <c:pt idx="351">
                  <c:v>52841</c:v>
                </c:pt>
                <c:pt idx="352">
                  <c:v>52871</c:v>
                </c:pt>
                <c:pt idx="353">
                  <c:v>52902</c:v>
                </c:pt>
                <c:pt idx="354">
                  <c:v>52932</c:v>
                </c:pt>
                <c:pt idx="355">
                  <c:v>52963</c:v>
                </c:pt>
                <c:pt idx="356">
                  <c:v>52994</c:v>
                </c:pt>
                <c:pt idx="357">
                  <c:v>53022</c:v>
                </c:pt>
                <c:pt idx="358">
                  <c:v>53053</c:v>
                </c:pt>
                <c:pt idx="359">
                  <c:v>53083</c:v>
                </c:pt>
              </c:numCache>
            </c:numRef>
          </c:cat>
          <c:val>
            <c:numRef>
              <c:f>'Fuel Cost Risk Sim'!$E$245:$MZ$245</c:f>
              <c:numCache>
                <c:formatCode>_("$"* #,##0.00_);_("$"* \(#,##0.00\);_("$"* "-"??_);_(@_)</c:formatCode>
                <c:ptCount val="360"/>
                <c:pt idx="0">
                  <c:v>168.3896424530474</c:v>
                </c:pt>
                <c:pt idx="1">
                  <c:v>168.60867187743065</c:v>
                </c:pt>
                <c:pt idx="2">
                  <c:v>168.82841095742597</c:v>
                </c:pt>
                <c:pt idx="3">
                  <c:v>169.04886199231845</c:v>
                </c:pt>
                <c:pt idx="4">
                  <c:v>169.27002728884275</c:v>
                </c:pt>
                <c:pt idx="5">
                  <c:v>169.49190916120764</c:v>
                </c:pt>
                <c:pt idx="6">
                  <c:v>169.71450993111961</c:v>
                </c:pt>
                <c:pt idx="7">
                  <c:v>169.93783192780765</c:v>
                </c:pt>
                <c:pt idx="8">
                  <c:v>170.16187748804748</c:v>
                </c:pt>
                <c:pt idx="9">
                  <c:v>170.38664895618587</c:v>
                </c:pt>
                <c:pt idx="10">
                  <c:v>170.61214868416533</c:v>
                </c:pt>
                <c:pt idx="11">
                  <c:v>170.83837903154867</c:v>
                </c:pt>
                <c:pt idx="12">
                  <c:v>171.06534236554373</c:v>
                </c:pt>
                <c:pt idx="13">
                  <c:v>171.29304106102799</c:v>
                </c:pt>
                <c:pt idx="14">
                  <c:v>171.52147750057367</c:v>
                </c:pt>
                <c:pt idx="15">
                  <c:v>171.75065407447244</c:v>
                </c:pt>
                <c:pt idx="16">
                  <c:v>171.9805731807605</c:v>
                </c:pt>
                <c:pt idx="17">
                  <c:v>172.21123722524379</c:v>
                </c:pt>
                <c:pt idx="18">
                  <c:v>172.44264862152295</c:v>
                </c:pt>
                <c:pt idx="19">
                  <c:v>172.67480979101879</c:v>
                </c:pt>
                <c:pt idx="20">
                  <c:v>172.90772316299746</c:v>
                </c:pt>
                <c:pt idx="21">
                  <c:v>173.14139117459595</c:v>
                </c:pt>
                <c:pt idx="22">
                  <c:v>173.37581627084759</c:v>
                </c:pt>
                <c:pt idx="23">
                  <c:v>173.61100090470762</c:v>
                </c:pt>
                <c:pt idx="24">
                  <c:v>173.84694753707885</c:v>
                </c:pt>
                <c:pt idx="25">
                  <c:v>174.08365863683741</c:v>
                </c:pt>
                <c:pt idx="26">
                  <c:v>174.32113668085861</c:v>
                </c:pt>
                <c:pt idx="27">
                  <c:v>174.55938415404282</c:v>
                </c:pt>
                <c:pt idx="28">
                  <c:v>174.79840354934151</c:v>
                </c:pt>
                <c:pt idx="29">
                  <c:v>175.03819736778331</c:v>
                </c:pt>
                <c:pt idx="30">
                  <c:v>175.27876811850021</c:v>
                </c:pt>
                <c:pt idx="31">
                  <c:v>175.5201183187537</c:v>
                </c:pt>
                <c:pt idx="32">
                  <c:v>175.76225049396132</c:v>
                </c:pt>
                <c:pt idx="33">
                  <c:v>176.00516717772285</c:v>
                </c:pt>
                <c:pt idx="34">
                  <c:v>176.24887091184712</c:v>
                </c:pt>
                <c:pt idx="35">
                  <c:v>176.49336424637812</c:v>
                </c:pt>
                <c:pt idx="36">
                  <c:v>176.73864973962233</c:v>
                </c:pt>
                <c:pt idx="37">
                  <c:v>176.98472995817491</c:v>
                </c:pt>
                <c:pt idx="38">
                  <c:v>177.23160747694686</c:v>
                </c:pt>
                <c:pt idx="39">
                  <c:v>177.47928487919188</c:v>
                </c:pt>
                <c:pt idx="40">
                  <c:v>177.7277647565335</c:v>
                </c:pt>
                <c:pt idx="41">
                  <c:v>177.97704970899201</c:v>
                </c:pt>
                <c:pt idx="42">
                  <c:v>178.22714234501183</c:v>
                </c:pt>
                <c:pt idx="43">
                  <c:v>178.47804528148868</c:v>
                </c:pt>
                <c:pt idx="44">
                  <c:v>178.72976114379708</c:v>
                </c:pt>
                <c:pt idx="45">
                  <c:v>178.98229256581777</c:v>
                </c:pt>
                <c:pt idx="46">
                  <c:v>179.23564218996523</c:v>
                </c:pt>
                <c:pt idx="47">
                  <c:v>179.4898126672154</c:v>
                </c:pt>
                <c:pt idx="48">
                  <c:v>179.74480665713338</c:v>
                </c:pt>
                <c:pt idx="49">
                  <c:v>180.00062682790124</c:v>
                </c:pt>
                <c:pt idx="50">
                  <c:v>180.25727585634596</c:v>
                </c:pt>
                <c:pt idx="51">
                  <c:v>180.51475642796748</c:v>
                </c:pt>
                <c:pt idx="52">
                  <c:v>180.77307123696676</c:v>
                </c:pt>
                <c:pt idx="53">
                  <c:v>181.03222298627395</c:v>
                </c:pt>
                <c:pt idx="54">
                  <c:v>181.29221438757668</c:v>
                </c:pt>
                <c:pt idx="55">
                  <c:v>181.5530481613485</c:v>
                </c:pt>
                <c:pt idx="56">
                  <c:v>181.81472703687729</c:v>
                </c:pt>
                <c:pt idx="57">
                  <c:v>182.07725375229376</c:v>
                </c:pt>
                <c:pt idx="58">
                  <c:v>182.34063105460029</c:v>
                </c:pt>
                <c:pt idx="59">
                  <c:v>182.60486169969946</c:v>
                </c:pt>
                <c:pt idx="60">
                  <c:v>152.39580166054466</c:v>
                </c:pt>
                <c:pt idx="61">
                  <c:v>152.46662727446713</c:v>
                </c:pt>
                <c:pt idx="62">
                  <c:v>152.53768237011406</c:v>
                </c:pt>
                <c:pt idx="63">
                  <c:v>152.60896769102811</c:v>
                </c:pt>
                <c:pt idx="64">
                  <c:v>152.68048398316103</c:v>
                </c:pt>
                <c:pt idx="65">
                  <c:v>152.75223199488153</c:v>
                </c:pt>
                <c:pt idx="66">
                  <c:v>152.82421247698312</c:v>
                </c:pt>
                <c:pt idx="67">
                  <c:v>152.89642618269193</c:v>
                </c:pt>
                <c:pt idx="68">
                  <c:v>152.96887386767463</c:v>
                </c:pt>
                <c:pt idx="69">
                  <c:v>153.04155629004629</c:v>
                </c:pt>
                <c:pt idx="70">
                  <c:v>153.11447421037843</c:v>
                </c:pt>
                <c:pt idx="71">
                  <c:v>153.18762839170682</c:v>
                </c:pt>
                <c:pt idx="72">
                  <c:v>153.26101959953951</c:v>
                </c:pt>
                <c:pt idx="73">
                  <c:v>153.33464860186496</c:v>
                </c:pt>
                <c:pt idx="74">
                  <c:v>153.40851616915995</c:v>
                </c:pt>
                <c:pt idx="75">
                  <c:v>153.48262307439762</c:v>
                </c:pt>
                <c:pt idx="76">
                  <c:v>153.55697009305572</c:v>
                </c:pt>
                <c:pt idx="77">
                  <c:v>153.63155800312455</c:v>
                </c:pt>
                <c:pt idx="78">
                  <c:v>153.70638758511515</c:v>
                </c:pt>
                <c:pt idx="79">
                  <c:v>153.78145962206759</c:v>
                </c:pt>
                <c:pt idx="80">
                  <c:v>153.85677489955896</c:v>
                </c:pt>
                <c:pt idx="81">
                  <c:v>153.93233420571175</c:v>
                </c:pt>
                <c:pt idx="82">
                  <c:v>154.00813833120202</c:v>
                </c:pt>
                <c:pt idx="83">
                  <c:v>154.08418806926773</c:v>
                </c:pt>
                <c:pt idx="84">
                  <c:v>154.16048421571696</c:v>
                </c:pt>
                <c:pt idx="85">
                  <c:v>154.23702756893633</c:v>
                </c:pt>
                <c:pt idx="86">
                  <c:v>154.31381892989927</c:v>
                </c:pt>
                <c:pt idx="87">
                  <c:v>154.39085910217443</c:v>
                </c:pt>
                <c:pt idx="88">
                  <c:v>154.46814889193416</c:v>
                </c:pt>
                <c:pt idx="89">
                  <c:v>154.54568910796286</c:v>
                </c:pt>
                <c:pt idx="90">
                  <c:v>154.62348056166542</c:v>
                </c:pt>
                <c:pt idx="91">
                  <c:v>154.70152406707578</c:v>
                </c:pt>
                <c:pt idx="92">
                  <c:v>154.77982044086551</c:v>
                </c:pt>
                <c:pt idx="93">
                  <c:v>154.85837050235216</c:v>
                </c:pt>
                <c:pt idx="94">
                  <c:v>154.93717507350797</c:v>
                </c:pt>
                <c:pt idx="95">
                  <c:v>155.01623497896853</c:v>
                </c:pt>
                <c:pt idx="96">
                  <c:v>155.09555104604124</c:v>
                </c:pt>
                <c:pt idx="97">
                  <c:v>155.17512410471409</c:v>
                </c:pt>
                <c:pt idx="98">
                  <c:v>155.25495498766429</c:v>
                </c:pt>
                <c:pt idx="99">
                  <c:v>155.33504453026706</c:v>
                </c:pt>
                <c:pt idx="100">
                  <c:v>155.41539357060418</c:v>
                </c:pt>
                <c:pt idx="101">
                  <c:v>155.49600294947311</c:v>
                </c:pt>
                <c:pt idx="102">
                  <c:v>155.57687351039533</c:v>
                </c:pt>
                <c:pt idx="103">
                  <c:v>155.65800609962565</c:v>
                </c:pt>
                <c:pt idx="104">
                  <c:v>155.73940156616061</c:v>
                </c:pt>
                <c:pt idx="105">
                  <c:v>155.82106076174773</c:v>
                </c:pt>
                <c:pt idx="106">
                  <c:v>155.90298454089421</c:v>
                </c:pt>
                <c:pt idx="107">
                  <c:v>155.98517376087594</c:v>
                </c:pt>
                <c:pt idx="108">
                  <c:v>156.06762928174646</c:v>
                </c:pt>
                <c:pt idx="109">
                  <c:v>156.15035196634597</c:v>
                </c:pt>
                <c:pt idx="110">
                  <c:v>156.23334268031039</c:v>
                </c:pt>
                <c:pt idx="111">
                  <c:v>156.31660229208029</c:v>
                </c:pt>
                <c:pt idx="112">
                  <c:v>156.40013167291022</c:v>
                </c:pt>
                <c:pt idx="113">
                  <c:v>156.48393169687751</c:v>
                </c:pt>
                <c:pt idx="114">
                  <c:v>156.5680032408917</c:v>
                </c:pt>
                <c:pt idx="115">
                  <c:v>156.65234718470361</c:v>
                </c:pt>
                <c:pt idx="116">
                  <c:v>156.7369644109144</c:v>
                </c:pt>
                <c:pt idx="117">
                  <c:v>156.82185580498506</c:v>
                </c:pt>
                <c:pt idx="118">
                  <c:v>156.90702225524558</c:v>
                </c:pt>
                <c:pt idx="119">
                  <c:v>156.99246465290409</c:v>
                </c:pt>
                <c:pt idx="120">
                  <c:v>157.07818389205647</c:v>
                </c:pt>
                <c:pt idx="121">
                  <c:v>157.16418086969543</c:v>
                </c:pt>
                <c:pt idx="122">
                  <c:v>157.25045648572012</c:v>
                </c:pt>
                <c:pt idx="123">
                  <c:v>157.33701164294541</c:v>
                </c:pt>
                <c:pt idx="124">
                  <c:v>157.42384724711138</c:v>
                </c:pt>
                <c:pt idx="125">
                  <c:v>157.51096420689277</c:v>
                </c:pt>
                <c:pt idx="126">
                  <c:v>157.5983634339085</c:v>
                </c:pt>
                <c:pt idx="127">
                  <c:v>157.68604584273129</c:v>
                </c:pt>
                <c:pt idx="128">
                  <c:v>157.77401235089715</c:v>
                </c:pt>
                <c:pt idx="129">
                  <c:v>157.86226387891492</c:v>
                </c:pt>
                <c:pt idx="130">
                  <c:v>157.95080135027604</c:v>
                </c:pt>
                <c:pt idx="131">
                  <c:v>158.03962569146415</c:v>
                </c:pt>
                <c:pt idx="132">
                  <c:v>158.12873783196477</c:v>
                </c:pt>
                <c:pt idx="133">
                  <c:v>158.21813870427502</c:v>
                </c:pt>
                <c:pt idx="134">
                  <c:v>158.30782924391343</c:v>
                </c:pt>
                <c:pt idx="135">
                  <c:v>158.39781038942971</c:v>
                </c:pt>
                <c:pt idx="136">
                  <c:v>158.48808308241451</c:v>
                </c:pt>
                <c:pt idx="137">
                  <c:v>158.57864826750938</c:v>
                </c:pt>
                <c:pt idx="138">
                  <c:v>158.66950689241654</c:v>
                </c:pt>
                <c:pt idx="139">
                  <c:v>158.76065990790892</c:v>
                </c:pt>
                <c:pt idx="140">
                  <c:v>158.85210826784001</c:v>
                </c:pt>
                <c:pt idx="141">
                  <c:v>158.94385292915388</c:v>
                </c:pt>
                <c:pt idx="142">
                  <c:v>159.03589485189514</c:v>
                </c:pt>
                <c:pt idx="143">
                  <c:v>159.12823499921916</c:v>
                </c:pt>
                <c:pt idx="144">
                  <c:v>159.22087433740188</c:v>
                </c:pt>
                <c:pt idx="145">
                  <c:v>159.31381383585017</c:v>
                </c:pt>
                <c:pt idx="146">
                  <c:v>159.40705446711186</c:v>
                </c:pt>
                <c:pt idx="147">
                  <c:v>159.50059720688586</c:v>
                </c:pt>
                <c:pt idx="148">
                  <c:v>159.59444303403251</c:v>
                </c:pt>
                <c:pt idx="149">
                  <c:v>159.6885929305837</c:v>
                </c:pt>
                <c:pt idx="150">
                  <c:v>159.78304788175319</c:v>
                </c:pt>
                <c:pt idx="151">
                  <c:v>159.87780887594704</c:v>
                </c:pt>
                <c:pt idx="152">
                  <c:v>159.97287690477367</c:v>
                </c:pt>
                <c:pt idx="153">
                  <c:v>160.06825296305453</c:v>
                </c:pt>
                <c:pt idx="154">
                  <c:v>160.16393804883432</c:v>
                </c:pt>
                <c:pt idx="155">
                  <c:v>160.25993316339157</c:v>
                </c:pt>
                <c:pt idx="156">
                  <c:v>160.35623931124894</c:v>
                </c:pt>
                <c:pt idx="157">
                  <c:v>160.45285750018394</c:v>
                </c:pt>
                <c:pt idx="158">
                  <c:v>160.54978874123935</c:v>
                </c:pt>
                <c:pt idx="159">
                  <c:v>160.64703404873376</c:v>
                </c:pt>
                <c:pt idx="160">
                  <c:v>160.74459444027235</c:v>
                </c:pt>
                <c:pt idx="161">
                  <c:v>160.84247093675737</c:v>
                </c:pt>
                <c:pt idx="162">
                  <c:v>160.94066456239892</c:v>
                </c:pt>
                <c:pt idx="163">
                  <c:v>161.03917634472558</c:v>
                </c:pt>
                <c:pt idx="164">
                  <c:v>161.13800731459531</c:v>
                </c:pt>
                <c:pt idx="165">
                  <c:v>161.23715850620613</c:v>
                </c:pt>
                <c:pt idx="166">
                  <c:v>161.33663095710685</c:v>
                </c:pt>
                <c:pt idx="167">
                  <c:v>161.43642570820819</c:v>
                </c:pt>
                <c:pt idx="168">
                  <c:v>161.53654380379339</c:v>
                </c:pt>
                <c:pt idx="169">
                  <c:v>161.63698629152941</c:v>
                </c:pt>
                <c:pt idx="170">
                  <c:v>161.73775422247761</c:v>
                </c:pt>
                <c:pt idx="171">
                  <c:v>161.83884865110497</c:v>
                </c:pt>
                <c:pt idx="172">
                  <c:v>161.94027063529501</c:v>
                </c:pt>
                <c:pt idx="173">
                  <c:v>162.04202123635889</c:v>
                </c:pt>
                <c:pt idx="174">
                  <c:v>162.14410151904656</c:v>
                </c:pt>
                <c:pt idx="175">
                  <c:v>162.2465125515578</c:v>
                </c:pt>
                <c:pt idx="176">
                  <c:v>162.34925540555355</c:v>
                </c:pt>
                <c:pt idx="177">
                  <c:v>162.45233115616691</c:v>
                </c:pt>
                <c:pt idx="178">
                  <c:v>162.55574088201462</c:v>
                </c:pt>
                <c:pt idx="179">
                  <c:v>162.65948566520819</c:v>
                </c:pt>
                <c:pt idx="180">
                  <c:v>162.76356659136525</c:v>
                </c:pt>
                <c:pt idx="181">
                  <c:v>162.86798474962103</c:v>
                </c:pt>
                <c:pt idx="182">
                  <c:v>162.97274123263958</c:v>
                </c:pt>
                <c:pt idx="183">
                  <c:v>163.07783713662531</c:v>
                </c:pt>
                <c:pt idx="184">
                  <c:v>163.18327356133437</c:v>
                </c:pt>
                <c:pt idx="185">
                  <c:v>163.28905161008637</c:v>
                </c:pt>
                <c:pt idx="186">
                  <c:v>163.39517238977567</c:v>
                </c:pt>
                <c:pt idx="187">
                  <c:v>163.50163701088309</c:v>
                </c:pt>
                <c:pt idx="188">
                  <c:v>163.60844658748749</c:v>
                </c:pt>
                <c:pt idx="189">
                  <c:v>163.71560223727758</c:v>
                </c:pt>
                <c:pt idx="190">
                  <c:v>163.82310508156331</c:v>
                </c:pt>
                <c:pt idx="191">
                  <c:v>163.93095624528792</c:v>
                </c:pt>
                <c:pt idx="192">
                  <c:v>164.03915685703944</c:v>
                </c:pt>
                <c:pt idx="193">
                  <c:v>164.14770804906277</c:v>
                </c:pt>
                <c:pt idx="194">
                  <c:v>164.25661095727133</c:v>
                </c:pt>
                <c:pt idx="195">
                  <c:v>164.36586672125901</c:v>
                </c:pt>
                <c:pt idx="196">
                  <c:v>164.47547648431208</c:v>
                </c:pt>
                <c:pt idx="197">
                  <c:v>164.58544139342115</c:v>
                </c:pt>
                <c:pt idx="198">
                  <c:v>164.69576259929323</c:v>
                </c:pt>
                <c:pt idx="199">
                  <c:v>164.80644125636374</c:v>
                </c:pt>
                <c:pt idx="200">
                  <c:v>164.91747852280855</c:v>
                </c:pt>
                <c:pt idx="201">
                  <c:v>165.02887556055612</c:v>
                </c:pt>
                <c:pt idx="202">
                  <c:v>165.14063353529968</c:v>
                </c:pt>
                <c:pt idx="203">
                  <c:v>165.25275361650949</c:v>
                </c:pt>
                <c:pt idx="204">
                  <c:v>165.36523697744482</c:v>
                </c:pt>
                <c:pt idx="205">
                  <c:v>165.47808479516661</c:v>
                </c:pt>
                <c:pt idx="206">
                  <c:v>165.5912982505495</c:v>
                </c:pt>
                <c:pt idx="207">
                  <c:v>165.70487852829424</c:v>
                </c:pt>
                <c:pt idx="208">
                  <c:v>165.81882681694023</c:v>
                </c:pt>
                <c:pt idx="209">
                  <c:v>165.93314430887776</c:v>
                </c:pt>
                <c:pt idx="210">
                  <c:v>166.04783220036057</c:v>
                </c:pt>
                <c:pt idx="211">
                  <c:v>166.16289169151847</c:v>
                </c:pt>
                <c:pt idx="212">
                  <c:v>166.27832398636971</c:v>
                </c:pt>
                <c:pt idx="213">
                  <c:v>166.39413029283372</c:v>
                </c:pt>
                <c:pt idx="214">
                  <c:v>166.51031182274369</c:v>
                </c:pt>
                <c:pt idx="215">
                  <c:v>166.62686979185929</c:v>
                </c:pt>
                <c:pt idx="216">
                  <c:v>166.74380541987932</c:v>
                </c:pt>
                <c:pt idx="217">
                  <c:v>166.86111993045455</c:v>
                </c:pt>
                <c:pt idx="218">
                  <c:v>166.97881455120046</c:v>
                </c:pt>
                <c:pt idx="219">
                  <c:v>167.09689051371026</c:v>
                </c:pt>
                <c:pt idx="220">
                  <c:v>167.21534905356739</c:v>
                </c:pt>
                <c:pt idx="221">
                  <c:v>167.33419141035893</c:v>
                </c:pt>
                <c:pt idx="222">
                  <c:v>167.45341882768821</c:v>
                </c:pt>
                <c:pt idx="223">
                  <c:v>167.573032553188</c:v>
                </c:pt>
                <c:pt idx="224">
                  <c:v>167.69303383853355</c:v>
                </c:pt>
                <c:pt idx="225">
                  <c:v>167.81342393945556</c:v>
                </c:pt>
                <c:pt idx="226">
                  <c:v>167.93420411575346</c:v>
                </c:pt>
                <c:pt idx="227">
                  <c:v>168.05537563130866</c:v>
                </c:pt>
                <c:pt idx="228">
                  <c:v>168.17693975409748</c:v>
                </c:pt>
                <c:pt idx="229">
                  <c:v>168.2988977562047</c:v>
                </c:pt>
                <c:pt idx="230">
                  <c:v>168.42125091383679</c:v>
                </c:pt>
                <c:pt idx="231">
                  <c:v>168.54400050733528</c:v>
                </c:pt>
                <c:pt idx="232">
                  <c:v>168.66714782118999</c:v>
                </c:pt>
                <c:pt idx="233">
                  <c:v>168.79069414405274</c:v>
                </c:pt>
                <c:pt idx="234">
                  <c:v>168.91464076875064</c:v>
                </c:pt>
                <c:pt idx="235">
                  <c:v>169.03898899229978</c:v>
                </c:pt>
                <c:pt idx="236">
                  <c:v>169.16374011591853</c:v>
                </c:pt>
                <c:pt idx="237">
                  <c:v>169.28889544504148</c:v>
                </c:pt>
                <c:pt idx="238">
                  <c:v>169.41445628933289</c:v>
                </c:pt>
                <c:pt idx="239">
                  <c:v>169.54042396270046</c:v>
                </c:pt>
                <c:pt idx="240">
                  <c:v>84.000000000000014</c:v>
                </c:pt>
                <c:pt idx="241">
                  <c:v>84.000000000000014</c:v>
                </c:pt>
                <c:pt idx="242">
                  <c:v>84.000000000000014</c:v>
                </c:pt>
                <c:pt idx="243">
                  <c:v>84.000000000000014</c:v>
                </c:pt>
                <c:pt idx="244">
                  <c:v>84.000000000000014</c:v>
                </c:pt>
                <c:pt idx="245">
                  <c:v>84.000000000000014</c:v>
                </c:pt>
                <c:pt idx="246">
                  <c:v>84.000000000000014</c:v>
                </c:pt>
                <c:pt idx="247">
                  <c:v>84.000000000000014</c:v>
                </c:pt>
                <c:pt idx="248">
                  <c:v>84.000000000000014</c:v>
                </c:pt>
                <c:pt idx="249">
                  <c:v>84.000000000000014</c:v>
                </c:pt>
                <c:pt idx="250">
                  <c:v>84.000000000000014</c:v>
                </c:pt>
                <c:pt idx="251">
                  <c:v>84.000000000000014</c:v>
                </c:pt>
                <c:pt idx="252">
                  <c:v>84.000000000000014</c:v>
                </c:pt>
                <c:pt idx="253">
                  <c:v>84.000000000000014</c:v>
                </c:pt>
                <c:pt idx="254">
                  <c:v>84.000000000000014</c:v>
                </c:pt>
                <c:pt idx="255">
                  <c:v>84.000000000000014</c:v>
                </c:pt>
                <c:pt idx="256">
                  <c:v>84.000000000000014</c:v>
                </c:pt>
                <c:pt idx="257">
                  <c:v>84.000000000000014</c:v>
                </c:pt>
                <c:pt idx="258">
                  <c:v>84.000000000000014</c:v>
                </c:pt>
                <c:pt idx="259">
                  <c:v>84.000000000000014</c:v>
                </c:pt>
                <c:pt idx="260">
                  <c:v>84.000000000000014</c:v>
                </c:pt>
                <c:pt idx="261">
                  <c:v>84.000000000000014</c:v>
                </c:pt>
                <c:pt idx="262">
                  <c:v>84.000000000000014</c:v>
                </c:pt>
                <c:pt idx="263">
                  <c:v>84.000000000000014</c:v>
                </c:pt>
                <c:pt idx="264">
                  <c:v>84.000000000000014</c:v>
                </c:pt>
                <c:pt idx="265">
                  <c:v>84.000000000000014</c:v>
                </c:pt>
                <c:pt idx="266">
                  <c:v>84.000000000000014</c:v>
                </c:pt>
                <c:pt idx="267">
                  <c:v>84.000000000000014</c:v>
                </c:pt>
                <c:pt idx="268">
                  <c:v>84.000000000000014</c:v>
                </c:pt>
                <c:pt idx="269">
                  <c:v>84.000000000000014</c:v>
                </c:pt>
                <c:pt idx="270">
                  <c:v>84.000000000000014</c:v>
                </c:pt>
                <c:pt idx="271">
                  <c:v>84.000000000000014</c:v>
                </c:pt>
                <c:pt idx="272">
                  <c:v>84.000000000000014</c:v>
                </c:pt>
                <c:pt idx="273">
                  <c:v>84.000000000000014</c:v>
                </c:pt>
                <c:pt idx="274">
                  <c:v>84.000000000000014</c:v>
                </c:pt>
                <c:pt idx="275">
                  <c:v>84.000000000000014</c:v>
                </c:pt>
                <c:pt idx="276">
                  <c:v>84.000000000000014</c:v>
                </c:pt>
                <c:pt idx="277">
                  <c:v>84.000000000000014</c:v>
                </c:pt>
                <c:pt idx="278">
                  <c:v>84.000000000000014</c:v>
                </c:pt>
                <c:pt idx="279">
                  <c:v>84.000000000000014</c:v>
                </c:pt>
                <c:pt idx="280">
                  <c:v>84.000000000000014</c:v>
                </c:pt>
                <c:pt idx="281">
                  <c:v>84.000000000000014</c:v>
                </c:pt>
                <c:pt idx="282">
                  <c:v>84.000000000000014</c:v>
                </c:pt>
                <c:pt idx="283">
                  <c:v>84.000000000000014</c:v>
                </c:pt>
                <c:pt idx="284">
                  <c:v>84.000000000000014</c:v>
                </c:pt>
                <c:pt idx="285">
                  <c:v>84.000000000000014</c:v>
                </c:pt>
                <c:pt idx="286">
                  <c:v>84.000000000000014</c:v>
                </c:pt>
                <c:pt idx="287">
                  <c:v>84.000000000000014</c:v>
                </c:pt>
                <c:pt idx="288">
                  <c:v>84.000000000000014</c:v>
                </c:pt>
                <c:pt idx="289">
                  <c:v>84.000000000000014</c:v>
                </c:pt>
                <c:pt idx="290">
                  <c:v>84.000000000000014</c:v>
                </c:pt>
                <c:pt idx="291">
                  <c:v>84.000000000000014</c:v>
                </c:pt>
                <c:pt idx="292">
                  <c:v>84.000000000000014</c:v>
                </c:pt>
                <c:pt idx="293">
                  <c:v>84.000000000000014</c:v>
                </c:pt>
                <c:pt idx="294">
                  <c:v>84.000000000000014</c:v>
                </c:pt>
                <c:pt idx="295">
                  <c:v>84.000000000000014</c:v>
                </c:pt>
                <c:pt idx="296">
                  <c:v>84.000000000000014</c:v>
                </c:pt>
                <c:pt idx="297">
                  <c:v>84.000000000000014</c:v>
                </c:pt>
                <c:pt idx="298">
                  <c:v>84.000000000000014</c:v>
                </c:pt>
                <c:pt idx="299">
                  <c:v>84.000000000000014</c:v>
                </c:pt>
                <c:pt idx="300">
                  <c:v>84.000000000000014</c:v>
                </c:pt>
                <c:pt idx="301">
                  <c:v>84.000000000000014</c:v>
                </c:pt>
                <c:pt idx="302">
                  <c:v>84.000000000000014</c:v>
                </c:pt>
                <c:pt idx="303">
                  <c:v>84.000000000000014</c:v>
                </c:pt>
                <c:pt idx="304">
                  <c:v>84.000000000000014</c:v>
                </c:pt>
                <c:pt idx="305">
                  <c:v>84.000000000000014</c:v>
                </c:pt>
                <c:pt idx="306">
                  <c:v>84.000000000000014</c:v>
                </c:pt>
                <c:pt idx="307">
                  <c:v>84.000000000000014</c:v>
                </c:pt>
                <c:pt idx="308">
                  <c:v>84.000000000000014</c:v>
                </c:pt>
                <c:pt idx="309">
                  <c:v>84.000000000000014</c:v>
                </c:pt>
                <c:pt idx="310">
                  <c:v>84.000000000000014</c:v>
                </c:pt>
                <c:pt idx="311">
                  <c:v>84.000000000000014</c:v>
                </c:pt>
                <c:pt idx="312">
                  <c:v>84.000000000000014</c:v>
                </c:pt>
                <c:pt idx="313">
                  <c:v>84.000000000000014</c:v>
                </c:pt>
                <c:pt idx="314">
                  <c:v>84.000000000000014</c:v>
                </c:pt>
                <c:pt idx="315">
                  <c:v>84.000000000000014</c:v>
                </c:pt>
                <c:pt idx="316">
                  <c:v>84.000000000000014</c:v>
                </c:pt>
                <c:pt idx="317">
                  <c:v>84.000000000000014</c:v>
                </c:pt>
                <c:pt idx="318">
                  <c:v>84.000000000000014</c:v>
                </c:pt>
                <c:pt idx="319">
                  <c:v>84.000000000000014</c:v>
                </c:pt>
                <c:pt idx="320">
                  <c:v>84.000000000000014</c:v>
                </c:pt>
                <c:pt idx="321">
                  <c:v>84.000000000000014</c:v>
                </c:pt>
                <c:pt idx="322">
                  <c:v>84.000000000000014</c:v>
                </c:pt>
                <c:pt idx="323">
                  <c:v>84.000000000000014</c:v>
                </c:pt>
                <c:pt idx="324">
                  <c:v>84.000000000000014</c:v>
                </c:pt>
                <c:pt idx="325">
                  <c:v>84.000000000000014</c:v>
                </c:pt>
                <c:pt idx="326">
                  <c:v>84.000000000000014</c:v>
                </c:pt>
                <c:pt idx="327">
                  <c:v>84.000000000000014</c:v>
                </c:pt>
                <c:pt idx="328">
                  <c:v>84.000000000000014</c:v>
                </c:pt>
                <c:pt idx="329">
                  <c:v>84.000000000000014</c:v>
                </c:pt>
                <c:pt idx="330">
                  <c:v>84.000000000000014</c:v>
                </c:pt>
                <c:pt idx="331">
                  <c:v>84.000000000000014</c:v>
                </c:pt>
                <c:pt idx="332">
                  <c:v>84.000000000000014</c:v>
                </c:pt>
                <c:pt idx="333">
                  <c:v>84.000000000000014</c:v>
                </c:pt>
                <c:pt idx="334">
                  <c:v>84.000000000000014</c:v>
                </c:pt>
                <c:pt idx="335">
                  <c:v>84.000000000000014</c:v>
                </c:pt>
                <c:pt idx="336">
                  <c:v>84.000000000000014</c:v>
                </c:pt>
                <c:pt idx="337">
                  <c:v>84.000000000000014</c:v>
                </c:pt>
                <c:pt idx="338">
                  <c:v>84.000000000000014</c:v>
                </c:pt>
                <c:pt idx="339">
                  <c:v>84.000000000000014</c:v>
                </c:pt>
                <c:pt idx="340">
                  <c:v>84.000000000000014</c:v>
                </c:pt>
                <c:pt idx="341">
                  <c:v>84.000000000000014</c:v>
                </c:pt>
                <c:pt idx="342">
                  <c:v>84.000000000000014</c:v>
                </c:pt>
                <c:pt idx="343">
                  <c:v>84.000000000000014</c:v>
                </c:pt>
                <c:pt idx="344">
                  <c:v>84.000000000000014</c:v>
                </c:pt>
                <c:pt idx="345">
                  <c:v>84.000000000000014</c:v>
                </c:pt>
                <c:pt idx="346">
                  <c:v>84.000000000000014</c:v>
                </c:pt>
                <c:pt idx="347">
                  <c:v>84.000000000000014</c:v>
                </c:pt>
                <c:pt idx="348">
                  <c:v>84.000000000000014</c:v>
                </c:pt>
                <c:pt idx="349">
                  <c:v>84.000000000000014</c:v>
                </c:pt>
                <c:pt idx="350">
                  <c:v>84.000000000000014</c:v>
                </c:pt>
                <c:pt idx="351">
                  <c:v>84.000000000000014</c:v>
                </c:pt>
                <c:pt idx="352">
                  <c:v>84.000000000000014</c:v>
                </c:pt>
                <c:pt idx="353">
                  <c:v>84.000000000000014</c:v>
                </c:pt>
                <c:pt idx="354">
                  <c:v>84.000000000000014</c:v>
                </c:pt>
                <c:pt idx="355">
                  <c:v>84.000000000000014</c:v>
                </c:pt>
                <c:pt idx="356">
                  <c:v>84.000000000000014</c:v>
                </c:pt>
                <c:pt idx="357">
                  <c:v>84.000000000000014</c:v>
                </c:pt>
                <c:pt idx="358">
                  <c:v>84.000000000000014</c:v>
                </c:pt>
                <c:pt idx="359">
                  <c:v>84.000000000000014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89904"/>
        <c:axId val="415509272"/>
      </c:lineChart>
      <c:dateAx>
        <c:axId val="410189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09272"/>
        <c:crosses val="autoZero"/>
        <c:auto val="1"/>
        <c:lblOffset val="100"/>
        <c:baseTimeUnit val="months"/>
      </c:dateAx>
      <c:valAx>
        <c:axId val="415509272"/>
        <c:scaling>
          <c:orientation val="minMax"/>
          <c:min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Quo Total Fuel Cost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'Output charts'!$D$2</c:f>
              <c:strCache>
                <c:ptCount val="1"/>
                <c:pt idx="0">
                  <c:v>SQ-Total Cost 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'Output charts'!$B$3:$B$15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charts'!$D$3:$D$15</c:f>
              <c:numCache>
                <c:formatCode>_("$"* #,##0.0,,," B"_);_("$"* \(#,##0.0,,," B"\);_("$"* "-"_);_(@_)</c:formatCode>
                <c:ptCount val="13"/>
                <c:pt idx="0">
                  <c:v>12160000000</c:v>
                </c:pt>
                <c:pt idx="1">
                  <c:v>14940000000</c:v>
                </c:pt>
                <c:pt idx="2">
                  <c:v>16850000000</c:v>
                </c:pt>
                <c:pt idx="3">
                  <c:v>20000000000</c:v>
                </c:pt>
                <c:pt idx="4">
                  <c:v>22630000000</c:v>
                </c:pt>
                <c:pt idx="5">
                  <c:v>25480000000</c:v>
                </c:pt>
                <c:pt idx="6">
                  <c:v>28440000000</c:v>
                </c:pt>
                <c:pt idx="7">
                  <c:v>32190000000</c:v>
                </c:pt>
                <c:pt idx="8">
                  <c:v>36690000000</c:v>
                </c:pt>
                <c:pt idx="9">
                  <c:v>43260000000</c:v>
                </c:pt>
                <c:pt idx="10">
                  <c:v>55500000000</c:v>
                </c:pt>
                <c:pt idx="11">
                  <c:v>68180000000</c:v>
                </c:pt>
                <c:pt idx="12">
                  <c:v>105100000000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508096"/>
        <c:axId val="4155077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'Output charts'!$C$2</c15:sqref>
                        </c15:formulaRef>
                      </c:ext>
                    </c:extLst>
                    <c:strCache>
                      <c:ptCount val="1"/>
                      <c:pt idx="0">
                        <c:v>SQ-Total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'Output charts'!$B$3:$B$15</c15:sqref>
                        </c15:formulaRef>
                      </c:ext>
                    </c:extLst>
                    <c:numCache>
                      <c:formatCode>0%</c:formatCode>
                      <c:ptCount val="13"/>
                      <c:pt idx="0">
                        <c:v>0.01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0.2</c:v>
                      </c:pt>
                      <c:pt idx="4">
                        <c:v>0.3</c:v>
                      </c:pt>
                      <c:pt idx="5">
                        <c:v>0.4</c:v>
                      </c:pt>
                      <c:pt idx="6">
                        <c:v>0.5</c:v>
                      </c:pt>
                      <c:pt idx="7">
                        <c:v>0.6</c:v>
                      </c:pt>
                      <c:pt idx="8">
                        <c:v>0.7</c:v>
                      </c:pt>
                      <c:pt idx="9">
                        <c:v>0.8</c:v>
                      </c:pt>
                      <c:pt idx="10">
                        <c:v>0.9</c:v>
                      </c:pt>
                      <c:pt idx="11">
                        <c:v>0.95</c:v>
                      </c:pt>
                      <c:pt idx="12">
                        <c:v>0.99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'Output charts'!$C$3:$C$15</c15:sqref>
                        </c15:formulaRef>
                      </c:ext>
                    </c:extLst>
                    <c:numCache>
                      <c:formatCode>_("$"* #,##0.0,,," B"_);_("$"* \(#,##0.0,,," B"\);_("$"* "-"_);_(@_)</c:formatCode>
                      <c:ptCount val="13"/>
                      <c:pt idx="0">
                        <c:v>27050000000</c:v>
                      </c:pt>
                      <c:pt idx="1">
                        <c:v>35460000000</c:v>
                      </c:pt>
                      <c:pt idx="2">
                        <c:v>41600000000</c:v>
                      </c:pt>
                      <c:pt idx="3">
                        <c:v>51890000000</c:v>
                      </c:pt>
                      <c:pt idx="4">
                        <c:v>61460000000</c:v>
                      </c:pt>
                      <c:pt idx="5">
                        <c:v>72100000000</c:v>
                      </c:pt>
                      <c:pt idx="6">
                        <c:v>83320000000</c:v>
                      </c:pt>
                      <c:pt idx="7">
                        <c:v>97480000000</c:v>
                      </c:pt>
                      <c:pt idx="8">
                        <c:v>116900000000</c:v>
                      </c:pt>
                      <c:pt idx="9">
                        <c:v>144900000000</c:v>
                      </c:pt>
                      <c:pt idx="10">
                        <c:v>201300000000</c:v>
                      </c:pt>
                      <c:pt idx="11">
                        <c:v>261200000000</c:v>
                      </c:pt>
                      <c:pt idx="12">
                        <c:v>444400000000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41550809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07704"/>
        <c:crosses val="autoZero"/>
        <c:auto val="1"/>
        <c:lblAlgn val="ctr"/>
        <c:lblOffset val="100"/>
        <c:noMultiLvlLbl val="0"/>
      </c:catAx>
      <c:valAx>
        <c:axId val="41550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,,,&quot; B&quot;_);_(&quot;$&quot;* \(#,##0.0,,,&quot; B&quot;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Quo RE w/Gas @ Henry Hub+$10 mmBTU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'Output charts'!$H$2</c:f>
              <c:strCache>
                <c:ptCount val="1"/>
                <c:pt idx="0">
                  <c:v>SQ RE-HH Gas-Total Cost 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'Output charts'!$F$3:$F$15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charts'!$H$3:$H$15</c:f>
              <c:numCache>
                <c:formatCode>_("$"* #,##0.0,,," B"_);_("$"* \(#,##0.0,,," B"\);_("$"* "-"_);_(@_)</c:formatCode>
                <c:ptCount val="13"/>
                <c:pt idx="0">
                  <c:v>14000000000</c:v>
                </c:pt>
                <c:pt idx="1">
                  <c:v>15010000000</c:v>
                </c:pt>
                <c:pt idx="2">
                  <c:v>15630000000</c:v>
                </c:pt>
                <c:pt idx="3">
                  <c:v>16570000000</c:v>
                </c:pt>
                <c:pt idx="4">
                  <c:v>17310000000</c:v>
                </c:pt>
                <c:pt idx="5">
                  <c:v>18040000000</c:v>
                </c:pt>
                <c:pt idx="6">
                  <c:v>18840000000</c:v>
                </c:pt>
                <c:pt idx="7">
                  <c:v>19720000000</c:v>
                </c:pt>
                <c:pt idx="8">
                  <c:v>20770000000</c:v>
                </c:pt>
                <c:pt idx="9">
                  <c:v>22350000000</c:v>
                </c:pt>
                <c:pt idx="10">
                  <c:v>25130000000</c:v>
                </c:pt>
                <c:pt idx="11">
                  <c:v>28830000000</c:v>
                </c:pt>
                <c:pt idx="12">
                  <c:v>49230000000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506136"/>
        <c:axId val="4155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'Output charts'!$G$2</c15:sqref>
                        </c15:formulaRef>
                      </c:ext>
                    </c:extLst>
                    <c:strCache>
                      <c:ptCount val="1"/>
                      <c:pt idx="0">
                        <c:v>SQ RE-HH Gas-Total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'Output charts'!$F$3:$F$15</c15:sqref>
                        </c15:formulaRef>
                      </c:ext>
                    </c:extLst>
                    <c:numCache>
                      <c:formatCode>0%</c:formatCode>
                      <c:ptCount val="13"/>
                      <c:pt idx="0">
                        <c:v>0.01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0.2</c:v>
                      </c:pt>
                      <c:pt idx="4">
                        <c:v>0.3</c:v>
                      </c:pt>
                      <c:pt idx="5">
                        <c:v>0.4</c:v>
                      </c:pt>
                      <c:pt idx="6">
                        <c:v>0.5</c:v>
                      </c:pt>
                      <c:pt idx="7">
                        <c:v>0.6</c:v>
                      </c:pt>
                      <c:pt idx="8">
                        <c:v>0.7</c:v>
                      </c:pt>
                      <c:pt idx="9">
                        <c:v>0.8</c:v>
                      </c:pt>
                      <c:pt idx="10">
                        <c:v>0.9</c:v>
                      </c:pt>
                      <c:pt idx="11">
                        <c:v>0.95</c:v>
                      </c:pt>
                      <c:pt idx="12">
                        <c:v>0.99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'Output charts'!$G$3:$G$15</c15:sqref>
                        </c15:formulaRef>
                      </c:ext>
                    </c:extLst>
                    <c:numCache>
                      <c:formatCode>_("$"* #,##0.0,,," B"_);_("$"* \(#,##0.0,,," B"\);_("$"* "-"_);_(@_)</c:formatCode>
                      <c:ptCount val="13"/>
                      <c:pt idx="0">
                        <c:v>35200000000</c:v>
                      </c:pt>
                      <c:pt idx="1">
                        <c:v>37140000000</c:v>
                      </c:pt>
                      <c:pt idx="2">
                        <c:v>38430000000</c:v>
                      </c:pt>
                      <c:pt idx="3">
                        <c:v>40400000000</c:v>
                      </c:pt>
                      <c:pt idx="4">
                        <c:v>42090000000</c:v>
                      </c:pt>
                      <c:pt idx="5">
                        <c:v>43900000000</c:v>
                      </c:pt>
                      <c:pt idx="6">
                        <c:v>45840000000</c:v>
                      </c:pt>
                      <c:pt idx="7">
                        <c:v>48240000000</c:v>
                      </c:pt>
                      <c:pt idx="8">
                        <c:v>51390000000</c:v>
                      </c:pt>
                      <c:pt idx="9">
                        <c:v>56270000000</c:v>
                      </c:pt>
                      <c:pt idx="10">
                        <c:v>66720000000</c:v>
                      </c:pt>
                      <c:pt idx="11">
                        <c:v>80950000000</c:v>
                      </c:pt>
                      <c:pt idx="12">
                        <c:v>173200000000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41550613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08880"/>
        <c:crosses val="autoZero"/>
        <c:auto val="1"/>
        <c:lblAlgn val="ctr"/>
        <c:lblOffset val="100"/>
        <c:noMultiLvlLbl val="0"/>
      </c:catAx>
      <c:valAx>
        <c:axId val="4155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,,,&quot; B&quot;_);_(&quot;$&quot;* \(#,##0.0,,,&quot; B&quot;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0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Difference:</a:t>
            </a:r>
            <a:r>
              <a:rPr lang="en-US" baseline="0"/>
              <a:t> SQ RE w/ HH linked Gas vs. SQ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'Output charts'!$L$2</c:f>
              <c:strCache>
                <c:ptCount val="1"/>
                <c:pt idx="0">
                  <c:v>SQ RE-HH Gas Minus SQ-Total Cost 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'Output charts'!$J$3:$J$15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charts'!$L$3:$L$15</c:f>
              <c:numCache>
                <c:formatCode>_("$"* #,##0.0,,," B"_);_("$"* \(#,##0.0,,," B"\);_("$"* "-"_);_(@_)</c:formatCode>
                <c:ptCount val="13"/>
                <c:pt idx="0">
                  <c:v>-74790000000</c:v>
                </c:pt>
                <c:pt idx="1">
                  <c:v>-42590000000</c:v>
                </c:pt>
                <c:pt idx="2">
                  <c:v>-31700000000</c:v>
                </c:pt>
                <c:pt idx="3">
                  <c:v>-21340000000</c:v>
                </c:pt>
                <c:pt idx="4">
                  <c:v>-16010000000</c:v>
                </c:pt>
                <c:pt idx="5">
                  <c:v>-12180000000</c:v>
                </c:pt>
                <c:pt idx="6">
                  <c:v>-9274000000</c:v>
                </c:pt>
                <c:pt idx="7">
                  <c:v>-6849000000</c:v>
                </c:pt>
                <c:pt idx="8">
                  <c:v>-4647000000</c:v>
                </c:pt>
                <c:pt idx="9">
                  <c:v>-2397000000</c:v>
                </c:pt>
                <c:pt idx="10">
                  <c:v>40485982.450000003</c:v>
                </c:pt>
                <c:pt idx="11">
                  <c:v>1954000000</c:v>
                </c:pt>
                <c:pt idx="12">
                  <c:v>13630000000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507312"/>
        <c:axId val="4155069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'Output charts'!$K$2</c15:sqref>
                        </c15:formulaRef>
                      </c:ext>
                    </c:extLst>
                    <c:strCache>
                      <c:ptCount val="1"/>
                      <c:pt idx="0">
                        <c:v>SQ RE-HH Gas Minus SQ-Total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'Output charts'!$J$3:$J$15</c15:sqref>
                        </c15:formulaRef>
                      </c:ext>
                    </c:extLst>
                    <c:numCache>
                      <c:formatCode>0%</c:formatCode>
                      <c:ptCount val="13"/>
                      <c:pt idx="0">
                        <c:v>0.01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0.2</c:v>
                      </c:pt>
                      <c:pt idx="4">
                        <c:v>0.3</c:v>
                      </c:pt>
                      <c:pt idx="5">
                        <c:v>0.4</c:v>
                      </c:pt>
                      <c:pt idx="6">
                        <c:v>0.5</c:v>
                      </c:pt>
                      <c:pt idx="7">
                        <c:v>0.6</c:v>
                      </c:pt>
                      <c:pt idx="8">
                        <c:v>0.7</c:v>
                      </c:pt>
                      <c:pt idx="9">
                        <c:v>0.8</c:v>
                      </c:pt>
                      <c:pt idx="10">
                        <c:v>0.9</c:v>
                      </c:pt>
                      <c:pt idx="11">
                        <c:v>0.95</c:v>
                      </c:pt>
                      <c:pt idx="12">
                        <c:v>0.99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'Output charts'!$K$3:$K$15</c15:sqref>
                        </c15:formulaRef>
                      </c:ext>
                    </c:extLst>
                    <c:numCache>
                      <c:formatCode>_("$"* #,##0.0,,," B"_);_("$"* \(#,##0.0,,," B"\);_("$"* "-"_);_(@_)</c:formatCode>
                      <c:ptCount val="13"/>
                      <c:pt idx="0">
                        <c:v>-354400000000</c:v>
                      </c:pt>
                      <c:pt idx="1">
                        <c:v>-191500000000</c:v>
                      </c:pt>
                      <c:pt idx="2">
                        <c:v>-139100000000</c:v>
                      </c:pt>
                      <c:pt idx="3">
                        <c:v>-89890000000</c:v>
                      </c:pt>
                      <c:pt idx="4">
                        <c:v>-65000000000</c:v>
                      </c:pt>
                      <c:pt idx="5">
                        <c:v>-48430000000</c:v>
                      </c:pt>
                      <c:pt idx="6">
                        <c:v>-36280000000</c:v>
                      </c:pt>
                      <c:pt idx="7">
                        <c:v>-26290000000</c:v>
                      </c:pt>
                      <c:pt idx="8">
                        <c:v>-16900000000</c:v>
                      </c:pt>
                      <c:pt idx="9">
                        <c:v>-8679000000</c:v>
                      </c:pt>
                      <c:pt idx="10">
                        <c:v>334919963.69</c:v>
                      </c:pt>
                      <c:pt idx="11">
                        <c:v>7237000000</c:v>
                      </c:pt>
                      <c:pt idx="12">
                        <c:v>52250000000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415507312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06920"/>
        <c:crosses val="autoZero"/>
        <c:auto val="1"/>
        <c:lblAlgn val="ctr"/>
        <c:lblOffset val="100"/>
        <c:noMultiLvlLbl val="0"/>
      </c:catAx>
      <c:valAx>
        <c:axId val="41550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,,,&quot; B&quot;_);_(&quot;$&quot;* \(#,##0.0,,,&quot; B&quot;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0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Difference:</a:t>
            </a:r>
            <a:r>
              <a:rPr lang="en-US" baseline="0"/>
              <a:t> SQ RE w/ HH linked Gas vs. Oil linked Gas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'Output charts'!$P$2</c:f>
              <c:strCache>
                <c:ptCount val="1"/>
                <c:pt idx="0">
                  <c:v>SQ RE-HH Gas Minus Oil Indexed Gas-Total Cost 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'Output charts'!$N$3:$N$15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charts'!$P$3:$P$15</c:f>
              <c:numCache>
                <c:formatCode>_("$"* #,##0.0,,," B"_);_("$"* \(#,##0.0,,," B"\);_("$"* "-"_);_(@_)</c:formatCode>
                <c:ptCount val="13"/>
                <c:pt idx="0">
                  <c:v>-40040000000</c:v>
                </c:pt>
                <c:pt idx="1">
                  <c:v>-22610000000</c:v>
                </c:pt>
                <c:pt idx="2">
                  <c:v>-16430000000</c:v>
                </c:pt>
                <c:pt idx="3">
                  <c:v>-10780000000</c:v>
                </c:pt>
                <c:pt idx="4">
                  <c:v>-7824000000</c:v>
                </c:pt>
                <c:pt idx="5">
                  <c:v>-5717000000</c:v>
                </c:pt>
                <c:pt idx="6">
                  <c:v>-4093000000</c:v>
                </c:pt>
                <c:pt idx="7">
                  <c:v>-2628000000</c:v>
                </c:pt>
                <c:pt idx="8">
                  <c:v>-1399000000</c:v>
                </c:pt>
                <c:pt idx="9">
                  <c:v>-213936981.12</c:v>
                </c:pt>
                <c:pt idx="10">
                  <c:v>1287000000</c:v>
                </c:pt>
                <c:pt idx="11">
                  <c:v>2844000000</c:v>
                </c:pt>
                <c:pt idx="12">
                  <c:v>21640000000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808184"/>
        <c:axId val="4158077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'Output charts'!$O$2</c15:sqref>
                        </c15:formulaRef>
                      </c:ext>
                    </c:extLst>
                    <c:strCache>
                      <c:ptCount val="1"/>
                      <c:pt idx="0">
                        <c:v>SQ RE-HH Gas Minus Oil Indexed Gas-Total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'Output charts'!$N$3:$N$15</c15:sqref>
                        </c15:formulaRef>
                      </c:ext>
                    </c:extLst>
                    <c:numCache>
                      <c:formatCode>0%</c:formatCode>
                      <c:ptCount val="13"/>
                      <c:pt idx="0">
                        <c:v>0.01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0.2</c:v>
                      </c:pt>
                      <c:pt idx="4">
                        <c:v>0.3</c:v>
                      </c:pt>
                      <c:pt idx="5">
                        <c:v>0.4</c:v>
                      </c:pt>
                      <c:pt idx="6">
                        <c:v>0.5</c:v>
                      </c:pt>
                      <c:pt idx="7">
                        <c:v>0.6</c:v>
                      </c:pt>
                      <c:pt idx="8">
                        <c:v>0.7</c:v>
                      </c:pt>
                      <c:pt idx="9">
                        <c:v>0.8</c:v>
                      </c:pt>
                      <c:pt idx="10">
                        <c:v>0.9</c:v>
                      </c:pt>
                      <c:pt idx="11">
                        <c:v>0.95</c:v>
                      </c:pt>
                      <c:pt idx="12">
                        <c:v>0.99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'Output charts'!$O$3:$O$15</c15:sqref>
                        </c15:formulaRef>
                      </c:ext>
                    </c:extLst>
                    <c:numCache>
                      <c:formatCode>_("$"* #,##0.0,,," B"_);_("$"* \(#,##0.0,,," B"\);_("$"* "-"_);_(@_)</c:formatCode>
                      <c:ptCount val="13"/>
                      <c:pt idx="0">
                        <c:v>-192000000000</c:v>
                      </c:pt>
                      <c:pt idx="1">
                        <c:v>-103900000000</c:v>
                      </c:pt>
                      <c:pt idx="2">
                        <c:v>-72680000000</c:v>
                      </c:pt>
                      <c:pt idx="3">
                        <c:v>-45920000000</c:v>
                      </c:pt>
                      <c:pt idx="4">
                        <c:v>-32490000000</c:v>
                      </c:pt>
                      <c:pt idx="5">
                        <c:v>-23540000000</c:v>
                      </c:pt>
                      <c:pt idx="6">
                        <c:v>-16750000000</c:v>
                      </c:pt>
                      <c:pt idx="7">
                        <c:v>-10780000000</c:v>
                      </c:pt>
                      <c:pt idx="8">
                        <c:v>-5787000000</c:v>
                      </c:pt>
                      <c:pt idx="9">
                        <c:v>-1114000000</c:v>
                      </c:pt>
                      <c:pt idx="10">
                        <c:v>4148000000</c:v>
                      </c:pt>
                      <c:pt idx="11">
                        <c:v>9135000000</c:v>
                      </c:pt>
                      <c:pt idx="12">
                        <c:v>92220000000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41580818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07792"/>
        <c:crosses val="autoZero"/>
        <c:auto val="1"/>
        <c:lblAlgn val="ctr"/>
        <c:lblOffset val="100"/>
        <c:noMultiLvlLbl val="0"/>
      </c:catAx>
      <c:valAx>
        <c:axId val="4158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,,,&quot; B&quot;_);_(&quot;$&quot;* \(#,##0.0,,,&quot; B&quot;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0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'Output charts'!$D$35</c:f>
              <c:strCache>
                <c:ptCount val="1"/>
                <c:pt idx="0">
                  <c:v>SQ RE-HH Gas Minus High RE-HH Gas-Total Cost 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'Output charts'!$B$36:$B$48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charts'!$D$36:$D$48</c:f>
              <c:numCache>
                <c:formatCode>_("$"* #,##0.0,,," B"_);_("$"* \(#,##0.0,,," B"\);_("$"* "-"_);_(@_)</c:formatCode>
                <c:ptCount val="13"/>
                <c:pt idx="0">
                  <c:v>-1190000000</c:v>
                </c:pt>
                <c:pt idx="1">
                  <c:v>-1092000000</c:v>
                </c:pt>
                <c:pt idx="2">
                  <c:v>-1015000000</c:v>
                </c:pt>
                <c:pt idx="3">
                  <c:v>-881502275.39999998</c:v>
                </c:pt>
                <c:pt idx="4">
                  <c:v>-772697725.19000006</c:v>
                </c:pt>
                <c:pt idx="5">
                  <c:v>-647580888.13</c:v>
                </c:pt>
                <c:pt idx="6">
                  <c:v>-506131793.26999998</c:v>
                </c:pt>
                <c:pt idx="7">
                  <c:v>-328689083.49000001</c:v>
                </c:pt>
                <c:pt idx="8">
                  <c:v>-95168246.109999999</c:v>
                </c:pt>
                <c:pt idx="9">
                  <c:v>279986318.13999999</c:v>
                </c:pt>
                <c:pt idx="10">
                  <c:v>1051000000</c:v>
                </c:pt>
                <c:pt idx="11">
                  <c:v>2304000000</c:v>
                </c:pt>
                <c:pt idx="12">
                  <c:v>8294000000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810536"/>
        <c:axId val="4158097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'Output charts'!$C$35</c15:sqref>
                        </c15:formulaRef>
                      </c:ext>
                    </c:extLst>
                    <c:strCache>
                      <c:ptCount val="1"/>
                      <c:pt idx="0">
                        <c:v>SQ RE-HH Gas Minus High RE-HH Gas-Total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'Output charts'!$B$36:$B$48</c15:sqref>
                        </c15:formulaRef>
                      </c:ext>
                    </c:extLst>
                    <c:numCache>
                      <c:formatCode>0%</c:formatCode>
                      <c:ptCount val="13"/>
                      <c:pt idx="0">
                        <c:v>0.01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0.2</c:v>
                      </c:pt>
                      <c:pt idx="4">
                        <c:v>0.3</c:v>
                      </c:pt>
                      <c:pt idx="5">
                        <c:v>0.4</c:v>
                      </c:pt>
                      <c:pt idx="6">
                        <c:v>0.5</c:v>
                      </c:pt>
                      <c:pt idx="7">
                        <c:v>0.6</c:v>
                      </c:pt>
                      <c:pt idx="8">
                        <c:v>0.7</c:v>
                      </c:pt>
                      <c:pt idx="9">
                        <c:v>0.8</c:v>
                      </c:pt>
                      <c:pt idx="10">
                        <c:v>0.9</c:v>
                      </c:pt>
                      <c:pt idx="11">
                        <c:v>0.95</c:v>
                      </c:pt>
                      <c:pt idx="12">
                        <c:v>0.99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'Output charts'!$C$36:$C$48</c15:sqref>
                        </c15:formulaRef>
                      </c:ext>
                    </c:extLst>
                    <c:numCache>
                      <c:formatCode>_("$"* #,##0.0,,," B"_);_("$"* \(#,##0.0,,," B"\);_("$"* "-"_);_(@_)</c:formatCode>
                      <c:ptCount val="13"/>
                      <c:pt idx="0">
                        <c:v>-4836000000</c:v>
                      </c:pt>
                      <c:pt idx="1">
                        <c:v>-4516000000</c:v>
                      </c:pt>
                      <c:pt idx="2">
                        <c:v>-4249000000</c:v>
                      </c:pt>
                      <c:pt idx="3">
                        <c:v>-3773000000</c:v>
                      </c:pt>
                      <c:pt idx="4">
                        <c:v>-3363000000</c:v>
                      </c:pt>
                      <c:pt idx="5">
                        <c:v>-2910000000</c:v>
                      </c:pt>
                      <c:pt idx="6">
                        <c:v>-2378000000</c:v>
                      </c:pt>
                      <c:pt idx="7">
                        <c:v>-1683000000</c:v>
                      </c:pt>
                      <c:pt idx="8">
                        <c:v>-738663867.53999996</c:v>
                      </c:pt>
                      <c:pt idx="9">
                        <c:v>727282416.77999997</c:v>
                      </c:pt>
                      <c:pt idx="10">
                        <c:v>3963000000</c:v>
                      </c:pt>
                      <c:pt idx="11">
                        <c:v>9171000000</c:v>
                      </c:pt>
                      <c:pt idx="12">
                        <c:v>37060000000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41581053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09752"/>
        <c:crosses val="autoZero"/>
        <c:auto val="1"/>
        <c:lblAlgn val="ctr"/>
        <c:lblOffset val="100"/>
        <c:noMultiLvlLbl val="0"/>
      </c:catAx>
      <c:valAx>
        <c:axId val="41580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,,,&quot; B&quot;_);_(&quot;$&quot;* \(#,##0.0,,,&quot; B&quot;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1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'Output charts'!$H$35</c:f>
              <c:strCache>
                <c:ptCount val="1"/>
                <c:pt idx="0">
                  <c:v>SQ RE-Oil Indexed Gas Minus High RE-Oil Indexed Gas-Total Cost 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'Output charts'!$F$36:$F$48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charts'!$H$36:$H$48</c:f>
              <c:numCache>
                <c:formatCode>_("$"* #,##0.0,,," B"_);_("$"* \(#,##0.0,,," B"\);_("$"* "-"_);_(@_)</c:formatCode>
                <c:ptCount val="13"/>
                <c:pt idx="0">
                  <c:v>-1824000000</c:v>
                </c:pt>
                <c:pt idx="1">
                  <c:v>-1385000000</c:v>
                </c:pt>
                <c:pt idx="2">
                  <c:v>-1055000000</c:v>
                </c:pt>
                <c:pt idx="3">
                  <c:v>-553506844.47000003</c:v>
                </c:pt>
                <c:pt idx="4">
                  <c:v>-87224421.540000007</c:v>
                </c:pt>
                <c:pt idx="5">
                  <c:v>401602335.35000002</c:v>
                </c:pt>
                <c:pt idx="6">
                  <c:v>935039376.82000005</c:v>
                </c:pt>
                <c:pt idx="7">
                  <c:v>1588000000</c:v>
                </c:pt>
                <c:pt idx="8">
                  <c:v>2411000000</c:v>
                </c:pt>
                <c:pt idx="9">
                  <c:v>3706000000</c:v>
                </c:pt>
                <c:pt idx="10">
                  <c:v>5938000000</c:v>
                </c:pt>
                <c:pt idx="11">
                  <c:v>8278000000</c:v>
                </c:pt>
                <c:pt idx="12">
                  <c:v>15690000000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810928"/>
        <c:axId val="415808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'Output charts'!$G$35</c15:sqref>
                        </c15:formulaRef>
                      </c:ext>
                    </c:extLst>
                    <c:strCache>
                      <c:ptCount val="1"/>
                      <c:pt idx="0">
                        <c:v>SQ RE-Oil Indexed Gas Minus High RE-Oil Indexed Gas-Total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'Output charts'!$F$36:$F$48</c15:sqref>
                        </c15:formulaRef>
                      </c:ext>
                    </c:extLst>
                    <c:numCache>
                      <c:formatCode>0%</c:formatCode>
                      <c:ptCount val="13"/>
                      <c:pt idx="0">
                        <c:v>0.01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0.2</c:v>
                      </c:pt>
                      <c:pt idx="4">
                        <c:v>0.3</c:v>
                      </c:pt>
                      <c:pt idx="5">
                        <c:v>0.4</c:v>
                      </c:pt>
                      <c:pt idx="6">
                        <c:v>0.5</c:v>
                      </c:pt>
                      <c:pt idx="7">
                        <c:v>0.6</c:v>
                      </c:pt>
                      <c:pt idx="8">
                        <c:v>0.7</c:v>
                      </c:pt>
                      <c:pt idx="9">
                        <c:v>0.8</c:v>
                      </c:pt>
                      <c:pt idx="10">
                        <c:v>0.9</c:v>
                      </c:pt>
                      <c:pt idx="11">
                        <c:v>0.95</c:v>
                      </c:pt>
                      <c:pt idx="12">
                        <c:v>0.99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'Output charts'!$G$36:$G$48</c15:sqref>
                        </c15:formulaRef>
                      </c:ext>
                    </c:extLst>
                    <c:numCache>
                      <c:formatCode>_("$"* #,##0.0,,," B"_);_("$"* \(#,##0.0,,," B"\);_("$"* "-"_);_(@_)</c:formatCode>
                      <c:ptCount val="13"/>
                      <c:pt idx="0">
                        <c:v>-7086000000</c:v>
                      </c:pt>
                      <c:pt idx="1">
                        <c:v>-5593000000</c:v>
                      </c:pt>
                      <c:pt idx="2">
                        <c:v>-4452000000</c:v>
                      </c:pt>
                      <c:pt idx="3">
                        <c:v>-2563000000</c:v>
                      </c:pt>
                      <c:pt idx="4">
                        <c:v>-779145343.59000003</c:v>
                      </c:pt>
                      <c:pt idx="5">
                        <c:v>1178000000</c:v>
                      </c:pt>
                      <c:pt idx="6">
                        <c:v>3500000000</c:v>
                      </c:pt>
                      <c:pt idx="7">
                        <c:v>6158000000</c:v>
                      </c:pt>
                      <c:pt idx="8">
                        <c:v>10110000000</c:v>
                      </c:pt>
                      <c:pt idx="9">
                        <c:v>15660000000</c:v>
                      </c:pt>
                      <c:pt idx="10">
                        <c:v>26150000000</c:v>
                      </c:pt>
                      <c:pt idx="11">
                        <c:v>38680000000</c:v>
                      </c:pt>
                      <c:pt idx="12">
                        <c:v>75520000000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41581092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08968"/>
        <c:crosses val="autoZero"/>
        <c:auto val="1"/>
        <c:lblAlgn val="ctr"/>
        <c:lblOffset val="100"/>
        <c:noMultiLvlLbl val="0"/>
      </c:catAx>
      <c:valAx>
        <c:axId val="41580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,,,&quot; B&quot;_);_(&quot;$&quot;* \(#,##0.0,,,&quot; B&quot;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1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</a:t>
            </a:r>
            <a:r>
              <a:rPr lang="en-US" baseline="0"/>
              <a:t> RE with High Gas Minus High RE with Low Gas</a:t>
            </a:r>
          </a:p>
          <a:p>
            <a:pPr>
              <a:defRPr/>
            </a:pPr>
            <a:r>
              <a:rPr lang="en-US" baseline="0"/>
              <a:t>Total Cost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'Output charts'!$K$35</c:f>
              <c:strCache>
                <c:ptCount val="1"/>
                <c:pt idx="0">
                  <c:v>SQ RE-HH Gas Minus High RE-HH Gas-Total Cost PV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'Output charts'!$J$36:$J$48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charts'!$K$36:$K$48</c:f>
              <c:numCache>
                <c:formatCode>_("$"* #,##0.0,,," B"_);_("$"* \(#,##0.0,,," B"\);_("$"* "-"_);_(@_)</c:formatCode>
                <c:ptCount val="13"/>
                <c:pt idx="0">
                  <c:v>-1190000000</c:v>
                </c:pt>
                <c:pt idx="1">
                  <c:v>-1092000000</c:v>
                </c:pt>
                <c:pt idx="2">
                  <c:v>-1015000000</c:v>
                </c:pt>
                <c:pt idx="3">
                  <c:v>-881502275.39999998</c:v>
                </c:pt>
                <c:pt idx="4">
                  <c:v>-772697725.19000006</c:v>
                </c:pt>
                <c:pt idx="5">
                  <c:v>-647580888.13</c:v>
                </c:pt>
                <c:pt idx="6">
                  <c:v>-506131793.26999998</c:v>
                </c:pt>
                <c:pt idx="7">
                  <c:v>-328689083.49000001</c:v>
                </c:pt>
                <c:pt idx="8">
                  <c:v>-95168246.109999999</c:v>
                </c:pt>
                <c:pt idx="9">
                  <c:v>279986318.13999999</c:v>
                </c:pt>
                <c:pt idx="10">
                  <c:v>1051000000</c:v>
                </c:pt>
                <c:pt idx="11">
                  <c:v>2304000000</c:v>
                </c:pt>
                <c:pt idx="12">
                  <c:v>8294000000</c:v>
                </c:pt>
              </c:numCache>
            </c:numRef>
          </c:val>
        </c:ser>
        <c:ser>
          <c:idx val="1"/>
          <c:order val="1"/>
          <c:tx>
            <c:strRef>
              <c:f>'Output charts'!$L$35</c:f>
              <c:strCache>
                <c:ptCount val="1"/>
                <c:pt idx="0">
                  <c:v>SQ RE-Oil Indexed Gas Minus High RE-Oil Indexed Gas-Total Cost 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'Output charts'!$J$36:$J$48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charts'!$L$36:$L$48</c:f>
              <c:numCache>
                <c:formatCode>_("$"* #,##0.0,,," B"_);_("$"* \(#,##0.0,,," B"\);_("$"* "-"_);_(@_)</c:formatCode>
                <c:ptCount val="13"/>
                <c:pt idx="0">
                  <c:v>-1824000000</c:v>
                </c:pt>
                <c:pt idx="1">
                  <c:v>-1385000000</c:v>
                </c:pt>
                <c:pt idx="2">
                  <c:v>-1055000000</c:v>
                </c:pt>
                <c:pt idx="3">
                  <c:v>-553506844.47000003</c:v>
                </c:pt>
                <c:pt idx="4">
                  <c:v>-87224421.540000007</c:v>
                </c:pt>
                <c:pt idx="5">
                  <c:v>401602335.35000002</c:v>
                </c:pt>
                <c:pt idx="6">
                  <c:v>935039376.82000005</c:v>
                </c:pt>
                <c:pt idx="7">
                  <c:v>1588000000</c:v>
                </c:pt>
                <c:pt idx="8">
                  <c:v>2411000000</c:v>
                </c:pt>
                <c:pt idx="9">
                  <c:v>3706000000</c:v>
                </c:pt>
                <c:pt idx="10">
                  <c:v>5938000000</c:v>
                </c:pt>
                <c:pt idx="11">
                  <c:v>8278000000</c:v>
                </c:pt>
                <c:pt idx="12">
                  <c:v>15690000000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668688"/>
        <c:axId val="415667120"/>
        <c:extLst/>
      </c:barChart>
      <c:catAx>
        <c:axId val="41566868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67120"/>
        <c:crosses val="autoZero"/>
        <c:auto val="1"/>
        <c:lblAlgn val="ctr"/>
        <c:lblOffset val="100"/>
        <c:noMultiLvlLbl val="0"/>
      </c:catAx>
      <c:valAx>
        <c:axId val="41566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,,,&quot; B&quot;_);_(&quot;$&quot;* \(#,##0.0,,,&quot; B&quot;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</a:t>
            </a:r>
            <a:r>
              <a:rPr lang="en-US" baseline="0"/>
              <a:t> RE with High Gas Minus High RE ($0.14/KWh) with Low Gas-Total Cost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'Output charts'!$O$35</c:f>
              <c:strCache>
                <c:ptCount val="1"/>
                <c:pt idx="0">
                  <c:v>SQ RE-HH Gas Minus High RE ($0.14/KWh)-HH Gas-Total Cost PV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'Output charts'!$N$36:$N$48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charts'!$O$36:$O$48</c:f>
              <c:numCache>
                <c:formatCode>_("$"* #,##0.0,,," B"_);_("$"* \(#,##0.0,,," B"\);_("$"* "-"_);_(@_)</c:formatCode>
                <c:ptCount val="13"/>
                <c:pt idx="0">
                  <c:v>-706937283.40999997</c:v>
                </c:pt>
                <c:pt idx="1">
                  <c:v>-611596547.72000003</c:v>
                </c:pt>
                <c:pt idx="2">
                  <c:v>-532313477.93000001</c:v>
                </c:pt>
                <c:pt idx="3">
                  <c:v>-411773318.37</c:v>
                </c:pt>
                <c:pt idx="4">
                  <c:v>-294337557.63</c:v>
                </c:pt>
                <c:pt idx="5">
                  <c:v>-170684323.11000001</c:v>
                </c:pt>
                <c:pt idx="6">
                  <c:v>-40320237.799999997</c:v>
                </c:pt>
                <c:pt idx="7">
                  <c:v>134864178.81</c:v>
                </c:pt>
                <c:pt idx="8">
                  <c:v>374726839.70999998</c:v>
                </c:pt>
                <c:pt idx="9">
                  <c:v>741598801.22000003</c:v>
                </c:pt>
                <c:pt idx="10">
                  <c:v>1540000000</c:v>
                </c:pt>
                <c:pt idx="11">
                  <c:v>2708000000</c:v>
                </c:pt>
                <c:pt idx="12">
                  <c:v>8107000000</c:v>
                </c:pt>
              </c:numCache>
            </c:numRef>
          </c:val>
        </c:ser>
        <c:ser>
          <c:idx val="1"/>
          <c:order val="1"/>
          <c:tx>
            <c:strRef>
              <c:f>'Output charts'!$P$35</c:f>
              <c:strCache>
                <c:ptCount val="1"/>
                <c:pt idx="0">
                  <c:v>SQ RE-Oil Indexed Gas Minus High RE ($0.14/KWh)-Oil Indexed Gas-Total Cost PV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'Output charts'!$N$36:$N$48</c:f>
              <c:numCache>
                <c:formatCode>0%</c:formatCode>
                <c:ptCount val="13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0.95</c:v>
                </c:pt>
                <c:pt idx="12">
                  <c:v>0.99</c:v>
                </c:pt>
              </c:numCache>
            </c:numRef>
          </c:cat>
          <c:val>
            <c:numRef>
              <c:f>'Output charts'!$P$36:$P$48</c:f>
              <c:numCache>
                <c:formatCode>_("$"* #,##0.0,,," B"_);_("$"* \(#,##0.0,,," B"\);_("$"* "-"_);_(@_)</c:formatCode>
                <c:ptCount val="13"/>
                <c:pt idx="0">
                  <c:v>-1308000000</c:v>
                </c:pt>
                <c:pt idx="1">
                  <c:v>-895967332.91999996</c:v>
                </c:pt>
                <c:pt idx="2">
                  <c:v>-580434402.64999998</c:v>
                </c:pt>
                <c:pt idx="3">
                  <c:v>-78570402.069999993</c:v>
                </c:pt>
                <c:pt idx="4">
                  <c:v>360420250.56999999</c:v>
                </c:pt>
                <c:pt idx="5">
                  <c:v>877955940.74000001</c:v>
                </c:pt>
                <c:pt idx="6">
                  <c:v>1388000000</c:v>
                </c:pt>
                <c:pt idx="7">
                  <c:v>2041000000</c:v>
                </c:pt>
                <c:pt idx="8">
                  <c:v>2916000000</c:v>
                </c:pt>
                <c:pt idx="9">
                  <c:v>4186000000</c:v>
                </c:pt>
                <c:pt idx="10">
                  <c:v>6374000000</c:v>
                </c:pt>
                <c:pt idx="11">
                  <c:v>8911000000</c:v>
                </c:pt>
                <c:pt idx="12">
                  <c:v>15530000000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667904"/>
        <c:axId val="415669864"/>
        <c:extLst/>
      </c:barChart>
      <c:catAx>
        <c:axId val="41566790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69864"/>
        <c:crosses val="autoZero"/>
        <c:auto val="1"/>
        <c:lblAlgn val="ctr"/>
        <c:lblOffset val="100"/>
        <c:noMultiLvlLbl val="0"/>
      </c:catAx>
      <c:valAx>
        <c:axId val="41566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,,,&quot; B&quot;_);_(&quot;$&quot;* \(#,##0.0,,,&quot; B&quot;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6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</a:t>
            </a:r>
            <a:r>
              <a:rPr lang="en-US" baseline="0"/>
              <a:t> Choice Effect on 600 kWh Electric Bill</a:t>
            </a:r>
          </a:p>
          <a:p>
            <a:pPr>
              <a:defRPr/>
            </a:pPr>
            <a:r>
              <a:rPr lang="en-US" baseline="0"/>
              <a:t>10 Years After Switching to Gas - Today's dollars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'Output charts'!$G$71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'Output charts'!$H$70:$K$70</c:f>
              <c:strCache>
                <c:ptCount val="4"/>
                <c:pt idx="0">
                  <c:v>Oil &amp; Diesel</c:v>
                </c:pt>
                <c:pt idx="1">
                  <c:v>Oil-Indexed Gas</c:v>
                </c:pt>
                <c:pt idx="2">
                  <c:v>Henry Hub-Indexed Gas</c:v>
                </c:pt>
                <c:pt idx="3">
                  <c:v>High Renewable Energy w/ Henry Hub Gas</c:v>
                </c:pt>
              </c:strCache>
            </c:strRef>
          </c:cat>
          <c:val>
            <c:numRef>
              <c:f>'Output charts'!$H$71:$K$71</c:f>
              <c:numCache>
                <c:formatCode>_("$"* #,##0.00_);_("$"* \(#,##0.00\);_("$"* "-"??_);_(@_)</c:formatCode>
                <c:ptCount val="4"/>
                <c:pt idx="0">
                  <c:v>140.28</c:v>
                </c:pt>
                <c:pt idx="1">
                  <c:v>139.04</c:v>
                </c:pt>
                <c:pt idx="2">
                  <c:v>152</c:v>
                </c:pt>
                <c:pt idx="3">
                  <c:v>153.94</c:v>
                </c:pt>
              </c:numCache>
            </c:numRef>
          </c:val>
        </c:ser>
        <c:ser>
          <c:idx val="1"/>
          <c:order val="1"/>
          <c:tx>
            <c:strRef>
              <c:f>'Output charts'!$G$72</c:f>
              <c:strCache>
                <c:ptCount val="1"/>
                <c:pt idx="0">
                  <c:v>Range 1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'Output charts'!$H$70:$K$70</c:f>
              <c:strCache>
                <c:ptCount val="4"/>
                <c:pt idx="0">
                  <c:v>Oil &amp; Diesel</c:v>
                </c:pt>
                <c:pt idx="1">
                  <c:v>Oil-Indexed Gas</c:v>
                </c:pt>
                <c:pt idx="2">
                  <c:v>Henry Hub-Indexed Gas</c:v>
                </c:pt>
                <c:pt idx="3">
                  <c:v>High Renewable Energy w/ Henry Hub Gas</c:v>
                </c:pt>
              </c:strCache>
            </c:strRef>
          </c:cat>
          <c:val>
            <c:numRef>
              <c:f>'Output charts'!$H$72:$K$72</c:f>
              <c:numCache>
                <c:formatCode>_("$"* #,##0.00_);_("$"* \(#,##0.00\);_("$"* "-"??_);_(@_)</c:formatCode>
                <c:ptCount val="4"/>
                <c:pt idx="0">
                  <c:v>102.91999999999999</c:v>
                </c:pt>
                <c:pt idx="1">
                  <c:v>61.800000000000011</c:v>
                </c:pt>
                <c:pt idx="2">
                  <c:v>14.430000000000007</c:v>
                </c:pt>
                <c:pt idx="3">
                  <c:v>9.6100000000000136</c:v>
                </c:pt>
              </c:numCache>
            </c:numRef>
          </c:val>
        </c:ser>
        <c:ser>
          <c:idx val="2"/>
          <c:order val="2"/>
          <c:tx>
            <c:strRef>
              <c:f>'Output charts'!$G$73</c:f>
              <c:strCache>
                <c:ptCount val="1"/>
                <c:pt idx="0">
                  <c:v>Range 2</c:v>
                </c:pt>
              </c:strCache>
            </c:strRef>
          </c:tx>
          <c:spPr>
            <a:solidFill>
              <a:schemeClr val="accent3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'Output charts'!$H$70:$K$70</c:f>
              <c:strCache>
                <c:ptCount val="4"/>
                <c:pt idx="0">
                  <c:v>Oil &amp; Diesel</c:v>
                </c:pt>
                <c:pt idx="1">
                  <c:v>Oil-Indexed Gas</c:v>
                </c:pt>
                <c:pt idx="2">
                  <c:v>Henry Hub-Indexed Gas</c:v>
                </c:pt>
                <c:pt idx="3">
                  <c:v>High Renewable Energy w/ Henry Hub Gas</c:v>
                </c:pt>
              </c:strCache>
            </c:strRef>
          </c:cat>
          <c:val>
            <c:numRef>
              <c:f>'Output charts'!$H$73:$K$73</c:f>
              <c:numCache>
                <c:formatCode>_("$"* #,##0.00_);_("$"* \(#,##0.00\);_("$"* "-"??_);_(@_)</c:formatCode>
                <c:ptCount val="4"/>
                <c:pt idx="0">
                  <c:v>372.78000000000003</c:v>
                </c:pt>
                <c:pt idx="1">
                  <c:v>223.84</c:v>
                </c:pt>
                <c:pt idx="2">
                  <c:v>78.88</c:v>
                </c:pt>
                <c:pt idx="3">
                  <c:v>51.859999999999985</c:v>
                </c:pt>
              </c:numCache>
            </c:numRef>
          </c:val>
        </c:ser>
        <c:ser>
          <c:idx val="3"/>
          <c:order val="3"/>
          <c:tx>
            <c:strRef>
              <c:f>'Output charts'!$G$74</c:f>
              <c:strCache>
                <c:ptCount val="1"/>
                <c:pt idx="0">
                  <c:v>Max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'Output charts'!$H$70:$K$70</c:f>
              <c:strCache>
                <c:ptCount val="4"/>
                <c:pt idx="0">
                  <c:v>Oil &amp; Diesel</c:v>
                </c:pt>
                <c:pt idx="1">
                  <c:v>Oil-Indexed Gas</c:v>
                </c:pt>
                <c:pt idx="2">
                  <c:v>Henry Hub-Indexed Gas</c:v>
                </c:pt>
                <c:pt idx="3">
                  <c:v>High Renewable Energy w/ Henry Hub Gas</c:v>
                </c:pt>
              </c:strCache>
            </c:strRef>
          </c:cat>
          <c:val>
            <c:numRef>
              <c:f>'Output charts'!$H$74:$K$74</c:f>
              <c:numCache>
                <c:formatCode>_("$"* #,##0.00_);_("$"* \(#,##0.00\);_("$"* "-"??_);_(@_)</c:formatCode>
                <c:ptCount val="4"/>
                <c:pt idx="0">
                  <c:v>615.98</c:v>
                </c:pt>
                <c:pt idx="1">
                  <c:v>424.68</c:v>
                </c:pt>
                <c:pt idx="2">
                  <c:v>245.31</c:v>
                </c:pt>
                <c:pt idx="3">
                  <c:v>215.41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669080"/>
        <c:axId val="415666336"/>
      </c:barChart>
      <c:catAx>
        <c:axId val="41566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66336"/>
        <c:crosses val="autoZero"/>
        <c:auto val="1"/>
        <c:lblAlgn val="ctr"/>
        <c:lblOffset val="100"/>
        <c:noMultiLvlLbl val="0"/>
      </c:catAx>
      <c:valAx>
        <c:axId val="415666336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69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Oil</a:t>
            </a:r>
            <a:r>
              <a:rPr lang="en-US" baseline="0"/>
              <a:t> Prices - EIA 2000 AEO vs Actual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'EIA - 2000 AEO'!$E$2</c:f>
              <c:strCache>
                <c:ptCount val="1"/>
                <c:pt idx="0">
                  <c:v>LOW Oil Price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AEO'!$E$3:$E$23</c:f>
              <c:numCache>
                <c:formatCode>0.00</c:formatCode>
                <c:ptCount val="21"/>
                <c:pt idx="0">
                  <c:v>23.274833208445255</c:v>
                </c:pt>
                <c:pt idx="1">
                  <c:v>21.206269621612016</c:v>
                </c:pt>
                <c:pt idx="2">
                  <c:v>20.488606226227546</c:v>
                </c:pt>
                <c:pt idx="3">
                  <c:v>19.982018501560624</c:v>
                </c:pt>
                <c:pt idx="4">
                  <c:v>19.461360288501467</c:v>
                </c:pt>
                <c:pt idx="5">
                  <c:v>19.109565057994324</c:v>
                </c:pt>
                <c:pt idx="6">
                  <c:v>19.109565057994324</c:v>
                </c:pt>
                <c:pt idx="7">
                  <c:v>19.109565057994324</c:v>
                </c:pt>
                <c:pt idx="8">
                  <c:v>19.109565057994324</c:v>
                </c:pt>
                <c:pt idx="9">
                  <c:v>19.109565057994324</c:v>
                </c:pt>
                <c:pt idx="10">
                  <c:v>19.109565057994324</c:v>
                </c:pt>
                <c:pt idx="11">
                  <c:v>19.109565057994324</c:v>
                </c:pt>
                <c:pt idx="12">
                  <c:v>19.109565057994324</c:v>
                </c:pt>
                <c:pt idx="13">
                  <c:v>19.109565057994324</c:v>
                </c:pt>
                <c:pt idx="14">
                  <c:v>19.109565057994324</c:v>
                </c:pt>
                <c:pt idx="15">
                  <c:v>19.109565057994324</c:v>
                </c:pt>
                <c:pt idx="16">
                  <c:v>19.109565057994324</c:v>
                </c:pt>
                <c:pt idx="17">
                  <c:v>19.109565057994324</c:v>
                </c:pt>
                <c:pt idx="18">
                  <c:v>19.109565057994324</c:v>
                </c:pt>
                <c:pt idx="19">
                  <c:v>19.109565057994324</c:v>
                </c:pt>
                <c:pt idx="20">
                  <c:v>19.109565057994324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'EIA - 2000 AEO'!$F$2</c:f>
              <c:strCache>
                <c:ptCount val="1"/>
                <c:pt idx="0">
                  <c:v>REF Oil Price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AEO'!$F$3:$F$23</c:f>
              <c:numCache>
                <c:formatCode>0.00</c:formatCode>
                <c:ptCount val="21"/>
                <c:pt idx="0">
                  <c:v>27.172731504719973</c:v>
                </c:pt>
                <c:pt idx="1">
                  <c:v>25.723333002569959</c:v>
                </c:pt>
                <c:pt idx="2">
                  <c:v>25.878121827762818</c:v>
                </c:pt>
                <c:pt idx="3">
                  <c:v>26.004769676171346</c:v>
                </c:pt>
                <c:pt idx="4">
                  <c:v>26.145486789982996</c:v>
                </c:pt>
                <c:pt idx="5">
                  <c:v>26.272134638391396</c:v>
                </c:pt>
                <c:pt idx="6">
                  <c:v>26.39878248679992</c:v>
                </c:pt>
                <c:pt idx="7">
                  <c:v>26.539499600611574</c:v>
                </c:pt>
                <c:pt idx="8">
                  <c:v>26.666147449020105</c:v>
                </c:pt>
                <c:pt idx="9">
                  <c:v>26.806862116853676</c:v>
                </c:pt>
                <c:pt idx="10">
                  <c:v>26.933509965262203</c:v>
                </c:pt>
                <c:pt idx="11">
                  <c:v>27.060155367692651</c:v>
                </c:pt>
                <c:pt idx="12">
                  <c:v>27.200874927482385</c:v>
                </c:pt>
                <c:pt idx="13">
                  <c:v>27.327522775890785</c:v>
                </c:pt>
                <c:pt idx="14">
                  <c:v>27.468239889702431</c:v>
                </c:pt>
                <c:pt idx="15">
                  <c:v>27.608959449492161</c:v>
                </c:pt>
                <c:pt idx="16">
                  <c:v>27.735604851922613</c:v>
                </c:pt>
                <c:pt idx="17">
                  <c:v>27.876321965734267</c:v>
                </c:pt>
                <c:pt idx="18">
                  <c:v>28.002972260120739</c:v>
                </c:pt>
                <c:pt idx="19">
                  <c:v>28.143689373932393</c:v>
                </c:pt>
                <c:pt idx="20">
                  <c:v>28.270334776362841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'EIA - 2000 AEO'!$G$2</c:f>
              <c:strCache>
                <c:ptCount val="1"/>
                <c:pt idx="0">
                  <c:v>HIGH Oil Price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AEO'!$G$3:$G$23</c:f>
              <c:numCache>
                <c:formatCode>0.00</c:formatCode>
                <c:ptCount val="21"/>
                <c:pt idx="0">
                  <c:v>31.070632246972778</c:v>
                </c:pt>
                <c:pt idx="1">
                  <c:v>30.451472054245453</c:v>
                </c:pt>
                <c:pt idx="2">
                  <c:v>30.07153340097603</c:v>
                </c:pt>
                <c:pt idx="3">
                  <c:v>30.226322226168882</c:v>
                </c:pt>
                <c:pt idx="4">
                  <c:v>30.549974033913621</c:v>
                </c:pt>
                <c:pt idx="5">
                  <c:v>30.986201978685809</c:v>
                </c:pt>
                <c:pt idx="6">
                  <c:v>31.70386659705925</c:v>
                </c:pt>
                <c:pt idx="7">
                  <c:v>32.238594075521533</c:v>
                </c:pt>
                <c:pt idx="8">
                  <c:v>32.773328891917792</c:v>
                </c:pt>
                <c:pt idx="9">
                  <c:v>33.265838790258513</c:v>
                </c:pt>
                <c:pt idx="10">
                  <c:v>33.744281869174181</c:v>
                </c:pt>
                <c:pt idx="11">
                  <c:v>34.250870816830087</c:v>
                </c:pt>
                <c:pt idx="12">
                  <c:v>34.7152397383866</c:v>
                </c:pt>
                <c:pt idx="13">
                  <c:v>35.081109126252898</c:v>
                </c:pt>
                <c:pt idx="14">
                  <c:v>35.43290435675992</c:v>
                </c:pt>
                <c:pt idx="15">
                  <c:v>35.728412741742503</c:v>
                </c:pt>
                <c:pt idx="16">
                  <c:v>35.826914721410546</c:v>
                </c:pt>
                <c:pt idx="17">
                  <c:v>35.869132301532105</c:v>
                </c:pt>
                <c:pt idx="18">
                  <c:v>35.911349881653535</c:v>
                </c:pt>
                <c:pt idx="19">
                  <c:v>35.939493304415947</c:v>
                </c:pt>
                <c:pt idx="20">
                  <c:v>35.95356256981907</c:v>
                </c:pt>
              </c:numCache>
            </c:numRef>
          </c:val>
          <c:smooth val="0"/>
        </c:ser>
        <c:ser>
          <c:idx val="6"/>
          <c:order val="3"/>
          <c:tx>
            <c:strRef>
              <c:f>'EIA - 2000 AEO'!$H$2</c:f>
              <c:strCache>
                <c:ptCount val="1"/>
                <c:pt idx="0">
                  <c:v>Hawaii Fuel Oil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AEO'!$H$3:$H$23</c:f>
              <c:numCache>
                <c:formatCode>_(* #,##0.00_);_(* \(#,##0.00\);_(* "-"??_);_(@_)</c:formatCode>
                <c:ptCount val="21"/>
                <c:pt idx="0">
                  <c:v>38.152716858666786</c:v>
                </c:pt>
                <c:pt idx="1">
                  <c:v>37.687607497085892</c:v>
                </c:pt>
                <c:pt idx="2">
                  <c:v>32.900573945030715</c:v>
                </c:pt>
                <c:pt idx="3">
                  <c:v>40.596271346701769</c:v>
                </c:pt>
                <c:pt idx="4">
                  <c:v>44.749506570690144</c:v>
                </c:pt>
                <c:pt idx="5">
                  <c:v>55.997775550134982</c:v>
                </c:pt>
                <c:pt idx="6">
                  <c:v>63.312841045085726</c:v>
                </c:pt>
                <c:pt idx="7">
                  <c:v>63.697875371549884</c:v>
                </c:pt>
                <c:pt idx="8">
                  <c:v>110.78237325619644</c:v>
                </c:pt>
                <c:pt idx="9">
                  <c:v>60.938051999999999</c:v>
                </c:pt>
                <c:pt idx="10">
                  <c:v>84.698397404506423</c:v>
                </c:pt>
                <c:pt idx="11">
                  <c:v>117.79763586162937</c:v>
                </c:pt>
                <c:pt idx="12">
                  <c:v>130.23797667501495</c:v>
                </c:pt>
                <c:pt idx="13" formatCode="#,##0.00">
                  <c:v>121.00510350379014</c:v>
                </c:pt>
                <c:pt idx="14" formatCode="#,##0.00">
                  <c:v>117.51850816813995</c:v>
                </c:pt>
                <c:pt idx="15" formatCode="#,##0.00">
                  <c:v>63.235577295785831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666728"/>
        <c:axId val="416214752"/>
      </c:lineChart>
      <c:catAx>
        <c:axId val="4156667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416214752"/>
        <c:crosses val="autoZero"/>
        <c:auto val="1"/>
        <c:lblAlgn val="ctr"/>
        <c:lblOffset val="100"/>
        <c:noMultiLvlLbl val="0"/>
      </c:catAx>
      <c:valAx>
        <c:axId val="41621475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</a:t>
                </a:r>
                <a:r>
                  <a:rPr lang="en-US" baseline="0"/>
                  <a:t> Barrel</a:t>
                </a:r>
              </a:p>
              <a:p>
                <a:pPr>
                  <a:defRPr/>
                </a:pPr>
                <a:r>
                  <a:rPr lang="en-US" baseline="0"/>
                  <a:t>2010 Dollars</a:t>
                </a:r>
                <a:endParaRPr lang="en-US"/>
              </a:p>
            </c:rich>
          </c:tx>
          <c:layout/>
          <c:overlay val="0"/>
        </c:title>
        <c:numFmt formatCode="0.00" sourceLinked="1"/>
        <c:majorTickMark val="none"/>
        <c:minorTickMark val="none"/>
        <c:tickLblPos val="nextTo"/>
        <c:crossAx val="415666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Oil</a:t>
            </a:r>
            <a:r>
              <a:rPr lang="en-US" baseline="0"/>
              <a:t> Prices - EIA 2000 Annual Energy Outlook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'EIA - 2000 AEO'!$E$2</c:f>
              <c:strCache>
                <c:ptCount val="1"/>
                <c:pt idx="0">
                  <c:v>LOW Oil Price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AEO'!$E$3:$E$23</c:f>
              <c:numCache>
                <c:formatCode>0.00</c:formatCode>
                <c:ptCount val="21"/>
                <c:pt idx="0">
                  <c:v>23.274833208445255</c:v>
                </c:pt>
                <c:pt idx="1">
                  <c:v>21.206269621612016</c:v>
                </c:pt>
                <c:pt idx="2">
                  <c:v>20.488606226227546</c:v>
                </c:pt>
                <c:pt idx="3">
                  <c:v>19.982018501560624</c:v>
                </c:pt>
                <c:pt idx="4">
                  <c:v>19.461360288501467</c:v>
                </c:pt>
                <c:pt idx="5">
                  <c:v>19.109565057994324</c:v>
                </c:pt>
                <c:pt idx="6">
                  <c:v>19.109565057994324</c:v>
                </c:pt>
                <c:pt idx="7">
                  <c:v>19.109565057994324</c:v>
                </c:pt>
                <c:pt idx="8">
                  <c:v>19.109565057994324</c:v>
                </c:pt>
                <c:pt idx="9">
                  <c:v>19.109565057994324</c:v>
                </c:pt>
                <c:pt idx="10">
                  <c:v>19.109565057994324</c:v>
                </c:pt>
                <c:pt idx="11">
                  <c:v>19.109565057994324</c:v>
                </c:pt>
                <c:pt idx="12">
                  <c:v>19.109565057994324</c:v>
                </c:pt>
                <c:pt idx="13">
                  <c:v>19.109565057994324</c:v>
                </c:pt>
                <c:pt idx="14">
                  <c:v>19.109565057994324</c:v>
                </c:pt>
                <c:pt idx="15">
                  <c:v>19.109565057994324</c:v>
                </c:pt>
                <c:pt idx="16">
                  <c:v>19.109565057994324</c:v>
                </c:pt>
                <c:pt idx="17">
                  <c:v>19.109565057994324</c:v>
                </c:pt>
                <c:pt idx="18">
                  <c:v>19.109565057994324</c:v>
                </c:pt>
                <c:pt idx="19">
                  <c:v>19.109565057994324</c:v>
                </c:pt>
                <c:pt idx="20">
                  <c:v>19.109565057994324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'EIA - 2000 AEO'!$F$2</c:f>
              <c:strCache>
                <c:ptCount val="1"/>
                <c:pt idx="0">
                  <c:v>REF Oil Price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AEO'!$F$3:$F$23</c:f>
              <c:numCache>
                <c:formatCode>0.00</c:formatCode>
                <c:ptCount val="21"/>
                <c:pt idx="0">
                  <c:v>27.172731504719973</c:v>
                </c:pt>
                <c:pt idx="1">
                  <c:v>25.723333002569959</c:v>
                </c:pt>
                <c:pt idx="2">
                  <c:v>25.878121827762818</c:v>
                </c:pt>
                <c:pt idx="3">
                  <c:v>26.004769676171346</c:v>
                </c:pt>
                <c:pt idx="4">
                  <c:v>26.145486789982996</c:v>
                </c:pt>
                <c:pt idx="5">
                  <c:v>26.272134638391396</c:v>
                </c:pt>
                <c:pt idx="6">
                  <c:v>26.39878248679992</c:v>
                </c:pt>
                <c:pt idx="7">
                  <c:v>26.539499600611574</c:v>
                </c:pt>
                <c:pt idx="8">
                  <c:v>26.666147449020105</c:v>
                </c:pt>
                <c:pt idx="9">
                  <c:v>26.806862116853676</c:v>
                </c:pt>
                <c:pt idx="10">
                  <c:v>26.933509965262203</c:v>
                </c:pt>
                <c:pt idx="11">
                  <c:v>27.060155367692651</c:v>
                </c:pt>
                <c:pt idx="12">
                  <c:v>27.200874927482385</c:v>
                </c:pt>
                <c:pt idx="13">
                  <c:v>27.327522775890785</c:v>
                </c:pt>
                <c:pt idx="14">
                  <c:v>27.468239889702431</c:v>
                </c:pt>
                <c:pt idx="15">
                  <c:v>27.608959449492161</c:v>
                </c:pt>
                <c:pt idx="16">
                  <c:v>27.735604851922613</c:v>
                </c:pt>
                <c:pt idx="17">
                  <c:v>27.876321965734267</c:v>
                </c:pt>
                <c:pt idx="18">
                  <c:v>28.002972260120739</c:v>
                </c:pt>
                <c:pt idx="19">
                  <c:v>28.143689373932393</c:v>
                </c:pt>
                <c:pt idx="20">
                  <c:v>28.270334776362841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'EIA - 2000 AEO'!$G$2</c:f>
              <c:strCache>
                <c:ptCount val="1"/>
                <c:pt idx="0">
                  <c:v>HIGH Oil Price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AEO'!$G$3:$G$23</c:f>
              <c:numCache>
                <c:formatCode>0.00</c:formatCode>
                <c:ptCount val="21"/>
                <c:pt idx="0">
                  <c:v>31.070632246972778</c:v>
                </c:pt>
                <c:pt idx="1">
                  <c:v>30.451472054245453</c:v>
                </c:pt>
                <c:pt idx="2">
                  <c:v>30.07153340097603</c:v>
                </c:pt>
                <c:pt idx="3">
                  <c:v>30.226322226168882</c:v>
                </c:pt>
                <c:pt idx="4">
                  <c:v>30.549974033913621</c:v>
                </c:pt>
                <c:pt idx="5">
                  <c:v>30.986201978685809</c:v>
                </c:pt>
                <c:pt idx="6">
                  <c:v>31.70386659705925</c:v>
                </c:pt>
                <c:pt idx="7">
                  <c:v>32.238594075521533</c:v>
                </c:pt>
                <c:pt idx="8">
                  <c:v>32.773328891917792</c:v>
                </c:pt>
                <c:pt idx="9">
                  <c:v>33.265838790258513</c:v>
                </c:pt>
                <c:pt idx="10">
                  <c:v>33.744281869174181</c:v>
                </c:pt>
                <c:pt idx="11">
                  <c:v>34.250870816830087</c:v>
                </c:pt>
                <c:pt idx="12">
                  <c:v>34.7152397383866</c:v>
                </c:pt>
                <c:pt idx="13">
                  <c:v>35.081109126252898</c:v>
                </c:pt>
                <c:pt idx="14">
                  <c:v>35.43290435675992</c:v>
                </c:pt>
                <c:pt idx="15">
                  <c:v>35.728412741742503</c:v>
                </c:pt>
                <c:pt idx="16">
                  <c:v>35.826914721410546</c:v>
                </c:pt>
                <c:pt idx="17">
                  <c:v>35.869132301532105</c:v>
                </c:pt>
                <c:pt idx="18">
                  <c:v>35.911349881653535</c:v>
                </c:pt>
                <c:pt idx="19">
                  <c:v>35.939493304415947</c:v>
                </c:pt>
                <c:pt idx="20">
                  <c:v>35.95356256981907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219456"/>
        <c:axId val="416219848"/>
        <c:extLst>
          <c:ext xmlns:c15="http://schemas.microsoft.com/office/drawing/2012/chart" uri="{02D57815-91ED-43cb-92C2-25804820EDAC}">
            <c15:filteredLineSeries>
              <c15:ser>
                <c:idx val="6"/>
                <c:order val="3"/>
                <c:tx>
                  <c:strRef>
                    <c:extLst>
                      <c:ext uri="{02D57815-91ED-43cb-92C2-25804820EDAC}">
                        <c15:formulaRef>
                          <c15:sqref>'EIA - 2000 AEO'!$H$2</c15:sqref>
                        </c15:formulaRef>
                      </c:ext>
                    </c:extLst>
                    <c:strCache>
                      <c:ptCount val="1"/>
                      <c:pt idx="0">
                        <c:v>Hawaii Fuel Oil</c:v>
                      </c:pt>
                    </c:strCache>
                  </c:strRef>
                </c:tx>
                <c:spPr>
                  <a:ln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'EIA - 2000 AEO'!$A$3:$A$23</c15:sqref>
                        </c15:formulaRef>
                      </c:ext>
                    </c:extLst>
                    <c:strCache>
                      <c:ptCount val="21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2017</c:v>
                      </c:pt>
                      <c:pt idx="18">
                        <c:v>2018</c:v>
                      </c:pt>
                      <c:pt idx="19">
                        <c:v>2019</c:v>
                      </c:pt>
                      <c:pt idx="20">
                        <c:v>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'EIA - 2000 AEO'!$H$3:$H$23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1"/>
                      <c:pt idx="0">
                        <c:v>38.152716858666786</c:v>
                      </c:pt>
                      <c:pt idx="1">
                        <c:v>37.687607497085892</c:v>
                      </c:pt>
                      <c:pt idx="2">
                        <c:v>32.900573945030715</c:v>
                      </c:pt>
                      <c:pt idx="3">
                        <c:v>40.596271346701769</c:v>
                      </c:pt>
                      <c:pt idx="4">
                        <c:v>44.749506570690144</c:v>
                      </c:pt>
                      <c:pt idx="5">
                        <c:v>55.997775550134982</c:v>
                      </c:pt>
                      <c:pt idx="6">
                        <c:v>63.312841045085726</c:v>
                      </c:pt>
                      <c:pt idx="7">
                        <c:v>63.697875371549884</c:v>
                      </c:pt>
                      <c:pt idx="8">
                        <c:v>110.78237325619644</c:v>
                      </c:pt>
                      <c:pt idx="9">
                        <c:v>60.938051999999999</c:v>
                      </c:pt>
                      <c:pt idx="10">
                        <c:v>84.698397404506423</c:v>
                      </c:pt>
                      <c:pt idx="11">
                        <c:v>117.79763586162937</c:v>
                      </c:pt>
                      <c:pt idx="12">
                        <c:v>130.23797667501495</c:v>
                      </c:pt>
                      <c:pt idx="13" formatCode="#,##0.00">
                        <c:v>121.00510350379014</c:v>
                      </c:pt>
                      <c:pt idx="14" formatCode="#,##0.00">
                        <c:v>117.51850816813995</c:v>
                      </c:pt>
                      <c:pt idx="15" formatCode="#,##0.00">
                        <c:v>63.235577295785831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162194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416219848"/>
        <c:crosses val="autoZero"/>
        <c:auto val="1"/>
        <c:lblAlgn val="ctr"/>
        <c:lblOffset val="100"/>
        <c:noMultiLvlLbl val="0"/>
      </c:catAx>
      <c:valAx>
        <c:axId val="41621984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</a:t>
                </a:r>
                <a:r>
                  <a:rPr lang="en-US" baseline="0"/>
                  <a:t> Barrel</a:t>
                </a:r>
              </a:p>
              <a:p>
                <a:pPr>
                  <a:defRPr/>
                </a:pPr>
                <a:r>
                  <a:rPr lang="en-US" baseline="0"/>
                  <a:t>2010 Dollars</a:t>
                </a:r>
                <a:endParaRPr lang="en-US"/>
              </a:p>
            </c:rich>
          </c:tx>
          <c:layout/>
          <c:overlay val="0"/>
        </c:title>
        <c:numFmt formatCode="0.00" sourceLinked="1"/>
        <c:majorTickMark val="none"/>
        <c:minorTickMark val="none"/>
        <c:tickLblPos val="nextTo"/>
        <c:crossAx val="416219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Oil</a:t>
            </a:r>
            <a:r>
              <a:rPr lang="en-US" baseline="0"/>
              <a:t> Prices - EIA 2000 AEO vs Actual -- LSFO/Diesel Blend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'EIA - 2000 AEO'!$E$2</c:f>
              <c:strCache>
                <c:ptCount val="1"/>
                <c:pt idx="0">
                  <c:v>LOW Oil Price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AEO'!$E$3:$E$23</c:f>
              <c:numCache>
                <c:formatCode>0.00</c:formatCode>
                <c:ptCount val="21"/>
                <c:pt idx="0">
                  <c:v>23.274833208445255</c:v>
                </c:pt>
                <c:pt idx="1">
                  <c:v>21.206269621612016</c:v>
                </c:pt>
                <c:pt idx="2">
                  <c:v>20.488606226227546</c:v>
                </c:pt>
                <c:pt idx="3">
                  <c:v>19.982018501560624</c:v>
                </c:pt>
                <c:pt idx="4">
                  <c:v>19.461360288501467</c:v>
                </c:pt>
                <c:pt idx="5">
                  <c:v>19.109565057994324</c:v>
                </c:pt>
                <c:pt idx="6">
                  <c:v>19.109565057994324</c:v>
                </c:pt>
                <c:pt idx="7">
                  <c:v>19.109565057994324</c:v>
                </c:pt>
                <c:pt idx="8">
                  <c:v>19.109565057994324</c:v>
                </c:pt>
                <c:pt idx="9">
                  <c:v>19.109565057994324</c:v>
                </c:pt>
                <c:pt idx="10">
                  <c:v>19.109565057994324</c:v>
                </c:pt>
                <c:pt idx="11">
                  <c:v>19.109565057994324</c:v>
                </c:pt>
                <c:pt idx="12">
                  <c:v>19.109565057994324</c:v>
                </c:pt>
                <c:pt idx="13">
                  <c:v>19.109565057994324</c:v>
                </c:pt>
                <c:pt idx="14">
                  <c:v>19.109565057994324</c:v>
                </c:pt>
                <c:pt idx="15">
                  <c:v>19.109565057994324</c:v>
                </c:pt>
                <c:pt idx="16">
                  <c:v>19.109565057994324</c:v>
                </c:pt>
                <c:pt idx="17">
                  <c:v>19.109565057994324</c:v>
                </c:pt>
                <c:pt idx="18">
                  <c:v>19.109565057994324</c:v>
                </c:pt>
                <c:pt idx="19">
                  <c:v>19.109565057994324</c:v>
                </c:pt>
                <c:pt idx="20">
                  <c:v>19.109565057994324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'EIA - 2000 AEO'!$F$2</c:f>
              <c:strCache>
                <c:ptCount val="1"/>
                <c:pt idx="0">
                  <c:v>REF Oil Price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AEO'!$F$3:$F$23</c:f>
              <c:numCache>
                <c:formatCode>0.00</c:formatCode>
                <c:ptCount val="21"/>
                <c:pt idx="0">
                  <c:v>27.172731504719973</c:v>
                </c:pt>
                <c:pt idx="1">
                  <c:v>25.723333002569959</c:v>
                </c:pt>
                <c:pt idx="2">
                  <c:v>25.878121827762818</c:v>
                </c:pt>
                <c:pt idx="3">
                  <c:v>26.004769676171346</c:v>
                </c:pt>
                <c:pt idx="4">
                  <c:v>26.145486789982996</c:v>
                </c:pt>
                <c:pt idx="5">
                  <c:v>26.272134638391396</c:v>
                </c:pt>
                <c:pt idx="6">
                  <c:v>26.39878248679992</c:v>
                </c:pt>
                <c:pt idx="7">
                  <c:v>26.539499600611574</c:v>
                </c:pt>
                <c:pt idx="8">
                  <c:v>26.666147449020105</c:v>
                </c:pt>
                <c:pt idx="9">
                  <c:v>26.806862116853676</c:v>
                </c:pt>
                <c:pt idx="10">
                  <c:v>26.933509965262203</c:v>
                </c:pt>
                <c:pt idx="11">
                  <c:v>27.060155367692651</c:v>
                </c:pt>
                <c:pt idx="12">
                  <c:v>27.200874927482385</c:v>
                </c:pt>
                <c:pt idx="13">
                  <c:v>27.327522775890785</c:v>
                </c:pt>
                <c:pt idx="14">
                  <c:v>27.468239889702431</c:v>
                </c:pt>
                <c:pt idx="15">
                  <c:v>27.608959449492161</c:v>
                </c:pt>
                <c:pt idx="16">
                  <c:v>27.735604851922613</c:v>
                </c:pt>
                <c:pt idx="17">
                  <c:v>27.876321965734267</c:v>
                </c:pt>
                <c:pt idx="18">
                  <c:v>28.002972260120739</c:v>
                </c:pt>
                <c:pt idx="19">
                  <c:v>28.143689373932393</c:v>
                </c:pt>
                <c:pt idx="20">
                  <c:v>28.270334776362841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'EIA - 2000 AEO'!$G$2</c:f>
              <c:strCache>
                <c:ptCount val="1"/>
                <c:pt idx="0">
                  <c:v>HIGH Oil Price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AEO'!$G$3:$G$23</c:f>
              <c:numCache>
                <c:formatCode>0.00</c:formatCode>
                <c:ptCount val="21"/>
                <c:pt idx="0">
                  <c:v>31.070632246972778</c:v>
                </c:pt>
                <c:pt idx="1">
                  <c:v>30.451472054245453</c:v>
                </c:pt>
                <c:pt idx="2">
                  <c:v>30.07153340097603</c:v>
                </c:pt>
                <c:pt idx="3">
                  <c:v>30.226322226168882</c:v>
                </c:pt>
                <c:pt idx="4">
                  <c:v>30.549974033913621</c:v>
                </c:pt>
                <c:pt idx="5">
                  <c:v>30.986201978685809</c:v>
                </c:pt>
                <c:pt idx="6">
                  <c:v>31.70386659705925</c:v>
                </c:pt>
                <c:pt idx="7">
                  <c:v>32.238594075521533</c:v>
                </c:pt>
                <c:pt idx="8">
                  <c:v>32.773328891917792</c:v>
                </c:pt>
                <c:pt idx="9">
                  <c:v>33.265838790258513</c:v>
                </c:pt>
                <c:pt idx="10">
                  <c:v>33.744281869174181</c:v>
                </c:pt>
                <c:pt idx="11">
                  <c:v>34.250870816830087</c:v>
                </c:pt>
                <c:pt idx="12">
                  <c:v>34.7152397383866</c:v>
                </c:pt>
                <c:pt idx="13">
                  <c:v>35.081109126252898</c:v>
                </c:pt>
                <c:pt idx="14">
                  <c:v>35.43290435675992</c:v>
                </c:pt>
                <c:pt idx="15">
                  <c:v>35.728412741742503</c:v>
                </c:pt>
                <c:pt idx="16">
                  <c:v>35.826914721410546</c:v>
                </c:pt>
                <c:pt idx="17">
                  <c:v>35.869132301532105</c:v>
                </c:pt>
                <c:pt idx="18">
                  <c:v>35.911349881653535</c:v>
                </c:pt>
                <c:pt idx="19">
                  <c:v>35.939493304415947</c:v>
                </c:pt>
                <c:pt idx="20">
                  <c:v>35.95356256981907</c:v>
                </c:pt>
              </c:numCache>
            </c:numRef>
          </c:val>
          <c:smooth val="0"/>
        </c:ser>
        <c:ser>
          <c:idx val="6"/>
          <c:order val="3"/>
          <c:tx>
            <c:strRef>
              <c:f>'EIA - 2000 AEO'!$H$2</c:f>
              <c:strCache>
                <c:ptCount val="1"/>
                <c:pt idx="0">
                  <c:v>Hawaii Fuel Oil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AEO'!$H$3:$H$23</c:f>
              <c:numCache>
                <c:formatCode>_(* #,##0.00_);_(* \(#,##0.00\);_(* "-"??_);_(@_)</c:formatCode>
                <c:ptCount val="21"/>
                <c:pt idx="0">
                  <c:v>38.152716858666786</c:v>
                </c:pt>
                <c:pt idx="1">
                  <c:v>37.687607497085892</c:v>
                </c:pt>
                <c:pt idx="2">
                  <c:v>32.900573945030715</c:v>
                </c:pt>
                <c:pt idx="3">
                  <c:v>40.596271346701769</c:v>
                </c:pt>
                <c:pt idx="4">
                  <c:v>44.749506570690144</c:v>
                </c:pt>
                <c:pt idx="5">
                  <c:v>55.997775550134982</c:v>
                </c:pt>
                <c:pt idx="6">
                  <c:v>63.312841045085726</c:v>
                </c:pt>
                <c:pt idx="7">
                  <c:v>63.697875371549884</c:v>
                </c:pt>
                <c:pt idx="8">
                  <c:v>110.78237325619644</c:v>
                </c:pt>
                <c:pt idx="9">
                  <c:v>60.938051999999999</c:v>
                </c:pt>
                <c:pt idx="10">
                  <c:v>84.698397404506423</c:v>
                </c:pt>
                <c:pt idx="11">
                  <c:v>117.79763586162937</c:v>
                </c:pt>
                <c:pt idx="12">
                  <c:v>130.23797667501495</c:v>
                </c:pt>
                <c:pt idx="13" formatCode="#,##0.00">
                  <c:v>121.00510350379014</c:v>
                </c:pt>
                <c:pt idx="14" formatCode="#,##0.00">
                  <c:v>117.51850816813995</c:v>
                </c:pt>
                <c:pt idx="15" formatCode="#,##0.00">
                  <c:v>63.235577295785831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'EIA - 2000 AEO'!$I$2</c:f>
              <c:strCache>
                <c:ptCount val="1"/>
                <c:pt idx="0">
                  <c:v>Hawaii 75/25 LSFO/Diesel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strRef>
              <c:f>'EIA - 2000 AEO'!$A$3:$A$23</c:f>
              <c:strCach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strCache>
            </c:strRef>
          </c:cat>
          <c:val>
            <c:numRef>
              <c:f>'EIA - 2000 AEO'!$I$3:$I$23</c:f>
              <c:numCache>
                <c:formatCode>_(* #,##0.00_);_(* \(#,##0.00\);_(* "-"??_);_(@_)</c:formatCode>
                <c:ptCount val="21"/>
                <c:pt idx="0">
                  <c:v>41.857535884451707</c:v>
                </c:pt>
                <c:pt idx="1">
                  <c:v>41.490558059580358</c:v>
                </c:pt>
                <c:pt idx="2">
                  <c:v>35.327244356398964</c:v>
                </c:pt>
                <c:pt idx="3">
                  <c:v>42.954792545096574</c:v>
                </c:pt>
                <c:pt idx="4">
                  <c:v>49.635832579884507</c:v>
                </c:pt>
                <c:pt idx="5">
                  <c:v>63.706590972477336</c:v>
                </c:pt>
                <c:pt idx="6">
                  <c:v>73.019744975363523</c:v>
                </c:pt>
                <c:pt idx="7">
                  <c:v>73.423239640264356</c:v>
                </c:pt>
                <c:pt idx="8">
                  <c:v>117.79491347604326</c:v>
                </c:pt>
                <c:pt idx="9">
                  <c:v>65.259771675698261</c:v>
                </c:pt>
                <c:pt idx="10">
                  <c:v>88.127070011099178</c:v>
                </c:pt>
                <c:pt idx="11">
                  <c:v>120.57757081760772</c:v>
                </c:pt>
                <c:pt idx="12">
                  <c:v>131.50468678875001</c:v>
                </c:pt>
                <c:pt idx="13" formatCode="#,##0.00">
                  <c:v>123.71279476133836</c:v>
                </c:pt>
                <c:pt idx="14" formatCode="#,##0.00">
                  <c:v>119.66177862818574</c:v>
                </c:pt>
                <c:pt idx="15" formatCode="#,##0.00">
                  <c:v>67.706829201619797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726272"/>
        <c:axId val="475418616"/>
      </c:lineChart>
      <c:catAx>
        <c:axId val="4227262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475418616"/>
        <c:crosses val="autoZero"/>
        <c:auto val="1"/>
        <c:lblAlgn val="ctr"/>
        <c:lblOffset val="100"/>
        <c:noMultiLvlLbl val="0"/>
      </c:catAx>
      <c:valAx>
        <c:axId val="47541861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</a:t>
                </a:r>
                <a:r>
                  <a:rPr lang="en-US" baseline="0"/>
                  <a:t> Barrel</a:t>
                </a:r>
              </a:p>
              <a:p>
                <a:pPr>
                  <a:defRPr/>
                </a:pPr>
                <a:r>
                  <a:rPr lang="en-US" baseline="0"/>
                  <a:t>2010 Dollars</a:t>
                </a:r>
                <a:endParaRPr lang="en-US"/>
              </a:p>
            </c:rich>
          </c:tx>
          <c:layout/>
          <c:overlay val="0"/>
        </c:title>
        <c:numFmt formatCode="0.00" sourceLinked="1"/>
        <c:majorTickMark val="none"/>
        <c:minorTickMark val="none"/>
        <c:tickLblPos val="nextTo"/>
        <c:crossAx val="422726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</a:t>
            </a:r>
            <a:r>
              <a:rPr lang="en-US" baseline="0"/>
              <a:t> Oil &amp; Natural Gas Forecast</a:t>
            </a:r>
          </a:p>
          <a:p>
            <a:pPr>
              <a:defRPr/>
            </a:pPr>
            <a:r>
              <a:rPr lang="en-US" sz="1200" baseline="0"/>
              <a:t>Energy Information Administration - 2015 Annual Energy Outlook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'EIA - 2015 AEO'!$B$4</c:f>
              <c:strCache>
                <c:ptCount val="1"/>
                <c:pt idx="0">
                  <c:v>Residual Fuel 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'EIA - 2015 AEO'!$A$5:$A$33</c:f>
              <c:numCache>
                <c:formatCode>General</c:formatCode>
                <c:ptCount val="2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</c:numCache>
            </c:numRef>
          </c:cat>
          <c:val>
            <c:numRef>
              <c:f>'EIA - 2015 AEO'!$B$5:$B$33</c:f>
              <c:numCache>
                <c:formatCode>0.00</c:formatCode>
                <c:ptCount val="29"/>
                <c:pt idx="0">
                  <c:v>20.824804</c:v>
                </c:pt>
                <c:pt idx="1">
                  <c:v>18.893046999999999</c:v>
                </c:pt>
                <c:pt idx="2">
                  <c:v>20.004930000000002</c:v>
                </c:pt>
                <c:pt idx="3">
                  <c:v>11.468994</c:v>
                </c:pt>
                <c:pt idx="4">
                  <c:v>11.011668999999999</c:v>
                </c:pt>
                <c:pt idx="5">
                  <c:v>9.9991520000000005</c:v>
                </c:pt>
                <c:pt idx="6">
                  <c:v>10.054283</c:v>
                </c:pt>
                <c:pt idx="7">
                  <c:v>11.198876</c:v>
                </c:pt>
                <c:pt idx="8">
                  <c:v>11.453143000000001</c:v>
                </c:pt>
                <c:pt idx="9">
                  <c:v>11.791676000000001</c:v>
                </c:pt>
                <c:pt idx="10">
                  <c:v>12.147738</c:v>
                </c:pt>
                <c:pt idx="11">
                  <c:v>12.507778999999999</c:v>
                </c:pt>
                <c:pt idx="12">
                  <c:v>12.885377999999999</c:v>
                </c:pt>
                <c:pt idx="13">
                  <c:v>13.268763999999999</c:v>
                </c:pt>
                <c:pt idx="14">
                  <c:v>13.676804000000001</c:v>
                </c:pt>
                <c:pt idx="15">
                  <c:v>14.083218</c:v>
                </c:pt>
                <c:pt idx="16">
                  <c:v>14.496015</c:v>
                </c:pt>
                <c:pt idx="17">
                  <c:v>14.928507</c:v>
                </c:pt>
                <c:pt idx="18">
                  <c:v>15.377337000000001</c:v>
                </c:pt>
                <c:pt idx="19">
                  <c:v>15.864094</c:v>
                </c:pt>
                <c:pt idx="20">
                  <c:v>16.344154</c:v>
                </c:pt>
                <c:pt idx="21">
                  <c:v>16.797329000000001</c:v>
                </c:pt>
                <c:pt idx="22">
                  <c:v>17.332518</c:v>
                </c:pt>
                <c:pt idx="23">
                  <c:v>17.849079</c:v>
                </c:pt>
                <c:pt idx="24">
                  <c:v>18.373325000000001</c:v>
                </c:pt>
                <c:pt idx="25">
                  <c:v>18.900950999999999</c:v>
                </c:pt>
                <c:pt idx="26">
                  <c:v>19.474056000000001</c:v>
                </c:pt>
                <c:pt idx="27">
                  <c:v>20.437633999999999</c:v>
                </c:pt>
                <c:pt idx="28">
                  <c:v>21.591290999999998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'EIA - 2015 AEO'!$C$4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'EIA - 2015 AEO'!$A$5:$A$33</c:f>
              <c:numCache>
                <c:formatCode>General</c:formatCode>
                <c:ptCount val="2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</c:numCache>
            </c:numRef>
          </c:cat>
          <c:val>
            <c:numRef>
              <c:f>'EIA - 2015 AEO'!$C$5:$C$33</c:f>
              <c:numCache>
                <c:formatCode>0.00</c:formatCode>
                <c:ptCount val="29"/>
                <c:pt idx="0">
                  <c:v>3.51688</c:v>
                </c:pt>
                <c:pt idx="1">
                  <c:v>4.4006239999999996</c:v>
                </c:pt>
                <c:pt idx="2">
                  <c:v>5.0402560000000003</c:v>
                </c:pt>
                <c:pt idx="3">
                  <c:v>4.3834330000000001</c:v>
                </c:pt>
                <c:pt idx="4">
                  <c:v>4.4210190000000003</c:v>
                </c:pt>
                <c:pt idx="5">
                  <c:v>4.4031370000000001</c:v>
                </c:pt>
                <c:pt idx="6">
                  <c:v>4.5298590000000001</c:v>
                </c:pt>
                <c:pt idx="7">
                  <c:v>4.9550369999999999</c:v>
                </c:pt>
                <c:pt idx="8">
                  <c:v>5.3865970000000001</c:v>
                </c:pt>
                <c:pt idx="9">
                  <c:v>5.6497830000000002</c:v>
                </c:pt>
                <c:pt idx="10">
                  <c:v>5.7970879999999996</c:v>
                </c:pt>
                <c:pt idx="11">
                  <c:v>5.9728120000000002</c:v>
                </c:pt>
                <c:pt idx="12">
                  <c:v>6.1041150000000002</c:v>
                </c:pt>
                <c:pt idx="13">
                  <c:v>6.2740470000000004</c:v>
                </c:pt>
                <c:pt idx="14">
                  <c:v>6.438682</c:v>
                </c:pt>
                <c:pt idx="15">
                  <c:v>6.3954579999999996</c:v>
                </c:pt>
                <c:pt idx="16">
                  <c:v>6.2843340000000003</c:v>
                </c:pt>
                <c:pt idx="17">
                  <c:v>6.2561179999999998</c:v>
                </c:pt>
                <c:pt idx="18">
                  <c:v>6.2202510000000002</c:v>
                </c:pt>
                <c:pt idx="19">
                  <c:v>6.3787390000000004</c:v>
                </c:pt>
                <c:pt idx="20">
                  <c:v>6.529452</c:v>
                </c:pt>
                <c:pt idx="21">
                  <c:v>6.6800040000000003</c:v>
                </c:pt>
                <c:pt idx="22">
                  <c:v>6.8338859999999997</c:v>
                </c:pt>
                <c:pt idx="23">
                  <c:v>6.9766000000000004</c:v>
                </c:pt>
                <c:pt idx="24">
                  <c:v>7.1470760000000002</c:v>
                </c:pt>
                <c:pt idx="25">
                  <c:v>7.3230570000000004</c:v>
                </c:pt>
                <c:pt idx="26">
                  <c:v>7.5332809999999997</c:v>
                </c:pt>
                <c:pt idx="27">
                  <c:v>7.8816899999999999</c:v>
                </c:pt>
                <c:pt idx="28">
                  <c:v>8.2837329999999998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218280"/>
        <c:axId val="416215536"/>
      </c:lineChart>
      <c:catAx>
        <c:axId val="41621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15536"/>
        <c:crosses val="autoZero"/>
        <c:auto val="1"/>
        <c:lblAlgn val="ctr"/>
        <c:lblOffset val="100"/>
        <c:noMultiLvlLbl val="0"/>
      </c:catAx>
      <c:valAx>
        <c:axId val="4162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1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143</xdr:row>
      <xdr:rowOff>22860</xdr:rowOff>
    </xdr:from>
    <xdr:to>
      <xdr:col>12</xdr:col>
      <xdr:colOff>777240</xdr:colOff>
      <xdr:row>164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60960</xdr:colOff>
      <xdr:row>143</xdr:row>
      <xdr:rowOff>30480</xdr:rowOff>
    </xdr:from>
    <xdr:to>
      <xdr:col>22</xdr:col>
      <xdr:colOff>53340</xdr:colOff>
      <xdr:row>164</xdr:row>
      <xdr:rowOff>160020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495300</xdr:colOff>
      <xdr:row>172</xdr:row>
      <xdr:rowOff>0</xdr:rowOff>
    </xdr:from>
    <xdr:to>
      <xdr:col>13</xdr:col>
      <xdr:colOff>396240</xdr:colOff>
      <xdr:row>196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172</xdr:row>
      <xdr:rowOff>0</xdr:rowOff>
    </xdr:from>
    <xdr:to>
      <xdr:col>22</xdr:col>
      <xdr:colOff>754380</xdr:colOff>
      <xdr:row>196</xdr:row>
      <xdr:rowOff>106680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30480</xdr:colOff>
      <xdr:row>208</xdr:row>
      <xdr:rowOff>15240</xdr:rowOff>
    </xdr:from>
    <xdr:to>
      <xdr:col>13</xdr:col>
      <xdr:colOff>0</xdr:colOff>
      <xdr:row>233</xdr:row>
      <xdr:rowOff>15240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208</xdr:row>
      <xdr:rowOff>0</xdr:rowOff>
    </xdr:from>
    <xdr:to>
      <xdr:col>23</xdr:col>
      <xdr:colOff>22860</xdr:colOff>
      <xdr:row>233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15240</xdr:colOff>
      <xdr:row>248</xdr:row>
      <xdr:rowOff>15240</xdr:rowOff>
    </xdr:from>
    <xdr:to>
      <xdr:col>24</xdr:col>
      <xdr:colOff>91440</xdr:colOff>
      <xdr:row>273</xdr:row>
      <xdr:rowOff>60960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7620</xdr:colOff>
      <xdr:row>277</xdr:row>
      <xdr:rowOff>175260</xdr:rowOff>
    </xdr:from>
    <xdr:to>
      <xdr:col>13</xdr:col>
      <xdr:colOff>30480</xdr:colOff>
      <xdr:row>303</xdr:row>
      <xdr:rowOff>38100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7620</xdr:colOff>
      <xdr:row>307</xdr:row>
      <xdr:rowOff>175260</xdr:rowOff>
    </xdr:from>
    <xdr:to>
      <xdr:col>13</xdr:col>
      <xdr:colOff>30480</xdr:colOff>
      <xdr:row>333</xdr:row>
      <xdr:rowOff>38100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7620</xdr:colOff>
      <xdr:row>337</xdr:row>
      <xdr:rowOff>175260</xdr:rowOff>
    </xdr:from>
    <xdr:to>
      <xdr:col>13</xdr:col>
      <xdr:colOff>30480</xdr:colOff>
      <xdr:row>363</xdr:row>
      <xdr:rowOff>38100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190500</xdr:colOff>
      <xdr:row>248</xdr:row>
      <xdr:rowOff>22860</xdr:rowOff>
    </xdr:from>
    <xdr:to>
      <xdr:col>13</xdr:col>
      <xdr:colOff>266700</xdr:colOff>
      <xdr:row>273</xdr:row>
      <xdr:rowOff>129540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16</xdr:row>
      <xdr:rowOff>53340</xdr:rowOff>
    </xdr:from>
    <xdr:to>
      <xdr:col>6</xdr:col>
      <xdr:colOff>586740</xdr:colOff>
      <xdr:row>31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800100</xdr:colOff>
      <xdr:row>16</xdr:row>
      <xdr:rowOff>45720</xdr:rowOff>
    </xdr:from>
    <xdr:to>
      <xdr:col>11</xdr:col>
      <xdr:colOff>838200</xdr:colOff>
      <xdr:row>31</xdr:row>
      <xdr:rowOff>45720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922020</xdr:colOff>
      <xdr:row>16</xdr:row>
      <xdr:rowOff>45720</xdr:rowOff>
    </xdr:from>
    <xdr:to>
      <xdr:col>17</xdr:col>
      <xdr:colOff>274320</xdr:colOff>
      <xdr:row>31</xdr:row>
      <xdr:rowOff>45720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396240</xdr:colOff>
      <xdr:row>16</xdr:row>
      <xdr:rowOff>38100</xdr:rowOff>
    </xdr:from>
    <xdr:to>
      <xdr:col>25</xdr:col>
      <xdr:colOff>91440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7620</xdr:colOff>
      <xdr:row>49</xdr:row>
      <xdr:rowOff>129540</xdr:rowOff>
    </xdr:from>
    <xdr:to>
      <xdr:col>6</xdr:col>
      <xdr:colOff>548640</xdr:colOff>
      <xdr:row>64</xdr:row>
      <xdr:rowOff>129540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53340</xdr:colOff>
      <xdr:row>49</xdr:row>
      <xdr:rowOff>167640</xdr:rowOff>
    </xdr:from>
    <xdr:to>
      <xdr:col>12</xdr:col>
      <xdr:colOff>53340</xdr:colOff>
      <xdr:row>64</xdr:row>
      <xdr:rowOff>167640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396240</xdr:colOff>
      <xdr:row>50</xdr:row>
      <xdr:rowOff>0</xdr:rowOff>
    </xdr:from>
    <xdr:to>
      <xdr:col>18</xdr:col>
      <xdr:colOff>243840</xdr:colOff>
      <xdr:row>66</xdr:row>
      <xdr:rowOff>45720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50</xdr:row>
      <xdr:rowOff>0</xdr:rowOff>
    </xdr:from>
    <xdr:to>
      <xdr:col>26</xdr:col>
      <xdr:colOff>304800</xdr:colOff>
      <xdr:row>66</xdr:row>
      <xdr:rowOff>45720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185420</xdr:colOff>
      <xdr:row>69</xdr:row>
      <xdr:rowOff>13970</xdr:rowOff>
    </xdr:from>
    <xdr:to>
      <xdr:col>18</xdr:col>
      <xdr:colOff>208280</xdr:colOff>
      <xdr:row>86</xdr:row>
      <xdr:rowOff>120650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0.24853</cdr:x>
      <cdr:y>0.22768</cdr:y>
    </cdr:from>
    <cdr:to>
      <cdr:x>0.32271</cdr:x>
      <cdr:y>0.29736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1446530" y="903300"/>
          <a:ext cx="431800" cy="276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$616</a:t>
          </a:r>
        </a:p>
      </cdr:txBody>
    </cdr:sp>
  </cdr:relSizeAnchor>
  <cdr:relSizeAnchor xmlns:cdr="http://schemas.openxmlformats.org/drawingml/2006/chartDrawing">
    <cdr:from>
      <cdr:x>0.24765</cdr:x>
      <cdr:y>0.60575</cdr:y>
    </cdr:from>
    <cdr:to>
      <cdr:x>0.32184</cdr:x>
      <cdr:y>0.67543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1441450" y="2403291"/>
          <a:ext cx="431800" cy="276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$243</a:t>
          </a:r>
        </a:p>
      </cdr:txBody>
    </cdr:sp>
  </cdr:relSizeAnchor>
  <cdr:relSizeAnchor xmlns:cdr="http://schemas.openxmlformats.org/drawingml/2006/chartDrawing">
    <cdr:from>
      <cdr:x>0.24765</cdr:x>
      <cdr:y>0.7091</cdr:y>
    </cdr:from>
    <cdr:to>
      <cdr:x>0.32184</cdr:x>
      <cdr:y>0.77879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1441450" y="2813346"/>
          <a:ext cx="431800" cy="276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$140</a:t>
          </a:r>
        </a:p>
      </cdr:txBody>
    </cdr:sp>
  </cdr:relSizeAnchor>
  <cdr:relSizeAnchor xmlns:cdr="http://schemas.openxmlformats.org/drawingml/2006/chartDrawing">
    <cdr:from>
      <cdr:x>0.46367</cdr:x>
      <cdr:y>0.42531</cdr:y>
    </cdr:from>
    <cdr:to>
      <cdr:x>0.53786</cdr:x>
      <cdr:y>0.495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2698750" y="1687423"/>
          <a:ext cx="431800" cy="2764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$425</a:t>
          </a:r>
        </a:p>
      </cdr:txBody>
    </cdr:sp>
  </cdr:relSizeAnchor>
  <cdr:relSizeAnchor xmlns:cdr="http://schemas.openxmlformats.org/drawingml/2006/chartDrawing">
    <cdr:from>
      <cdr:x>0.46367</cdr:x>
      <cdr:y>0.64798</cdr:y>
    </cdr:from>
    <cdr:to>
      <cdr:x>0.53786</cdr:x>
      <cdr:y>0.71767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2698750" y="2570865"/>
          <a:ext cx="431800" cy="2764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$201</a:t>
          </a:r>
        </a:p>
      </cdr:txBody>
    </cdr:sp>
  </cdr:relSizeAnchor>
  <cdr:relSizeAnchor xmlns:cdr="http://schemas.openxmlformats.org/drawingml/2006/chartDrawing">
    <cdr:from>
      <cdr:x>0.46367</cdr:x>
      <cdr:y>0.70953</cdr:y>
    </cdr:from>
    <cdr:to>
      <cdr:x>0.53786</cdr:x>
      <cdr:y>0.77921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2698750" y="2815032"/>
          <a:ext cx="431800" cy="276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$139</a:t>
          </a:r>
        </a:p>
      </cdr:txBody>
    </cdr:sp>
  </cdr:relSizeAnchor>
  <cdr:relSizeAnchor xmlns:cdr="http://schemas.openxmlformats.org/drawingml/2006/chartDrawing">
    <cdr:from>
      <cdr:x>0.68078</cdr:x>
      <cdr:y>0.60909</cdr:y>
    </cdr:from>
    <cdr:to>
      <cdr:x>0.75496</cdr:x>
      <cdr:y>0.67878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3962400" y="2416553"/>
          <a:ext cx="431800" cy="276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$245</a:t>
          </a:r>
        </a:p>
      </cdr:txBody>
    </cdr:sp>
  </cdr:relSizeAnchor>
  <cdr:relSizeAnchor xmlns:cdr="http://schemas.openxmlformats.org/drawingml/2006/chartDrawing">
    <cdr:from>
      <cdr:x>0.68078</cdr:x>
      <cdr:y>0.67906</cdr:y>
    </cdr:from>
    <cdr:to>
      <cdr:x>0.75496</cdr:x>
      <cdr:y>0.74875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3962400" y="2694157"/>
          <a:ext cx="431800" cy="2764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$166</a:t>
          </a:r>
        </a:p>
      </cdr:txBody>
    </cdr:sp>
  </cdr:relSizeAnchor>
  <cdr:relSizeAnchor xmlns:cdr="http://schemas.openxmlformats.org/drawingml/2006/chartDrawing">
    <cdr:from>
      <cdr:x>0.68078</cdr:x>
      <cdr:y>0.71099</cdr:y>
    </cdr:from>
    <cdr:to>
      <cdr:x>0.75496</cdr:x>
      <cdr:y>0.78067</cdr:y>
    </cdr:to>
    <cdr:sp macro="" textlink="">
      <cdr:nvSpPr>
        <cdr:cNvPr id="14" name="TextBox 1"/>
        <cdr:cNvSpPr txBox="1"/>
      </cdr:nvSpPr>
      <cdr:spPr>
        <a:xfrm xmlns:a="http://schemas.openxmlformats.org/drawingml/2006/main">
          <a:off x="3962400" y="2820820"/>
          <a:ext cx="431800" cy="276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$152</a:t>
          </a:r>
        </a:p>
      </cdr:txBody>
    </cdr:sp>
  </cdr:relSizeAnchor>
  <cdr:relSizeAnchor xmlns:cdr="http://schemas.openxmlformats.org/drawingml/2006/chartDrawing">
    <cdr:from>
      <cdr:x>0.90116</cdr:x>
      <cdr:y>0.64162</cdr:y>
    </cdr:from>
    <cdr:to>
      <cdr:x>0.97534</cdr:x>
      <cdr:y>0.71131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5245100" y="2545633"/>
          <a:ext cx="431800" cy="276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$215</a:t>
          </a:r>
        </a:p>
      </cdr:txBody>
    </cdr:sp>
  </cdr:relSizeAnchor>
  <cdr:relSizeAnchor xmlns:cdr="http://schemas.openxmlformats.org/drawingml/2006/chartDrawing">
    <cdr:from>
      <cdr:x>0.89897</cdr:x>
      <cdr:y>0.684</cdr:y>
    </cdr:from>
    <cdr:to>
      <cdr:x>0.97316</cdr:x>
      <cdr:y>0.75369</cdr:y>
    </cdr:to>
    <cdr:sp macro="" textlink="">
      <cdr:nvSpPr>
        <cdr:cNvPr id="16" name="TextBox 1"/>
        <cdr:cNvSpPr txBox="1"/>
      </cdr:nvSpPr>
      <cdr:spPr>
        <a:xfrm xmlns:a="http://schemas.openxmlformats.org/drawingml/2006/main">
          <a:off x="5232400" y="2713769"/>
          <a:ext cx="431800" cy="2764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$164</a:t>
          </a:r>
        </a:p>
      </cdr:txBody>
    </cdr:sp>
  </cdr:relSizeAnchor>
  <cdr:relSizeAnchor xmlns:cdr="http://schemas.openxmlformats.org/drawingml/2006/chartDrawing">
    <cdr:from>
      <cdr:x>0.89897</cdr:x>
      <cdr:y>0.71621</cdr:y>
    </cdr:from>
    <cdr:to>
      <cdr:x>0.97316</cdr:x>
      <cdr:y>0.7859</cdr:y>
    </cdr:to>
    <cdr:sp macro="" textlink="">
      <cdr:nvSpPr>
        <cdr:cNvPr id="17" name="TextBox 1"/>
        <cdr:cNvSpPr txBox="1"/>
      </cdr:nvSpPr>
      <cdr:spPr>
        <a:xfrm xmlns:a="http://schemas.openxmlformats.org/drawingml/2006/main">
          <a:off x="5232400" y="2841556"/>
          <a:ext cx="431800" cy="276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$154</a:t>
          </a:r>
        </a:p>
      </cdr:txBody>
    </cdr:sp>
  </cdr:relSizeAnchor>
  <cdr:relSizeAnchor xmlns:cdr="http://schemas.openxmlformats.org/drawingml/2006/chartDrawing">
    <cdr:from>
      <cdr:x>0.16652</cdr:x>
      <cdr:y>0.16138</cdr:y>
    </cdr:from>
    <cdr:to>
      <cdr:x>0.26035</cdr:x>
      <cdr:y>0.25101</cdr:y>
    </cdr:to>
    <cdr:sp macro="" textlink="">
      <cdr:nvSpPr>
        <cdr:cNvPr id="18" name="Up Arrow 17"/>
        <cdr:cNvSpPr/>
      </cdr:nvSpPr>
      <cdr:spPr>
        <a:xfrm xmlns:a="http://schemas.openxmlformats.org/drawingml/2006/main">
          <a:off x="968153" y="636981"/>
          <a:ext cx="545533" cy="353784"/>
        </a:xfrm>
        <a:prstGeom xmlns:a="http://schemas.openxmlformats.org/drawingml/2006/main" prst="upArrow">
          <a:avLst/>
        </a:prstGeom>
        <a:solidFill xmlns:a="http://schemas.openxmlformats.org/drawingml/2006/main">
          <a:schemeClr val="accent2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0.17743</cdr:x>
      <cdr:y>0.19179</cdr:y>
    </cdr:from>
    <cdr:to>
      <cdr:x>0.24943</cdr:x>
      <cdr:y>0.26061</cdr:y>
    </cdr:to>
    <cdr:sp macro="" textlink="">
      <cdr:nvSpPr>
        <cdr:cNvPr id="20" name="TextBox 19"/>
        <cdr:cNvSpPr txBox="1"/>
      </cdr:nvSpPr>
      <cdr:spPr>
        <a:xfrm xmlns:a="http://schemas.openxmlformats.org/drawingml/2006/main">
          <a:off x="1031613" y="757014"/>
          <a:ext cx="418612" cy="271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5%</a:t>
          </a:r>
        </a:p>
      </cdr:txBody>
    </cdr:sp>
  </cdr:relSizeAnchor>
  <cdr:relSizeAnchor xmlns:cdr="http://schemas.openxmlformats.org/drawingml/2006/chartDrawing">
    <cdr:from>
      <cdr:x>0.38454</cdr:x>
      <cdr:y>0.35376</cdr:y>
    </cdr:from>
    <cdr:to>
      <cdr:x>0.47836</cdr:x>
      <cdr:y>0.44339</cdr:y>
    </cdr:to>
    <cdr:sp macro="" textlink="">
      <cdr:nvSpPr>
        <cdr:cNvPr id="22" name="Up Arrow 21"/>
        <cdr:cNvSpPr/>
      </cdr:nvSpPr>
      <cdr:spPr>
        <a:xfrm xmlns:a="http://schemas.openxmlformats.org/drawingml/2006/main">
          <a:off x="2235753" y="1396335"/>
          <a:ext cx="545475" cy="353784"/>
        </a:xfrm>
        <a:prstGeom xmlns:a="http://schemas.openxmlformats.org/drawingml/2006/main" prst="upArrow">
          <a:avLst/>
        </a:prstGeom>
        <a:solidFill xmlns:a="http://schemas.openxmlformats.org/drawingml/2006/main">
          <a:srgbClr val="C0504D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0.39545</cdr:x>
      <cdr:y>0.38417</cdr:y>
    </cdr:from>
    <cdr:to>
      <cdr:x>0.46746</cdr:x>
      <cdr:y>0.45299</cdr:y>
    </cdr:to>
    <cdr:sp macro="" textlink="">
      <cdr:nvSpPr>
        <cdr:cNvPr id="23" name="TextBox 2"/>
        <cdr:cNvSpPr txBox="1"/>
      </cdr:nvSpPr>
      <cdr:spPr>
        <a:xfrm xmlns:a="http://schemas.openxmlformats.org/drawingml/2006/main">
          <a:off x="2299155" y="1516369"/>
          <a:ext cx="418671" cy="271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5%</a:t>
          </a:r>
        </a:p>
      </cdr:txBody>
    </cdr:sp>
  </cdr:relSizeAnchor>
  <cdr:relSizeAnchor xmlns:cdr="http://schemas.openxmlformats.org/drawingml/2006/chartDrawing">
    <cdr:from>
      <cdr:x>0.60274</cdr:x>
      <cdr:y>0.54052</cdr:y>
    </cdr:from>
    <cdr:to>
      <cdr:x>0.69656</cdr:x>
      <cdr:y>0.63015</cdr:y>
    </cdr:to>
    <cdr:sp macro="" textlink="">
      <cdr:nvSpPr>
        <cdr:cNvPr id="24" name="Up Arrow 23"/>
        <cdr:cNvSpPr/>
      </cdr:nvSpPr>
      <cdr:spPr>
        <a:xfrm xmlns:a="http://schemas.openxmlformats.org/drawingml/2006/main">
          <a:off x="3504347" y="2133515"/>
          <a:ext cx="545475" cy="353784"/>
        </a:xfrm>
        <a:prstGeom xmlns:a="http://schemas.openxmlformats.org/drawingml/2006/main" prst="upArrow">
          <a:avLst/>
        </a:prstGeom>
        <a:solidFill xmlns:a="http://schemas.openxmlformats.org/drawingml/2006/main">
          <a:srgbClr val="C0504D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0.61364</cdr:x>
      <cdr:y>0.57093</cdr:y>
    </cdr:from>
    <cdr:to>
      <cdr:x>0.68565</cdr:x>
      <cdr:y>0.63975</cdr:y>
    </cdr:to>
    <cdr:sp macro="" textlink="">
      <cdr:nvSpPr>
        <cdr:cNvPr id="25" name="TextBox 2"/>
        <cdr:cNvSpPr txBox="1"/>
      </cdr:nvSpPr>
      <cdr:spPr>
        <a:xfrm xmlns:a="http://schemas.openxmlformats.org/drawingml/2006/main">
          <a:off x="3567749" y="2253548"/>
          <a:ext cx="418670" cy="271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5%</a:t>
          </a:r>
        </a:p>
      </cdr:txBody>
    </cdr:sp>
  </cdr:relSizeAnchor>
  <cdr:relSizeAnchor xmlns:cdr="http://schemas.openxmlformats.org/drawingml/2006/chartDrawing">
    <cdr:from>
      <cdr:x>0.82086</cdr:x>
      <cdr:y>0.56912</cdr:y>
    </cdr:from>
    <cdr:to>
      <cdr:x>0.91469</cdr:x>
      <cdr:y>0.65875</cdr:y>
    </cdr:to>
    <cdr:sp macro="" textlink="">
      <cdr:nvSpPr>
        <cdr:cNvPr id="26" name="Up Arrow 25"/>
        <cdr:cNvSpPr/>
      </cdr:nvSpPr>
      <cdr:spPr>
        <a:xfrm xmlns:a="http://schemas.openxmlformats.org/drawingml/2006/main">
          <a:off x="4772533" y="2246404"/>
          <a:ext cx="545533" cy="353784"/>
        </a:xfrm>
        <a:prstGeom xmlns:a="http://schemas.openxmlformats.org/drawingml/2006/main" prst="upArrow">
          <a:avLst/>
        </a:prstGeom>
        <a:solidFill xmlns:a="http://schemas.openxmlformats.org/drawingml/2006/main">
          <a:srgbClr val="C0504D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0.83177</cdr:x>
      <cdr:y>0.59953</cdr:y>
    </cdr:from>
    <cdr:to>
      <cdr:x>0.90378</cdr:x>
      <cdr:y>0.66836</cdr:y>
    </cdr:to>
    <cdr:sp macro="" textlink="">
      <cdr:nvSpPr>
        <cdr:cNvPr id="27" name="TextBox 2"/>
        <cdr:cNvSpPr txBox="1"/>
      </cdr:nvSpPr>
      <cdr:spPr>
        <a:xfrm xmlns:a="http://schemas.openxmlformats.org/drawingml/2006/main">
          <a:off x="4835964" y="2366437"/>
          <a:ext cx="418671" cy="2716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5%</a:t>
          </a:r>
        </a:p>
      </cdr:txBody>
    </cdr:sp>
  </cdr:relSizeAnchor>
  <cdr:relSizeAnchor xmlns:cdr="http://schemas.openxmlformats.org/drawingml/2006/chartDrawing">
    <cdr:from>
      <cdr:x>0.16652</cdr:x>
      <cdr:y>0.75584</cdr:y>
    </cdr:from>
    <cdr:to>
      <cdr:x>0.26035</cdr:x>
      <cdr:y>0.83907</cdr:y>
    </cdr:to>
    <cdr:sp macro="" textlink="">
      <cdr:nvSpPr>
        <cdr:cNvPr id="28" name="Down Arrow 27"/>
        <cdr:cNvSpPr/>
      </cdr:nvSpPr>
      <cdr:spPr>
        <a:xfrm xmlns:a="http://schemas.openxmlformats.org/drawingml/2006/main">
          <a:off x="968152" y="2983415"/>
          <a:ext cx="545534" cy="328523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/>
        </a:p>
      </cdr:txBody>
    </cdr:sp>
  </cdr:relSizeAnchor>
  <cdr:relSizeAnchor xmlns:cdr="http://schemas.openxmlformats.org/drawingml/2006/chartDrawing">
    <cdr:from>
      <cdr:x>0.17961</cdr:x>
      <cdr:y>0.74784</cdr:y>
    </cdr:from>
    <cdr:to>
      <cdr:x>0.24725</cdr:x>
      <cdr:y>0.80066</cdr:y>
    </cdr:to>
    <cdr:sp macro="" textlink="">
      <cdr:nvSpPr>
        <cdr:cNvPr id="29" name="TextBox 28"/>
        <cdr:cNvSpPr txBox="1"/>
      </cdr:nvSpPr>
      <cdr:spPr>
        <a:xfrm xmlns:a="http://schemas.openxmlformats.org/drawingml/2006/main">
          <a:off x="1044287" y="2951838"/>
          <a:ext cx="393264" cy="2084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5%</a:t>
          </a:r>
        </a:p>
      </cdr:txBody>
    </cdr:sp>
  </cdr:relSizeAnchor>
  <cdr:relSizeAnchor xmlns:cdr="http://schemas.openxmlformats.org/drawingml/2006/chartDrawing">
    <cdr:from>
      <cdr:x>0.38454</cdr:x>
      <cdr:y>0.75605</cdr:y>
    </cdr:from>
    <cdr:to>
      <cdr:x>0.47836</cdr:x>
      <cdr:y>0.83928</cdr:y>
    </cdr:to>
    <cdr:sp macro="" textlink="">
      <cdr:nvSpPr>
        <cdr:cNvPr id="30" name="Down Arrow 29"/>
        <cdr:cNvSpPr/>
      </cdr:nvSpPr>
      <cdr:spPr>
        <a:xfrm xmlns:a="http://schemas.openxmlformats.org/drawingml/2006/main">
          <a:off x="2235753" y="2984244"/>
          <a:ext cx="545475" cy="328523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/>
        </a:p>
      </cdr:txBody>
    </cdr:sp>
  </cdr:relSizeAnchor>
  <cdr:relSizeAnchor xmlns:cdr="http://schemas.openxmlformats.org/drawingml/2006/chartDrawing">
    <cdr:from>
      <cdr:x>0.39763</cdr:x>
      <cdr:y>0.74805</cdr:y>
    </cdr:from>
    <cdr:to>
      <cdr:x>0.46527</cdr:x>
      <cdr:y>0.80087</cdr:y>
    </cdr:to>
    <cdr:sp macro="" textlink="">
      <cdr:nvSpPr>
        <cdr:cNvPr id="31" name="TextBox 2"/>
        <cdr:cNvSpPr txBox="1"/>
      </cdr:nvSpPr>
      <cdr:spPr>
        <a:xfrm xmlns:a="http://schemas.openxmlformats.org/drawingml/2006/main">
          <a:off x="2311859" y="2952667"/>
          <a:ext cx="393263" cy="2084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5%</a:t>
          </a:r>
        </a:p>
      </cdr:txBody>
    </cdr:sp>
  </cdr:relSizeAnchor>
  <cdr:relSizeAnchor xmlns:cdr="http://schemas.openxmlformats.org/drawingml/2006/chartDrawing">
    <cdr:from>
      <cdr:x>0.60274</cdr:x>
      <cdr:y>0.74386</cdr:y>
    </cdr:from>
    <cdr:to>
      <cdr:x>0.69656</cdr:x>
      <cdr:y>0.82709</cdr:y>
    </cdr:to>
    <cdr:sp macro="" textlink="">
      <cdr:nvSpPr>
        <cdr:cNvPr id="32" name="Down Arrow 31"/>
        <cdr:cNvSpPr/>
      </cdr:nvSpPr>
      <cdr:spPr>
        <a:xfrm xmlns:a="http://schemas.openxmlformats.org/drawingml/2006/main">
          <a:off x="3504347" y="2936132"/>
          <a:ext cx="545475" cy="328523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/>
        </a:p>
      </cdr:txBody>
    </cdr:sp>
  </cdr:relSizeAnchor>
  <cdr:relSizeAnchor xmlns:cdr="http://schemas.openxmlformats.org/drawingml/2006/chartDrawing">
    <cdr:from>
      <cdr:x>0.61583</cdr:x>
      <cdr:y>0.73586</cdr:y>
    </cdr:from>
    <cdr:to>
      <cdr:x>0.68347</cdr:x>
      <cdr:y>0.78867</cdr:y>
    </cdr:to>
    <cdr:sp macro="" textlink="">
      <cdr:nvSpPr>
        <cdr:cNvPr id="33" name="TextBox 2"/>
        <cdr:cNvSpPr txBox="1"/>
      </cdr:nvSpPr>
      <cdr:spPr>
        <a:xfrm xmlns:a="http://schemas.openxmlformats.org/drawingml/2006/main">
          <a:off x="3580453" y="2904555"/>
          <a:ext cx="393263" cy="208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5%</a:t>
          </a:r>
        </a:p>
      </cdr:txBody>
    </cdr:sp>
  </cdr:relSizeAnchor>
  <cdr:relSizeAnchor xmlns:cdr="http://schemas.openxmlformats.org/drawingml/2006/chartDrawing">
    <cdr:from>
      <cdr:x>0.82086</cdr:x>
      <cdr:y>0.74198</cdr:y>
    </cdr:from>
    <cdr:to>
      <cdr:x>0.91469</cdr:x>
      <cdr:y>0.82521</cdr:y>
    </cdr:to>
    <cdr:sp macro="" textlink="">
      <cdr:nvSpPr>
        <cdr:cNvPr id="34" name="Down Arrow 33"/>
        <cdr:cNvSpPr/>
      </cdr:nvSpPr>
      <cdr:spPr>
        <a:xfrm xmlns:a="http://schemas.openxmlformats.org/drawingml/2006/main">
          <a:off x="4772533" y="2928710"/>
          <a:ext cx="545533" cy="328522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/>
        </a:p>
      </cdr:txBody>
    </cdr:sp>
  </cdr:relSizeAnchor>
  <cdr:relSizeAnchor xmlns:cdr="http://schemas.openxmlformats.org/drawingml/2006/chartDrawing">
    <cdr:from>
      <cdr:x>0.83396</cdr:x>
      <cdr:y>0.73398</cdr:y>
    </cdr:from>
    <cdr:to>
      <cdr:x>0.9016</cdr:x>
      <cdr:y>0.78679</cdr:y>
    </cdr:to>
    <cdr:sp macro="" textlink="">
      <cdr:nvSpPr>
        <cdr:cNvPr id="35" name="TextBox 2"/>
        <cdr:cNvSpPr txBox="1"/>
      </cdr:nvSpPr>
      <cdr:spPr>
        <a:xfrm xmlns:a="http://schemas.openxmlformats.org/drawingml/2006/main">
          <a:off x="4848668" y="2897133"/>
          <a:ext cx="393263" cy="208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5%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28</xdr:row>
      <xdr:rowOff>40004</xdr:rowOff>
    </xdr:from>
    <xdr:to>
      <xdr:col>13</xdr:col>
      <xdr:colOff>127000</xdr:colOff>
      <xdr:row>54</xdr:row>
      <xdr:rowOff>74929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28</xdr:row>
      <xdr:rowOff>0</xdr:rowOff>
    </xdr:from>
    <xdr:to>
      <xdr:col>25</xdr:col>
      <xdr:colOff>535305</xdr:colOff>
      <xdr:row>54</xdr:row>
      <xdr:rowOff>34925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114300</xdr:colOff>
      <xdr:row>55</xdr:row>
      <xdr:rowOff>7620</xdr:rowOff>
    </xdr:from>
    <xdr:to>
      <xdr:col>13</xdr:col>
      <xdr:colOff>123825</xdr:colOff>
      <xdr:row>81</xdr:row>
      <xdr:rowOff>42545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2</xdr:row>
      <xdr:rowOff>167640</xdr:rowOff>
    </xdr:from>
    <xdr:to>
      <xdr:col>15</xdr:col>
      <xdr:colOff>182880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W364"/>
  <sheetViews>
    <sheetView topLeftCell="A56" zoomScale="90" zoomScaleNormal="90" zoomScalePageLayoutView="90" workbookViewId="0">
      <selection activeCell="A56" sqref="A56"/>
    </sheetView>
  </sheetViews>
  <sheetFormatPr defaultColWidth="8.77734375" defaultRowHeight="14.4"/>
  <cols>
    <col min="1" max="1" width="18.44140625" customWidth="1"/>
    <col min="2" max="2" width="37" customWidth="1"/>
    <col min="3" max="3" width="17.33203125" customWidth="1"/>
    <col min="4" max="4" width="16.6640625" style="9" customWidth="1"/>
    <col min="5" max="5" width="12.33203125" customWidth="1"/>
    <col min="6" max="6" width="11.77734375" customWidth="1"/>
    <col min="7" max="466" width="11.6640625" customWidth="1"/>
  </cols>
  <sheetData>
    <row r="1" spans="1:5" s="9" customFormat="1">
      <c r="A1" s="9" t="s">
        <v>153</v>
      </c>
    </row>
    <row r="2" spans="1:5" s="9" customFormat="1">
      <c r="B2" s="9" t="s">
        <v>156</v>
      </c>
      <c r="C2" s="9" t="s">
        <v>157</v>
      </c>
      <c r="E2" s="9" t="s">
        <v>195</v>
      </c>
    </row>
    <row r="3" spans="1:5" s="9" customFormat="1">
      <c r="A3" s="39" t="s">
        <v>155</v>
      </c>
      <c r="B3" s="59">
        <v>0.08</v>
      </c>
      <c r="C3" s="60">
        <f>((1+B3)^(1/12)-1)</f>
        <v>6.4340301100034303E-3</v>
      </c>
      <c r="D3" s="65"/>
      <c r="E3" s="39">
        <f>365*24</f>
        <v>8760</v>
      </c>
    </row>
    <row r="4" spans="1:5" s="9" customFormat="1" ht="28.8">
      <c r="A4" s="61" t="s">
        <v>154</v>
      </c>
      <c r="B4" s="59">
        <v>0</v>
      </c>
      <c r="C4" s="60">
        <f>((1+B4)^(1/12)-1)</f>
        <v>0</v>
      </c>
      <c r="D4" s="65"/>
    </row>
    <row r="5" spans="1:5" s="9" customFormat="1">
      <c r="A5" s="63"/>
      <c r="B5" s="64"/>
      <c r="C5" s="65"/>
      <c r="D5" s="65"/>
    </row>
    <row r="6" spans="1:5" s="9" customFormat="1" ht="28.8">
      <c r="A6" s="61" t="s">
        <v>210</v>
      </c>
      <c r="B6" s="39"/>
    </row>
    <row r="7" spans="1:5" s="9" customFormat="1">
      <c r="A7" s="39" t="s">
        <v>128</v>
      </c>
      <c r="B7" s="86">
        <f>(Inputs!H4+Inputs!F38)/2</f>
        <v>0.78915467093697234</v>
      </c>
    </row>
    <row r="8" spans="1:5" s="9" customFormat="1">
      <c r="A8" s="39" t="s">
        <v>131</v>
      </c>
      <c r="B8" s="86">
        <f>(Inputs!H5+Inputs!F39)/2</f>
        <v>0.85806146359048308</v>
      </c>
    </row>
    <row r="9" spans="1:5" s="9" customFormat="1">
      <c r="A9" s="39" t="s">
        <v>132</v>
      </c>
      <c r="B9" s="86">
        <f>(Inputs!H6+Inputs!F35)/2</f>
        <v>0.23140416219514762</v>
      </c>
    </row>
    <row r="10" spans="1:5" s="9" customFormat="1">
      <c r="A10" s="39" t="s">
        <v>133</v>
      </c>
      <c r="B10" s="86">
        <f>(Inputs!H7+Inputs!F37)/2</f>
        <v>0.3796851052213619</v>
      </c>
    </row>
    <row r="11" spans="1:5" s="9" customFormat="1">
      <c r="A11" s="39" t="s">
        <v>134</v>
      </c>
      <c r="B11" s="86">
        <f>(Inputs!H8+Inputs!F36)/2</f>
        <v>0.36323534263750046</v>
      </c>
    </row>
    <row r="12" spans="1:5" s="9" customFormat="1">
      <c r="A12" s="66" t="s">
        <v>189</v>
      </c>
      <c r="B12" s="86">
        <f>Inputs!H10</f>
        <v>0.19149785075781239</v>
      </c>
    </row>
    <row r="13" spans="1:5" s="9" customFormat="1"/>
    <row r="14" spans="1:5" s="9" customFormat="1" ht="28.8">
      <c r="A14" s="61" t="s">
        <v>165</v>
      </c>
      <c r="B14" s="39" t="s">
        <v>208</v>
      </c>
    </row>
    <row r="15" spans="1:5" s="9" customFormat="1">
      <c r="A15" s="39" t="s">
        <v>166</v>
      </c>
      <c r="B15" s="67">
        <f>Inputs!B8</f>
        <v>10700</v>
      </c>
    </row>
    <row r="16" spans="1:5" s="9" customFormat="1">
      <c r="A16" s="39" t="s">
        <v>108</v>
      </c>
      <c r="B16" s="67">
        <f>Inputs!B9</f>
        <v>13600</v>
      </c>
    </row>
    <row r="17" spans="1:13" s="9" customFormat="1" ht="28.8">
      <c r="A17" s="61" t="s">
        <v>167</v>
      </c>
      <c r="B17" s="67">
        <f>Inputs!B4</f>
        <v>7000</v>
      </c>
    </row>
    <row r="18" spans="1:13" s="9" customFormat="1">
      <c r="A18" s="63"/>
      <c r="B18" s="41"/>
    </row>
    <row r="19" spans="1:13" s="9" customFormat="1">
      <c r="A19" s="61" t="s">
        <v>190</v>
      </c>
      <c r="B19" s="39"/>
    </row>
    <row r="20" spans="1:13" s="9" customFormat="1">
      <c r="A20" s="61" t="s">
        <v>191</v>
      </c>
      <c r="B20" s="89">
        <f>Inputs!G59</f>
        <v>4.8908656302580789E-2</v>
      </c>
    </row>
    <row r="21" spans="1:13" s="9" customFormat="1">
      <c r="A21" s="61" t="s">
        <v>192</v>
      </c>
      <c r="B21" s="59">
        <f>0.5*B20</f>
        <v>2.4454328151290394E-2</v>
      </c>
    </row>
    <row r="22" spans="1:13" s="9" customFormat="1">
      <c r="A22" s="63"/>
      <c r="B22" s="64"/>
    </row>
    <row r="23" spans="1:13" s="9" customFormat="1" ht="43.2">
      <c r="A23" s="63" t="s">
        <v>199</v>
      </c>
      <c r="B23" s="90">
        <f>Inputs!F12+(Inputs!F10*(1-B21))</f>
        <v>9478647.0454564132</v>
      </c>
    </row>
    <row r="24" spans="1:13" s="9" customFormat="1">
      <c r="B24" s="227" t="s">
        <v>453</v>
      </c>
    </row>
    <row r="25" spans="1:13" s="9" customFormat="1" ht="43.2">
      <c r="A25" s="68"/>
      <c r="B25" s="114" t="s">
        <v>168</v>
      </c>
      <c r="C25" s="92" t="s">
        <v>196</v>
      </c>
      <c r="D25" s="92" t="s">
        <v>197</v>
      </c>
      <c r="E25" s="85" t="s">
        <v>198</v>
      </c>
      <c r="F25" s="115" t="s">
        <v>193</v>
      </c>
      <c r="G25" s="96" t="s">
        <v>196</v>
      </c>
      <c r="H25" s="96" t="s">
        <v>197</v>
      </c>
      <c r="I25" s="85" t="s">
        <v>198</v>
      </c>
      <c r="J25" s="115" t="s">
        <v>194</v>
      </c>
      <c r="K25" s="96" t="s">
        <v>196</v>
      </c>
      <c r="L25" s="96" t="s">
        <v>197</v>
      </c>
      <c r="M25" s="85" t="s">
        <v>198</v>
      </c>
    </row>
    <row r="26" spans="1:13" s="9" customFormat="1">
      <c r="A26" s="94" t="s">
        <v>128</v>
      </c>
      <c r="B26" s="175">
        <f>Inputs!G4</f>
        <v>78.7</v>
      </c>
      <c r="C26" s="97">
        <f t="shared" ref="C26:C31" si="0">B26*$E$3*$B7</f>
        <v>544052.69999999995</v>
      </c>
      <c r="D26" s="98">
        <f>C26*(1-$B$20)</f>
        <v>517443.81348520884</v>
      </c>
      <c r="E26" s="60">
        <f>D26/$B$23</f>
        <v>5.4590471720670872E-2</v>
      </c>
      <c r="F26" s="233">
        <f>IF($C$252=1,$B26,$B26+Inputs!$F63)</f>
        <v>147.4</v>
      </c>
      <c r="G26" s="97">
        <f t="shared" ref="G26:G31" si="1">F26*$E$3*$B7</f>
        <v>1018975.4508259211</v>
      </c>
      <c r="H26" s="98">
        <f>G26*(1-$B$20)</f>
        <v>969138.73072070885</v>
      </c>
      <c r="I26" s="60">
        <f>H26/$B$23</f>
        <v>0.10224441590377238</v>
      </c>
      <c r="J26" s="233">
        <f>IF($D$252=1,$B26,$B26+Inputs!$F63)</f>
        <v>147.4</v>
      </c>
      <c r="K26" s="97">
        <f t="shared" ref="K26:K31" si="2">J26*$E$3*$B7</f>
        <v>1018975.4508259211</v>
      </c>
      <c r="L26" s="98">
        <f>K26*(1-$B$20)</f>
        <v>969138.73072070885</v>
      </c>
      <c r="M26" s="60">
        <f>L26/$B$23</f>
        <v>0.10224441590377238</v>
      </c>
    </row>
    <row r="27" spans="1:13" s="9" customFormat="1">
      <c r="A27" s="94" t="s">
        <v>131</v>
      </c>
      <c r="B27" s="175">
        <f>Inputs!G5</f>
        <v>38</v>
      </c>
      <c r="C27" s="97">
        <f t="shared" si="0"/>
        <v>285631.5</v>
      </c>
      <c r="D27" s="98">
        <f t="shared" ref="D27:D30" si="3">C27*(1-$B$20)</f>
        <v>271661.64713730942</v>
      </c>
      <c r="E27" s="60">
        <f>D27/$B$23</f>
        <v>2.8660382207978761E-2</v>
      </c>
      <c r="F27" s="233">
        <f>IF($C$252=1,$B27,$B27+Inputs!$F64)</f>
        <v>63</v>
      </c>
      <c r="G27" s="97">
        <f t="shared" si="1"/>
        <v>473546.96052631579</v>
      </c>
      <c r="H27" s="98">
        <f t="shared" ref="H27:H30" si="4">G27*(1-$B$20)</f>
        <v>450386.41499080241</v>
      </c>
      <c r="I27" s="60">
        <f>H27/$B$23</f>
        <v>4.7515896818491096E-2</v>
      </c>
      <c r="J27" s="233">
        <f>IF($D$252=1,$B27,$B27+Inputs!$F64)</f>
        <v>63</v>
      </c>
      <c r="K27" s="97">
        <f t="shared" si="2"/>
        <v>473546.96052631579</v>
      </c>
      <c r="L27" s="98">
        <f t="shared" ref="L27:L30" si="5">K27*(1-$B$20)</f>
        <v>450386.41499080241</v>
      </c>
      <c r="M27" s="60">
        <f>L27/$B$23</f>
        <v>4.7515896818491096E-2</v>
      </c>
    </row>
    <row r="28" spans="1:13" s="9" customFormat="1">
      <c r="A28" s="94" t="s">
        <v>132</v>
      </c>
      <c r="B28" s="175">
        <f>Inputs!G6</f>
        <v>21.7</v>
      </c>
      <c r="C28" s="97">
        <f t="shared" si="0"/>
        <v>43988.08</v>
      </c>
      <c r="D28" s="98">
        <f t="shared" si="3"/>
        <v>41836.682113869574</v>
      </c>
      <c r="E28" s="60">
        <f t="shared" ref="E28:E31" si="6">D28/$B$23</f>
        <v>4.4137820422297481E-3</v>
      </c>
      <c r="F28" s="233">
        <f>IF($C$252=1,$B28,$B28+Inputs!$F65)</f>
        <v>331.7</v>
      </c>
      <c r="G28" s="97">
        <f t="shared" si="1"/>
        <v>672389.22285714292</v>
      </c>
      <c r="H28" s="98">
        <f t="shared" si="4"/>
        <v>639503.56945486355</v>
      </c>
      <c r="I28" s="60">
        <f t="shared" ref="I28:I31" si="7">H28/$B$23</f>
        <v>6.746781121694044E-2</v>
      </c>
      <c r="J28" s="233">
        <f>IF($D$252=1,$B28,$B28+Inputs!$F65)</f>
        <v>331.7</v>
      </c>
      <c r="K28" s="97">
        <f t="shared" si="2"/>
        <v>672389.22285714292</v>
      </c>
      <c r="L28" s="98">
        <f t="shared" si="5"/>
        <v>639503.56945486355</v>
      </c>
      <c r="M28" s="60">
        <f t="shared" ref="M28:M31" si="8">L28/$B$23</f>
        <v>6.746781121694044E-2</v>
      </c>
    </row>
    <row r="29" spans="1:13" s="9" customFormat="1">
      <c r="A29" s="94" t="s">
        <v>133</v>
      </c>
      <c r="B29" s="175">
        <f>Inputs!G7</f>
        <v>18.399999999999999</v>
      </c>
      <c r="C29" s="97">
        <f t="shared" si="0"/>
        <v>61199.163999999997</v>
      </c>
      <c r="D29" s="98">
        <f t="shared" si="3"/>
        <v>58205.995121918721</v>
      </c>
      <c r="E29" s="60">
        <f t="shared" si="6"/>
        <v>6.1407492907777118E-3</v>
      </c>
      <c r="F29" s="233">
        <f>IF($C$252=1,$B29,$B29+Inputs!$F66)</f>
        <v>18.399999999999999</v>
      </c>
      <c r="G29" s="97">
        <f t="shared" si="1"/>
        <v>61199.163999999997</v>
      </c>
      <c r="H29" s="98">
        <f t="shared" si="4"/>
        <v>58205.995121918721</v>
      </c>
      <c r="I29" s="60">
        <f t="shared" si="7"/>
        <v>6.1407492907777118E-3</v>
      </c>
      <c r="J29" s="233">
        <f>IF($D$252=1,$B29,$B29+Inputs!$F66)</f>
        <v>18.399999999999999</v>
      </c>
      <c r="K29" s="97">
        <f t="shared" si="2"/>
        <v>61199.163999999997</v>
      </c>
      <c r="L29" s="98">
        <f t="shared" si="5"/>
        <v>58205.995121918721</v>
      </c>
      <c r="M29" s="60">
        <f t="shared" si="8"/>
        <v>6.1407492907777118E-3</v>
      </c>
    </row>
    <row r="30" spans="1:13" s="9" customFormat="1">
      <c r="A30" s="94" t="s">
        <v>134</v>
      </c>
      <c r="B30" s="175">
        <f>Inputs!G8</f>
        <v>202.06</v>
      </c>
      <c r="C30" s="97">
        <f t="shared" si="0"/>
        <v>642943.12000000011</v>
      </c>
      <c r="D30" s="98">
        <f t="shared" si="3"/>
        <v>611497.6359218111</v>
      </c>
      <c r="E30" s="60">
        <f t="shared" si="6"/>
        <v>6.4513177143243491E-2</v>
      </c>
      <c r="F30" s="233">
        <f>IF($C$252=1,$B30,$B30+Inputs!$F67)</f>
        <v>471.06</v>
      </c>
      <c r="G30" s="97">
        <f t="shared" si="1"/>
        <v>1498885.4108047117</v>
      </c>
      <c r="H30" s="98">
        <f t="shared" si="4"/>
        <v>1425576.9394107114</v>
      </c>
      <c r="I30" s="60">
        <f t="shared" si="7"/>
        <v>0.15039877870482174</v>
      </c>
      <c r="J30" s="233">
        <f>IF($D$252=1,$B30,$B30+Inputs!$F67)</f>
        <v>471.06</v>
      </c>
      <c r="K30" s="97">
        <f t="shared" si="2"/>
        <v>1498885.4108047117</v>
      </c>
      <c r="L30" s="98">
        <f t="shared" si="5"/>
        <v>1425576.9394107114</v>
      </c>
      <c r="M30" s="60">
        <f t="shared" si="8"/>
        <v>0.15039877870482174</v>
      </c>
    </row>
    <row r="31" spans="1:13" s="9" customFormat="1">
      <c r="A31" s="94" t="s">
        <v>189</v>
      </c>
      <c r="B31" s="176">
        <f>Inputs!G10</f>
        <v>307</v>
      </c>
      <c r="C31" s="101">
        <f t="shared" si="0"/>
        <v>514999</v>
      </c>
      <c r="D31" s="102">
        <f>C31*(1-$B$21)</f>
        <v>502405.04545641365</v>
      </c>
      <c r="E31" s="103">
        <f t="shared" si="6"/>
        <v>5.3003877351593273E-2</v>
      </c>
      <c r="F31" s="233">
        <f>IF($C$252=1,$B31,$B31+Inputs!$F68)</f>
        <v>578</v>
      </c>
      <c r="G31" s="101">
        <f t="shared" si="1"/>
        <v>969607.2377850163</v>
      </c>
      <c r="H31" s="102">
        <f>G31*(1-$B$21)</f>
        <v>945896.14421435527</v>
      </c>
      <c r="I31" s="103">
        <f t="shared" si="7"/>
        <v>9.9792316316680479E-2</v>
      </c>
      <c r="J31" s="233">
        <f>IF($D$252=1,$B31,$B31+Inputs!$F68)</f>
        <v>578</v>
      </c>
      <c r="K31" s="101">
        <f t="shared" si="2"/>
        <v>969607.2377850163</v>
      </c>
      <c r="L31" s="102">
        <f>K31*(1-$B$21)</f>
        <v>945896.14421435527</v>
      </c>
      <c r="M31" s="103">
        <f t="shared" si="8"/>
        <v>9.9792316316680479E-2</v>
      </c>
    </row>
    <row r="32" spans="1:13" s="9" customFormat="1" ht="28.8">
      <c r="A32" s="73" t="s">
        <v>169</v>
      </c>
      <c r="B32" s="104">
        <v>1</v>
      </c>
      <c r="C32" s="107">
        <f>D32/(1-$B$20)</f>
        <v>7860019.2040000018</v>
      </c>
      <c r="D32" s="105">
        <f>E32*$B$23</f>
        <v>7475596.2262198813</v>
      </c>
      <c r="E32" s="106">
        <f>B32*(1-SUM(E$26:E$31))</f>
        <v>0.7886775602435061</v>
      </c>
      <c r="F32" s="229">
        <f>IF(C250=1,1,0.1)</f>
        <v>1</v>
      </c>
      <c r="G32" s="107">
        <f>H32/(1-$B$20)</f>
        <v>5246540.4975135131</v>
      </c>
      <c r="H32" s="105">
        <f>I32*$B$23</f>
        <v>4989939.2515430534</v>
      </c>
      <c r="I32" s="106">
        <f>F32*(1-SUM(I$26:I$31))</f>
        <v>0.52644003174851617</v>
      </c>
      <c r="J32" s="231">
        <f>IF(D250=1,1,0.1)</f>
        <v>0.1</v>
      </c>
      <c r="K32" s="107">
        <f>L32/(1-$B$20)</f>
        <v>524654.04975135135</v>
      </c>
      <c r="L32" s="105">
        <f>M32*$B$23</f>
        <v>498993.92515430535</v>
      </c>
      <c r="M32" s="106">
        <f>J32*(1-SUM(M$26:M$31))</f>
        <v>5.2644003174851621E-2</v>
      </c>
    </row>
    <row r="33" spans="1:13" s="9" customFormat="1">
      <c r="A33" s="70" t="s">
        <v>170</v>
      </c>
      <c r="B33" s="93">
        <v>0</v>
      </c>
      <c r="C33" s="71">
        <f>D33/(1-$B$20)</f>
        <v>0</v>
      </c>
      <c r="D33" s="71">
        <f>E33*$B$23</f>
        <v>0</v>
      </c>
      <c r="E33" s="99">
        <f>B33*(1-SUM(E$26:E$31))</f>
        <v>0</v>
      </c>
      <c r="F33" s="230">
        <f>IF(C250=1,0,0.9)</f>
        <v>0</v>
      </c>
      <c r="G33" s="168">
        <f>H33/(1-$B$20)</f>
        <v>0</v>
      </c>
      <c r="H33" s="168">
        <f>I33*$B$23</f>
        <v>0</v>
      </c>
      <c r="I33" s="99">
        <f>F33*(1-SUM(I$26:I$31))</f>
        <v>0</v>
      </c>
      <c r="J33" s="232">
        <f>IF(D250=1,0,0.9)</f>
        <v>0.9</v>
      </c>
      <c r="K33" s="168">
        <f>L33/(1-$B$20)</f>
        <v>4721886.4477621615</v>
      </c>
      <c r="L33" s="168">
        <f>M33*$B$23</f>
        <v>4490945.3263887474</v>
      </c>
      <c r="M33" s="99">
        <f>J33*(1-SUM(M$26:M$31))</f>
        <v>0.47379602857366454</v>
      </c>
    </row>
    <row r="34" spans="1:13" s="9" customFormat="1">
      <c r="E34" s="7">
        <f>SUM(E26:E33)</f>
        <v>1</v>
      </c>
      <c r="I34" s="7">
        <f>SUM(I26:I33)</f>
        <v>1</v>
      </c>
      <c r="M34" s="7">
        <f>SUM(M26:M33)</f>
        <v>1</v>
      </c>
    </row>
    <row r="35" spans="1:13" s="9" customFormat="1">
      <c r="E35" s="7"/>
      <c r="I35" s="7"/>
      <c r="M35" s="7"/>
    </row>
    <row r="36" spans="1:13" s="9" customFormat="1" ht="28.8">
      <c r="B36" s="11" t="str">
        <f>B25</f>
        <v>Generation Portfolio A</v>
      </c>
      <c r="D36" s="226" t="str">
        <f>F25</f>
        <v>Generation Portfolio B1</v>
      </c>
      <c r="E36" s="7"/>
      <c r="F36" s="226" t="str">
        <f>J25</f>
        <v>Generation Portfolio B2</v>
      </c>
      <c r="I36" s="7"/>
      <c r="M36" s="7"/>
    </row>
    <row r="37" spans="1:13" s="9" customFormat="1">
      <c r="A37" s="39" t="s">
        <v>209</v>
      </c>
      <c r="B37" s="39" t="s">
        <v>207</v>
      </c>
      <c r="C37" s="39" t="s">
        <v>42</v>
      </c>
      <c r="D37" s="39" t="s">
        <v>207</v>
      </c>
      <c r="E37" s="39" t="s">
        <v>42</v>
      </c>
      <c r="F37" s="39" t="s">
        <v>207</v>
      </c>
      <c r="G37" s="39" t="s">
        <v>42</v>
      </c>
      <c r="I37" s="7"/>
      <c r="M37" s="7"/>
    </row>
    <row r="38" spans="1:13" s="9" customFormat="1" ht="28.8">
      <c r="A38" s="61" t="s">
        <v>152</v>
      </c>
      <c r="B38" s="112">
        <f>C32*1000*B15/1000000</f>
        <v>84102205.482800022</v>
      </c>
      <c r="C38" s="111">
        <f>B38/(Inputs!$B$19*0.75+Inputs!$B$20*0.25)</f>
        <v>13753426.898250207</v>
      </c>
      <c r="D38" s="111">
        <f>G32*1000*B15/1000000</f>
        <v>56137983.323394589</v>
      </c>
      <c r="E38" s="111">
        <f>D38/(Inputs!$B$19*0.75+Inputs!$B$20*0.25)</f>
        <v>9180373.397120947</v>
      </c>
      <c r="F38" s="111">
        <f>K32*1000*B15/1000000</f>
        <v>5613798.33233946</v>
      </c>
      <c r="G38" s="111">
        <f>F38/(Inputs!$B$19*0.75+Inputs!$B$20*0.25)</f>
        <v>918037.33971209486</v>
      </c>
      <c r="I38" s="7"/>
      <c r="M38" s="7"/>
    </row>
    <row r="39" spans="1:13" s="9" customFormat="1">
      <c r="A39" s="66" t="s">
        <v>206</v>
      </c>
      <c r="B39" s="39">
        <f>C33*1000*B17/1000000</f>
        <v>0</v>
      </c>
      <c r="C39" s="39"/>
      <c r="D39" s="39">
        <f>G33*1000*B17/1000000</f>
        <v>0</v>
      </c>
      <c r="E39" s="88"/>
      <c r="F39" s="113">
        <f>K33*1000*B17/1000000</f>
        <v>33053205.13433513</v>
      </c>
      <c r="G39" s="88"/>
      <c r="I39" s="7"/>
      <c r="M39" s="7"/>
    </row>
    <row r="40" spans="1:13" s="9" customFormat="1">
      <c r="A40" s="91"/>
      <c r="B40" s="41"/>
      <c r="C40" s="41"/>
      <c r="D40" s="41"/>
      <c r="E40" s="110"/>
      <c r="F40" s="42"/>
      <c r="G40" s="110"/>
      <c r="I40" s="7"/>
      <c r="M40" s="7"/>
    </row>
    <row r="41" spans="1:13" s="9" customFormat="1" ht="43.2">
      <c r="A41" s="68" t="s">
        <v>213</v>
      </c>
      <c r="B41" s="85" t="s">
        <v>486</v>
      </c>
      <c r="C41" s="120" t="s">
        <v>214</v>
      </c>
      <c r="D41" s="253" t="s">
        <v>215</v>
      </c>
      <c r="E41" s="254" t="s">
        <v>216</v>
      </c>
      <c r="F41" s="255" t="s">
        <v>474</v>
      </c>
      <c r="G41" s="256" t="s">
        <v>475</v>
      </c>
      <c r="H41" s="7"/>
      <c r="L41" s="7"/>
    </row>
    <row r="42" spans="1:13" s="9" customFormat="1">
      <c r="A42" s="66" t="s">
        <v>258</v>
      </c>
      <c r="B42" s="228">
        <f>IF(C251=2,2,IF(C251=1,1,0))</f>
        <v>2</v>
      </c>
      <c r="C42" s="119">
        <v>0.15</v>
      </c>
      <c r="D42" s="257">
        <v>6</v>
      </c>
      <c r="E42" s="258">
        <v>0.2</v>
      </c>
      <c r="F42" s="257">
        <v>0.45</v>
      </c>
      <c r="G42" s="259">
        <v>0.1333</v>
      </c>
      <c r="H42" s="7"/>
      <c r="L42" s="7"/>
    </row>
    <row r="43" spans="1:13" s="9" customFormat="1">
      <c r="A43" s="66" t="s">
        <v>259</v>
      </c>
      <c r="B43" s="228">
        <f>IF(D251=2,2,IF(D251=1,1,0))</f>
        <v>2</v>
      </c>
      <c r="C43" s="100"/>
      <c r="D43" s="151"/>
      <c r="E43" s="152"/>
      <c r="F43" s="100"/>
      <c r="G43" s="110"/>
      <c r="I43" s="7"/>
      <c r="M43" s="7"/>
    </row>
    <row r="44" spans="1:13" s="9" customFormat="1">
      <c r="A44" s="153"/>
      <c r="B44" s="151"/>
      <c r="C44" s="100"/>
      <c r="D44" s="151"/>
      <c r="E44" s="152"/>
      <c r="F44" s="100"/>
      <c r="G44" s="110"/>
      <c r="I44" s="7"/>
      <c r="M44" s="7"/>
    </row>
    <row r="45" spans="1:13" s="9" customFormat="1" ht="43.2">
      <c r="A45" s="124" t="s">
        <v>222</v>
      </c>
      <c r="B45" s="125" t="s">
        <v>223</v>
      </c>
      <c r="C45" s="195">
        <v>77.650000000000006</v>
      </c>
      <c r="D45" s="96" t="s">
        <v>200</v>
      </c>
      <c r="E45" s="194">
        <v>2.524</v>
      </c>
      <c r="F45" s="247" t="s">
        <v>476</v>
      </c>
      <c r="G45" s="195">
        <v>48.37</v>
      </c>
      <c r="H45" s="130" t="s">
        <v>238</v>
      </c>
      <c r="I45" s="131">
        <f>Inputs!B19*0.75+Inputs!B20*0.25</f>
        <v>6.1150000000000002</v>
      </c>
      <c r="M45" s="7"/>
    </row>
    <row r="46" spans="1:13" s="9" customFormat="1" ht="57.6">
      <c r="A46" s="118"/>
      <c r="B46" s="41"/>
      <c r="C46" s="151"/>
      <c r="D46" s="192" t="s">
        <v>345</v>
      </c>
      <c r="E46" s="193">
        <f>Inputs!F72/1000</f>
        <v>3.2460000000000003E-2</v>
      </c>
      <c r="F46" s="192" t="s">
        <v>485</v>
      </c>
      <c r="G46" s="196">
        <f>G47*B17/1000000</f>
        <v>2.163E-2</v>
      </c>
      <c r="H46" s="151"/>
      <c r="I46" s="7"/>
      <c r="M46" s="7"/>
    </row>
    <row r="47" spans="1:13" s="9" customFormat="1">
      <c r="A47" s="118"/>
      <c r="B47" s="41"/>
      <c r="C47" s="151"/>
      <c r="D47" s="192" t="s">
        <v>346</v>
      </c>
      <c r="E47" s="196">
        <f>E46/B17*1000000</f>
        <v>4.637142857142857</v>
      </c>
      <c r="F47" s="192" t="s">
        <v>346</v>
      </c>
      <c r="G47" s="193">
        <f>0.7+0.11+0.45+0.33+1.5</f>
        <v>3.09</v>
      </c>
      <c r="H47" s="151"/>
      <c r="I47" s="7"/>
      <c r="M47" s="7"/>
    </row>
    <row r="48" spans="1:13" s="9" customFormat="1">
      <c r="E48" s="7"/>
      <c r="H48" s="280"/>
      <c r="I48" s="7"/>
      <c r="M48" s="7"/>
    </row>
    <row r="49" spans="1:486" s="9" customFormat="1" ht="28.8">
      <c r="A49" s="61" t="s">
        <v>249</v>
      </c>
      <c r="B49" s="114" t="s">
        <v>168</v>
      </c>
      <c r="C49" s="92" t="s">
        <v>211</v>
      </c>
      <c r="D49" s="117" t="s">
        <v>212</v>
      </c>
      <c r="E49" s="7"/>
      <c r="I49" s="7"/>
      <c r="M49" s="7"/>
    </row>
    <row r="50" spans="1:486" s="9" customFormat="1">
      <c r="A50" s="39" t="s">
        <v>128</v>
      </c>
      <c r="B50" s="87">
        <f>Inputs!F21</f>
        <v>0.14963461538461539</v>
      </c>
      <c r="C50" s="67">
        <v>1</v>
      </c>
      <c r="D50" s="87">
        <f>E50</f>
        <v>0.14963461538461539</v>
      </c>
      <c r="E50" s="32">
        <f>B50</f>
        <v>0.14963461538461539</v>
      </c>
      <c r="M50" s="7"/>
    </row>
    <row r="51" spans="1:486" s="9" customFormat="1">
      <c r="A51" s="39" t="s">
        <v>131</v>
      </c>
      <c r="B51" s="87">
        <f>Inputs!F22</f>
        <v>0.14763552631578947</v>
      </c>
      <c r="C51" s="67">
        <v>1</v>
      </c>
      <c r="D51" s="87">
        <f t="shared" ref="D51:D55" si="9">E51</f>
        <v>0.14763552631578947</v>
      </c>
      <c r="E51" s="32">
        <f>B51</f>
        <v>0.14763552631578947</v>
      </c>
      <c r="I51" s="7"/>
      <c r="M51" s="7"/>
    </row>
    <row r="52" spans="1:486" s="9" customFormat="1">
      <c r="A52" s="39" t="s">
        <v>132</v>
      </c>
      <c r="B52" s="87">
        <f>Inputs!F20</f>
        <v>0.20858791208791205</v>
      </c>
      <c r="C52" s="67">
        <v>1</v>
      </c>
      <c r="D52" s="87">
        <f t="shared" si="9"/>
        <v>0.14786064599762344</v>
      </c>
      <c r="E52" s="32">
        <f>Inputs!F29</f>
        <v>0.14786064599762344</v>
      </c>
      <c r="I52" s="7"/>
      <c r="M52" s="7"/>
    </row>
    <row r="53" spans="1:486" s="9" customFormat="1">
      <c r="A53" s="39" t="s">
        <v>133</v>
      </c>
      <c r="B53" s="87">
        <f>Inputs!F23</f>
        <v>0.18546233694143763</v>
      </c>
      <c r="C53" s="116">
        <v>1</v>
      </c>
      <c r="D53" s="87">
        <f t="shared" si="9"/>
        <v>0.18546233694143763</v>
      </c>
      <c r="E53" s="32">
        <f>B53</f>
        <v>0.18546233694143763</v>
      </c>
      <c r="I53" s="7"/>
      <c r="M53" s="7"/>
    </row>
    <row r="54" spans="1:486" s="9" customFormat="1">
      <c r="A54" s="39" t="s">
        <v>134</v>
      </c>
      <c r="B54" s="87">
        <f>Inputs!F19</f>
        <v>0.18836575274670889</v>
      </c>
      <c r="C54" s="116">
        <v>1</v>
      </c>
      <c r="D54" s="87">
        <f t="shared" si="9"/>
        <v>0.18836575274670889</v>
      </c>
      <c r="E54" s="32">
        <f>B54</f>
        <v>0.18836575274670889</v>
      </c>
      <c r="I54" s="7"/>
      <c r="M54" s="7"/>
    </row>
    <row r="55" spans="1:486" s="9" customFormat="1">
      <c r="A55" s="66" t="s">
        <v>189</v>
      </c>
      <c r="B55" s="87">
        <f>B52</f>
        <v>0.20858791208791205</v>
      </c>
      <c r="C55" s="116">
        <v>1</v>
      </c>
      <c r="D55" s="87">
        <f t="shared" si="9"/>
        <v>0.14786064599762344</v>
      </c>
      <c r="E55" s="32">
        <f>E52</f>
        <v>0.14786064599762344</v>
      </c>
      <c r="I55" s="7"/>
      <c r="M55" s="7"/>
    </row>
    <row r="56" spans="1:486" s="9" customFormat="1">
      <c r="E56" s="7"/>
      <c r="I56" s="7"/>
      <c r="M56" s="7"/>
    </row>
    <row r="57" spans="1:486" s="9" customFormat="1">
      <c r="A57" s="68" t="s">
        <v>217</v>
      </c>
      <c r="B57" s="69"/>
      <c r="C57" s="72" t="s">
        <v>220</v>
      </c>
      <c r="D57" s="69" t="s">
        <v>221</v>
      </c>
      <c r="E57" s="7"/>
      <c r="I57" s="7"/>
      <c r="M57" s="7"/>
    </row>
    <row r="58" spans="1:486" s="9" customFormat="1" ht="28.8">
      <c r="A58" s="73" t="s">
        <v>218</v>
      </c>
      <c r="B58" s="265">
        <v>6</v>
      </c>
      <c r="C58" s="122">
        <f>B58-1</f>
        <v>5</v>
      </c>
      <c r="D58" s="123">
        <f>B59-C58</f>
        <v>15</v>
      </c>
      <c r="E58" s="7"/>
      <c r="I58" s="7"/>
      <c r="M58" s="7"/>
    </row>
    <row r="59" spans="1:486" s="9" customFormat="1" ht="28.8">
      <c r="A59" s="121" t="s">
        <v>219</v>
      </c>
      <c r="B59" s="266">
        <v>20</v>
      </c>
    </row>
    <row r="60" spans="1:486" s="9" customFormat="1">
      <c r="A60" s="118"/>
    </row>
    <row r="61" spans="1:486" s="9" customFormat="1" ht="43.2">
      <c r="A61" s="124" t="s">
        <v>248</v>
      </c>
      <c r="B61" s="136" t="s">
        <v>502</v>
      </c>
      <c r="C61" s="131">
        <v>0</v>
      </c>
    </row>
    <row r="62" spans="1:486" s="9" customFormat="1">
      <c r="A62" s="118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7"/>
      <c r="CE62" s="127"/>
      <c r="CF62" s="127"/>
      <c r="CG62" s="127"/>
      <c r="CH62" s="127"/>
      <c r="CI62" s="127"/>
      <c r="CJ62" s="127"/>
      <c r="CK62" s="127"/>
      <c r="CL62" s="127"/>
      <c r="CM62" s="127"/>
      <c r="CN62" s="127"/>
      <c r="CO62" s="127"/>
      <c r="CP62" s="127"/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  <c r="NH62" s="127"/>
      <c r="NI62" s="127"/>
      <c r="NJ62" s="127"/>
      <c r="NK62" s="127"/>
      <c r="NL62" s="127"/>
      <c r="NM62" s="127"/>
      <c r="NN62" s="127"/>
      <c r="NO62" s="127"/>
      <c r="NP62" s="127"/>
      <c r="NQ62" s="127"/>
      <c r="NR62" s="127"/>
      <c r="NS62" s="127"/>
      <c r="NT62" s="127"/>
      <c r="NU62" s="127"/>
      <c r="NV62" s="127"/>
      <c r="NW62" s="127"/>
      <c r="NX62" s="127"/>
      <c r="NY62" s="127"/>
      <c r="NZ62" s="127"/>
      <c r="OA62" s="127"/>
      <c r="OB62" s="127"/>
      <c r="OC62" s="127"/>
      <c r="OD62" s="127"/>
      <c r="OE62" s="127"/>
      <c r="OF62" s="127"/>
      <c r="OG62" s="127"/>
      <c r="OH62" s="127"/>
      <c r="OI62" s="127"/>
      <c r="OJ62" s="127"/>
      <c r="OK62" s="127"/>
      <c r="OL62" s="127"/>
      <c r="OM62" s="127"/>
      <c r="ON62" s="127"/>
      <c r="OO62" s="127"/>
      <c r="OP62" s="127"/>
      <c r="OQ62" s="127"/>
      <c r="OR62" s="127"/>
      <c r="OS62" s="127"/>
      <c r="OT62" s="127"/>
      <c r="OU62" s="127"/>
      <c r="OV62" s="127"/>
      <c r="OW62" s="127"/>
      <c r="OX62" s="127"/>
      <c r="OY62" s="127"/>
      <c r="OZ62" s="127"/>
      <c r="PA62" s="127"/>
      <c r="PB62" s="127"/>
      <c r="PC62" s="127"/>
      <c r="PD62" s="127"/>
      <c r="PE62" s="127"/>
      <c r="PF62" s="127"/>
      <c r="PG62" s="127"/>
      <c r="PH62" s="127"/>
      <c r="PI62" s="127"/>
      <c r="PJ62" s="127"/>
      <c r="PK62" s="127"/>
      <c r="PL62" s="127"/>
      <c r="PM62" s="127"/>
      <c r="PN62" s="127"/>
      <c r="PO62" s="127"/>
      <c r="PP62" s="127"/>
      <c r="PQ62" s="127"/>
      <c r="PR62" s="127"/>
      <c r="PS62" s="127"/>
      <c r="PT62" s="127"/>
      <c r="PU62" s="127"/>
      <c r="PV62" s="127"/>
      <c r="PW62" s="127"/>
      <c r="PX62" s="127"/>
      <c r="PY62" s="127"/>
      <c r="PZ62" s="127"/>
      <c r="QA62" s="127"/>
      <c r="QB62" s="127"/>
      <c r="QC62" s="127"/>
      <c r="QD62" s="127"/>
      <c r="QE62" s="127"/>
      <c r="QF62" s="127"/>
      <c r="QG62" s="127"/>
      <c r="QH62" s="127"/>
      <c r="QI62" s="127"/>
      <c r="QJ62" s="127"/>
      <c r="QK62" s="127"/>
      <c r="QL62" s="127"/>
      <c r="QM62" s="127"/>
      <c r="QN62" s="127"/>
      <c r="QO62" s="127"/>
      <c r="QP62" s="127"/>
      <c r="QQ62" s="127"/>
      <c r="QR62" s="127"/>
      <c r="QS62" s="127"/>
      <c r="QT62" s="127"/>
      <c r="QU62" s="127"/>
      <c r="QV62" s="127"/>
      <c r="QW62" s="127"/>
      <c r="QX62" s="127"/>
      <c r="QY62" s="127"/>
      <c r="QZ62" s="127"/>
      <c r="RA62" s="127"/>
      <c r="RB62" s="127"/>
      <c r="RC62" s="127"/>
      <c r="RD62" s="127"/>
      <c r="RE62" s="127"/>
      <c r="RF62" s="127"/>
      <c r="RG62" s="127"/>
      <c r="RH62" s="127"/>
      <c r="RI62" s="127"/>
      <c r="RJ62" s="127"/>
      <c r="RK62" s="127"/>
      <c r="RL62" s="127"/>
      <c r="RM62" s="127"/>
      <c r="RN62" s="127"/>
      <c r="RO62" s="127"/>
      <c r="RP62" s="127"/>
      <c r="RQ62" s="127"/>
      <c r="RR62" s="127"/>
    </row>
    <row r="63" spans="1:486" s="154" customFormat="1">
      <c r="E63" s="155"/>
      <c r="F63" s="156"/>
    </row>
    <row r="65" spans="1:486">
      <c r="E65" s="2">
        <v>42156</v>
      </c>
      <c r="F65" s="2">
        <v>42186</v>
      </c>
      <c r="G65" s="2">
        <v>42217</v>
      </c>
      <c r="H65" s="2">
        <v>42248</v>
      </c>
      <c r="I65" s="2">
        <v>42278</v>
      </c>
      <c r="J65" s="2">
        <v>42309</v>
      </c>
      <c r="K65" s="2">
        <v>42339</v>
      </c>
      <c r="L65" s="2">
        <v>42370</v>
      </c>
      <c r="M65" s="2">
        <v>42401</v>
      </c>
      <c r="N65" s="2">
        <v>42430</v>
      </c>
      <c r="O65" s="2">
        <v>42461</v>
      </c>
      <c r="P65" s="2">
        <v>42491</v>
      </c>
      <c r="Q65" s="2">
        <v>42522</v>
      </c>
      <c r="R65" s="2">
        <v>42552</v>
      </c>
      <c r="S65" s="2">
        <v>42583</v>
      </c>
      <c r="T65" s="2">
        <v>42614</v>
      </c>
      <c r="U65" s="2">
        <v>42644</v>
      </c>
      <c r="V65" s="2">
        <v>42675</v>
      </c>
      <c r="W65" s="2">
        <v>42705</v>
      </c>
      <c r="X65" s="2">
        <v>42736</v>
      </c>
      <c r="Y65" s="2">
        <v>42767</v>
      </c>
      <c r="Z65" s="2">
        <v>42795</v>
      </c>
      <c r="AA65" s="2">
        <v>42826</v>
      </c>
      <c r="AB65" s="2">
        <v>42856</v>
      </c>
      <c r="AC65" s="2">
        <v>42887</v>
      </c>
      <c r="AD65" s="2">
        <v>42917</v>
      </c>
      <c r="AE65" s="2">
        <v>42948</v>
      </c>
      <c r="AF65" s="2">
        <v>42979</v>
      </c>
      <c r="AG65" s="2">
        <v>43009</v>
      </c>
      <c r="AH65" s="2">
        <v>43040</v>
      </c>
      <c r="AI65" s="2">
        <v>43070</v>
      </c>
      <c r="AJ65" s="2">
        <v>43101</v>
      </c>
      <c r="AK65" s="2">
        <v>43132</v>
      </c>
      <c r="AL65" s="2">
        <v>43160</v>
      </c>
      <c r="AM65" s="2">
        <v>43191</v>
      </c>
      <c r="AN65" s="2">
        <v>43221</v>
      </c>
      <c r="AO65" s="2">
        <v>43252</v>
      </c>
      <c r="AP65" s="2">
        <v>43282</v>
      </c>
      <c r="AQ65" s="2">
        <v>43313</v>
      </c>
      <c r="AR65" s="2">
        <v>43344</v>
      </c>
      <c r="AS65" s="2">
        <v>43374</v>
      </c>
      <c r="AT65" s="2">
        <v>43405</v>
      </c>
      <c r="AU65" s="2">
        <v>43435</v>
      </c>
      <c r="AV65" s="2">
        <v>43466</v>
      </c>
      <c r="AW65" s="2">
        <v>43497</v>
      </c>
      <c r="AX65" s="2">
        <v>43525</v>
      </c>
      <c r="AY65" s="2">
        <v>43556</v>
      </c>
      <c r="AZ65" s="2">
        <v>43586</v>
      </c>
      <c r="BA65" s="2">
        <v>43617</v>
      </c>
      <c r="BB65" s="2">
        <v>43647</v>
      </c>
      <c r="BC65" s="2">
        <v>43678</v>
      </c>
      <c r="BD65" s="2">
        <v>43709</v>
      </c>
      <c r="BE65" s="2">
        <v>43739</v>
      </c>
      <c r="BF65" s="2">
        <v>43770</v>
      </c>
      <c r="BG65" s="2">
        <v>43800</v>
      </c>
      <c r="BH65" s="2">
        <v>43831</v>
      </c>
      <c r="BI65" s="2">
        <v>43862</v>
      </c>
      <c r="BJ65" s="2">
        <v>43891</v>
      </c>
      <c r="BK65" s="2">
        <v>43922</v>
      </c>
      <c r="BL65" s="2">
        <v>43952</v>
      </c>
      <c r="BM65" s="2">
        <v>43983</v>
      </c>
      <c r="BN65" s="2">
        <v>44013</v>
      </c>
      <c r="BO65" s="2">
        <v>44044</v>
      </c>
      <c r="BP65" s="2">
        <v>44075</v>
      </c>
      <c r="BQ65" s="2">
        <v>44105</v>
      </c>
      <c r="BR65" s="2">
        <v>44136</v>
      </c>
      <c r="BS65" s="2">
        <v>44166</v>
      </c>
      <c r="BT65" s="2">
        <v>44197</v>
      </c>
      <c r="BU65" s="2">
        <v>44228</v>
      </c>
      <c r="BV65" s="2">
        <v>44256</v>
      </c>
      <c r="BW65" s="2">
        <v>44287</v>
      </c>
      <c r="BX65" s="2">
        <v>44317</v>
      </c>
      <c r="BY65" s="2">
        <v>44348</v>
      </c>
      <c r="BZ65" s="2">
        <v>44378</v>
      </c>
      <c r="CA65" s="2">
        <v>44409</v>
      </c>
      <c r="CB65" s="2">
        <v>44440</v>
      </c>
      <c r="CC65" s="2">
        <v>44470</v>
      </c>
      <c r="CD65" s="2">
        <v>44501</v>
      </c>
      <c r="CE65" s="2">
        <v>44531</v>
      </c>
      <c r="CF65" s="2">
        <v>44562</v>
      </c>
      <c r="CG65" s="2">
        <v>44593</v>
      </c>
      <c r="CH65" s="2">
        <v>44621</v>
      </c>
      <c r="CI65" s="2">
        <v>44652</v>
      </c>
      <c r="CJ65" s="2">
        <v>44682</v>
      </c>
      <c r="CK65" s="2">
        <v>44713</v>
      </c>
      <c r="CL65" s="2">
        <v>44743</v>
      </c>
      <c r="CM65" s="2">
        <v>44774</v>
      </c>
      <c r="CN65" s="2">
        <v>44805</v>
      </c>
      <c r="CO65" s="2">
        <v>44835</v>
      </c>
      <c r="CP65" s="2">
        <v>44866</v>
      </c>
      <c r="CQ65" s="2">
        <v>44896</v>
      </c>
      <c r="CR65" s="2">
        <v>44927</v>
      </c>
      <c r="CS65" s="2">
        <v>44958</v>
      </c>
      <c r="CT65" s="2">
        <v>44986</v>
      </c>
      <c r="CU65" s="2">
        <v>45017</v>
      </c>
      <c r="CV65" s="2">
        <v>45047</v>
      </c>
      <c r="CW65" s="2">
        <v>45078</v>
      </c>
      <c r="CX65" s="2">
        <v>45108</v>
      </c>
      <c r="CY65" s="2">
        <v>45139</v>
      </c>
      <c r="CZ65" s="2">
        <v>45170</v>
      </c>
      <c r="DA65" s="2">
        <v>45200</v>
      </c>
      <c r="DB65" s="2">
        <v>45231</v>
      </c>
      <c r="DC65" s="2">
        <v>45261</v>
      </c>
      <c r="DD65" s="2">
        <v>45292</v>
      </c>
      <c r="DE65" s="2">
        <v>45323</v>
      </c>
      <c r="DF65" s="2">
        <v>45352</v>
      </c>
      <c r="DG65" s="2">
        <v>45383</v>
      </c>
      <c r="DH65" s="2">
        <v>45413</v>
      </c>
      <c r="DI65" s="2">
        <v>45444</v>
      </c>
      <c r="DJ65" s="2">
        <v>45474</v>
      </c>
      <c r="DK65" s="2">
        <v>45505</v>
      </c>
      <c r="DL65" s="2">
        <v>45536</v>
      </c>
      <c r="DM65" s="2">
        <v>45566</v>
      </c>
      <c r="DN65" s="2">
        <v>45597</v>
      </c>
      <c r="DO65" s="2">
        <v>45627</v>
      </c>
      <c r="DP65" s="2">
        <v>45658</v>
      </c>
      <c r="DQ65" s="2">
        <v>45689</v>
      </c>
      <c r="DR65" s="2">
        <v>45717</v>
      </c>
      <c r="DS65" s="2">
        <v>45748</v>
      </c>
      <c r="DT65" s="2">
        <v>45778</v>
      </c>
      <c r="DU65" s="2">
        <v>45809</v>
      </c>
      <c r="DV65" s="2">
        <v>45839</v>
      </c>
      <c r="DW65" s="2">
        <v>45870</v>
      </c>
      <c r="DX65" s="2">
        <v>45901</v>
      </c>
      <c r="DY65" s="2">
        <v>45931</v>
      </c>
      <c r="DZ65" s="2">
        <v>45962</v>
      </c>
      <c r="EA65" s="2">
        <v>45992</v>
      </c>
      <c r="EB65" s="2">
        <v>46023</v>
      </c>
      <c r="EC65" s="2">
        <v>46054</v>
      </c>
      <c r="ED65" s="2">
        <v>46082</v>
      </c>
      <c r="EE65" s="2">
        <v>46113</v>
      </c>
      <c r="EF65" s="2">
        <v>46143</v>
      </c>
      <c r="EG65" s="2">
        <v>46174</v>
      </c>
      <c r="EH65" s="2">
        <v>46204</v>
      </c>
      <c r="EI65" s="2">
        <v>46235</v>
      </c>
      <c r="EJ65" s="2">
        <v>46266</v>
      </c>
      <c r="EK65" s="2">
        <v>46296</v>
      </c>
      <c r="EL65" s="2">
        <v>46327</v>
      </c>
      <c r="EM65" s="2">
        <v>46357</v>
      </c>
      <c r="EN65" s="2">
        <v>46388</v>
      </c>
      <c r="EO65" s="2">
        <v>46419</v>
      </c>
      <c r="EP65" s="2">
        <v>46447</v>
      </c>
      <c r="EQ65" s="2">
        <v>46478</v>
      </c>
      <c r="ER65" s="2">
        <v>46508</v>
      </c>
      <c r="ES65" s="2">
        <v>46539</v>
      </c>
      <c r="ET65" s="2">
        <v>46569</v>
      </c>
      <c r="EU65" s="2">
        <v>46600</v>
      </c>
      <c r="EV65" s="2">
        <v>46631</v>
      </c>
      <c r="EW65" s="2">
        <v>46661</v>
      </c>
      <c r="EX65" s="2">
        <v>46692</v>
      </c>
      <c r="EY65" s="2">
        <v>46722</v>
      </c>
      <c r="EZ65" s="2">
        <v>46753</v>
      </c>
      <c r="FA65" s="2">
        <v>46784</v>
      </c>
      <c r="FB65" s="2">
        <v>46813</v>
      </c>
      <c r="FC65" s="2">
        <v>46844</v>
      </c>
      <c r="FD65" s="2">
        <v>46874</v>
      </c>
      <c r="FE65" s="2">
        <v>46905</v>
      </c>
      <c r="FF65" s="2">
        <v>46935</v>
      </c>
      <c r="FG65" s="2">
        <v>46966</v>
      </c>
      <c r="FH65" s="2">
        <v>46997</v>
      </c>
      <c r="FI65" s="2">
        <v>47027</v>
      </c>
      <c r="FJ65" s="2">
        <v>47058</v>
      </c>
      <c r="FK65" s="2">
        <v>47088</v>
      </c>
      <c r="FL65" s="2">
        <v>47119</v>
      </c>
      <c r="FM65" s="2">
        <v>47150</v>
      </c>
      <c r="FN65" s="2">
        <v>47178</v>
      </c>
      <c r="FO65" s="2">
        <v>47209</v>
      </c>
      <c r="FP65" s="2">
        <v>47239</v>
      </c>
      <c r="FQ65" s="2">
        <v>47270</v>
      </c>
      <c r="FR65" s="2">
        <v>47300</v>
      </c>
      <c r="FS65" s="2">
        <v>47331</v>
      </c>
      <c r="FT65" s="2">
        <v>47362</v>
      </c>
      <c r="FU65" s="2">
        <v>47392</v>
      </c>
      <c r="FV65" s="2">
        <v>47423</v>
      </c>
      <c r="FW65" s="2">
        <v>47453</v>
      </c>
      <c r="FX65" s="2">
        <v>47484</v>
      </c>
      <c r="FY65" s="2">
        <v>47515</v>
      </c>
      <c r="FZ65" s="2">
        <v>47543</v>
      </c>
      <c r="GA65" s="2">
        <v>47574</v>
      </c>
      <c r="GB65" s="2">
        <v>47604</v>
      </c>
      <c r="GC65" s="2">
        <v>47635</v>
      </c>
      <c r="GD65" s="2">
        <v>47665</v>
      </c>
      <c r="GE65" s="2">
        <v>47696</v>
      </c>
      <c r="GF65" s="2">
        <v>47727</v>
      </c>
      <c r="GG65" s="2">
        <v>47757</v>
      </c>
      <c r="GH65" s="2">
        <v>47788</v>
      </c>
      <c r="GI65" s="2">
        <v>47818</v>
      </c>
      <c r="GJ65" s="2">
        <v>47849</v>
      </c>
      <c r="GK65" s="2">
        <v>47880</v>
      </c>
      <c r="GL65" s="2">
        <v>47908</v>
      </c>
      <c r="GM65" s="2">
        <v>47939</v>
      </c>
      <c r="GN65" s="2">
        <v>47969</v>
      </c>
      <c r="GO65" s="2">
        <v>48000</v>
      </c>
      <c r="GP65" s="2">
        <v>48030</v>
      </c>
      <c r="GQ65" s="2">
        <v>48061</v>
      </c>
      <c r="GR65" s="2">
        <v>48092</v>
      </c>
      <c r="GS65" s="2">
        <v>48122</v>
      </c>
      <c r="GT65" s="2">
        <v>48153</v>
      </c>
      <c r="GU65" s="2">
        <v>48183</v>
      </c>
      <c r="GV65" s="2">
        <v>48214</v>
      </c>
      <c r="GW65" s="2">
        <v>48245</v>
      </c>
      <c r="GX65" s="2">
        <v>48274</v>
      </c>
      <c r="GY65" s="2">
        <v>48305</v>
      </c>
      <c r="GZ65" s="2">
        <v>48335</v>
      </c>
      <c r="HA65" s="2">
        <v>48366</v>
      </c>
      <c r="HB65" s="2">
        <v>48396</v>
      </c>
      <c r="HC65" s="2">
        <v>48427</v>
      </c>
      <c r="HD65" s="2">
        <v>48458</v>
      </c>
      <c r="HE65" s="2">
        <v>48488</v>
      </c>
      <c r="HF65" s="2">
        <v>48519</v>
      </c>
      <c r="HG65" s="2">
        <v>48549</v>
      </c>
      <c r="HH65" s="2">
        <v>48580</v>
      </c>
      <c r="HI65" s="2">
        <v>48611</v>
      </c>
      <c r="HJ65" s="2">
        <v>48639</v>
      </c>
      <c r="HK65" s="2">
        <v>48670</v>
      </c>
      <c r="HL65" s="2">
        <v>48700</v>
      </c>
      <c r="HM65" s="2">
        <v>48731</v>
      </c>
      <c r="HN65" s="2">
        <v>48761</v>
      </c>
      <c r="HO65" s="2">
        <v>48792</v>
      </c>
      <c r="HP65" s="2">
        <v>48823</v>
      </c>
      <c r="HQ65" s="2">
        <v>48853</v>
      </c>
      <c r="HR65" s="2">
        <v>48884</v>
      </c>
      <c r="HS65" s="2">
        <v>48914</v>
      </c>
      <c r="HT65" s="2">
        <v>48945</v>
      </c>
      <c r="HU65" s="2">
        <v>48976</v>
      </c>
      <c r="HV65" s="2">
        <v>49004</v>
      </c>
      <c r="HW65" s="2">
        <v>49035</v>
      </c>
      <c r="HX65" s="2">
        <v>49065</v>
      </c>
      <c r="HY65" s="2">
        <v>49096</v>
      </c>
      <c r="HZ65" s="2">
        <v>49126</v>
      </c>
      <c r="IA65" s="2">
        <v>49157</v>
      </c>
      <c r="IB65" s="2">
        <v>49188</v>
      </c>
      <c r="IC65" s="2">
        <v>49218</v>
      </c>
      <c r="ID65" s="2">
        <v>49249</v>
      </c>
      <c r="IE65" s="2">
        <v>49279</v>
      </c>
      <c r="IF65" s="2">
        <v>49310</v>
      </c>
      <c r="IG65" s="2">
        <v>49341</v>
      </c>
      <c r="IH65" s="2">
        <v>49369</v>
      </c>
      <c r="II65" s="2">
        <v>49400</v>
      </c>
      <c r="IJ65" s="2">
        <v>49430</v>
      </c>
      <c r="IK65" s="2">
        <v>49461</v>
      </c>
      <c r="IL65" s="2">
        <v>49491</v>
      </c>
      <c r="IM65" s="2">
        <v>49522</v>
      </c>
      <c r="IN65" s="2">
        <v>49553</v>
      </c>
      <c r="IO65" s="2">
        <v>49583</v>
      </c>
      <c r="IP65" s="2">
        <v>49614</v>
      </c>
      <c r="IQ65" s="2">
        <v>49644</v>
      </c>
      <c r="IR65" s="2">
        <v>49675</v>
      </c>
      <c r="IS65" s="2">
        <v>49706</v>
      </c>
      <c r="IT65" s="2">
        <v>49735</v>
      </c>
      <c r="IU65" s="2">
        <v>49766</v>
      </c>
      <c r="IV65" s="2">
        <v>49796</v>
      </c>
      <c r="IW65" s="2">
        <v>49827</v>
      </c>
      <c r="IX65" s="2">
        <v>49857</v>
      </c>
      <c r="IY65" s="2">
        <v>49888</v>
      </c>
      <c r="IZ65" s="2">
        <v>49919</v>
      </c>
      <c r="JA65" s="2">
        <v>49949</v>
      </c>
      <c r="JB65" s="2">
        <v>49980</v>
      </c>
      <c r="JC65" s="2">
        <v>50010</v>
      </c>
      <c r="JD65" s="2">
        <v>50041</v>
      </c>
      <c r="JE65" s="2">
        <v>50072</v>
      </c>
      <c r="JF65" s="2">
        <v>50100</v>
      </c>
      <c r="JG65" s="2">
        <v>50131</v>
      </c>
      <c r="JH65" s="2">
        <v>50161</v>
      </c>
      <c r="JI65" s="2">
        <v>50192</v>
      </c>
      <c r="JJ65" s="2">
        <v>50222</v>
      </c>
      <c r="JK65" s="2">
        <v>50253</v>
      </c>
      <c r="JL65" s="2">
        <v>50284</v>
      </c>
      <c r="JM65" s="2">
        <v>50314</v>
      </c>
      <c r="JN65" s="2">
        <v>50345</v>
      </c>
      <c r="JO65" s="2">
        <v>50375</v>
      </c>
      <c r="JP65" s="2">
        <v>50406</v>
      </c>
      <c r="JQ65" s="2">
        <v>50437</v>
      </c>
      <c r="JR65" s="2">
        <v>50465</v>
      </c>
      <c r="JS65" s="2">
        <v>50496</v>
      </c>
      <c r="JT65" s="2">
        <v>50526</v>
      </c>
      <c r="JU65" s="2">
        <v>50557</v>
      </c>
      <c r="JV65" s="2">
        <v>50587</v>
      </c>
      <c r="JW65" s="2">
        <v>50618</v>
      </c>
      <c r="JX65" s="2">
        <v>50649</v>
      </c>
      <c r="JY65" s="2">
        <v>50679</v>
      </c>
      <c r="JZ65" s="2">
        <v>50710</v>
      </c>
      <c r="KA65" s="2">
        <v>50740</v>
      </c>
      <c r="KB65" s="2">
        <v>50771</v>
      </c>
      <c r="KC65" s="2">
        <v>50802</v>
      </c>
      <c r="KD65" s="2">
        <v>50830</v>
      </c>
      <c r="KE65" s="2">
        <v>50861</v>
      </c>
      <c r="KF65" s="2">
        <v>50891</v>
      </c>
      <c r="KG65" s="2">
        <v>50922</v>
      </c>
      <c r="KH65" s="2">
        <v>50952</v>
      </c>
      <c r="KI65" s="2">
        <v>50983</v>
      </c>
      <c r="KJ65" s="2">
        <v>51014</v>
      </c>
      <c r="KK65" s="2">
        <v>51044</v>
      </c>
      <c r="KL65" s="2">
        <v>51075</v>
      </c>
      <c r="KM65" s="2">
        <v>51105</v>
      </c>
      <c r="KN65" s="2">
        <v>51136</v>
      </c>
      <c r="KO65" s="2">
        <v>51167</v>
      </c>
      <c r="KP65" s="2">
        <v>51196</v>
      </c>
      <c r="KQ65" s="2">
        <v>51227</v>
      </c>
      <c r="KR65" s="2">
        <v>51257</v>
      </c>
      <c r="KS65" s="2">
        <v>51288</v>
      </c>
      <c r="KT65" s="2">
        <v>51318</v>
      </c>
      <c r="KU65" s="2">
        <v>51349</v>
      </c>
      <c r="KV65" s="2">
        <v>51380</v>
      </c>
      <c r="KW65" s="2">
        <v>51410</v>
      </c>
      <c r="KX65" s="2">
        <v>51441</v>
      </c>
      <c r="KY65" s="2">
        <v>51471</v>
      </c>
      <c r="KZ65" s="2">
        <v>51502</v>
      </c>
      <c r="LA65" s="2">
        <v>51533</v>
      </c>
      <c r="LB65" s="2">
        <v>51561</v>
      </c>
      <c r="LC65" s="2">
        <v>51592</v>
      </c>
      <c r="LD65" s="2">
        <v>51622</v>
      </c>
      <c r="LE65" s="2">
        <v>51653</v>
      </c>
      <c r="LF65" s="2">
        <v>51683</v>
      </c>
      <c r="LG65" s="2">
        <v>51714</v>
      </c>
      <c r="LH65" s="2">
        <v>51745</v>
      </c>
      <c r="LI65" s="2">
        <v>51775</v>
      </c>
      <c r="LJ65" s="2">
        <v>51806</v>
      </c>
      <c r="LK65" s="2">
        <v>51836</v>
      </c>
      <c r="LL65" s="2">
        <v>51867</v>
      </c>
      <c r="LM65" s="2">
        <v>51898</v>
      </c>
      <c r="LN65" s="2">
        <v>51926</v>
      </c>
      <c r="LO65" s="2">
        <v>51957</v>
      </c>
      <c r="LP65" s="2">
        <v>51987</v>
      </c>
      <c r="LQ65" s="2">
        <v>52018</v>
      </c>
      <c r="LR65" s="2">
        <v>52048</v>
      </c>
      <c r="LS65" s="2">
        <v>52079</v>
      </c>
      <c r="LT65" s="2">
        <v>52110</v>
      </c>
      <c r="LU65" s="2">
        <v>52140</v>
      </c>
      <c r="LV65" s="2">
        <v>52171</v>
      </c>
      <c r="LW65" s="2">
        <v>52201</v>
      </c>
      <c r="LX65" s="2">
        <v>52232</v>
      </c>
      <c r="LY65" s="2">
        <v>52263</v>
      </c>
      <c r="LZ65" s="2">
        <v>52291</v>
      </c>
      <c r="MA65" s="2">
        <v>52322</v>
      </c>
      <c r="MB65" s="2">
        <v>52352</v>
      </c>
      <c r="MC65" s="2">
        <v>52383</v>
      </c>
      <c r="MD65" s="2">
        <v>52413</v>
      </c>
      <c r="ME65" s="2">
        <v>52444</v>
      </c>
      <c r="MF65" s="2">
        <v>52475</v>
      </c>
      <c r="MG65" s="2">
        <v>52505</v>
      </c>
      <c r="MH65" s="2">
        <v>52536</v>
      </c>
      <c r="MI65" s="2">
        <v>52566</v>
      </c>
      <c r="MJ65" s="2">
        <v>52597</v>
      </c>
      <c r="MK65" s="2">
        <v>52628</v>
      </c>
      <c r="ML65" s="2">
        <v>52657</v>
      </c>
      <c r="MM65" s="2">
        <v>52688</v>
      </c>
      <c r="MN65" s="2">
        <v>52718</v>
      </c>
      <c r="MO65" s="2">
        <v>52749</v>
      </c>
      <c r="MP65" s="2">
        <v>52779</v>
      </c>
      <c r="MQ65" s="2">
        <v>52810</v>
      </c>
      <c r="MR65" s="2">
        <v>52841</v>
      </c>
      <c r="MS65" s="2">
        <v>52871</v>
      </c>
      <c r="MT65" s="2">
        <v>52902</v>
      </c>
      <c r="MU65" s="2">
        <v>52932</v>
      </c>
      <c r="MV65" s="2">
        <v>52963</v>
      </c>
      <c r="MW65" s="2">
        <v>52994</v>
      </c>
      <c r="MX65" s="2">
        <v>53022</v>
      </c>
      <c r="MY65" s="2">
        <v>53053</v>
      </c>
      <c r="MZ65" s="2">
        <v>53083</v>
      </c>
      <c r="NA65" s="2">
        <v>53114</v>
      </c>
      <c r="NB65" s="2">
        <v>53144</v>
      </c>
      <c r="NC65" s="2">
        <v>53175</v>
      </c>
      <c r="ND65" s="2">
        <v>53206</v>
      </c>
      <c r="NE65" s="2">
        <v>53236</v>
      </c>
      <c r="NF65" s="2">
        <v>53267</v>
      </c>
      <c r="NG65" s="2">
        <v>53297</v>
      </c>
      <c r="NH65" s="2">
        <v>53328</v>
      </c>
      <c r="NI65" s="2">
        <v>53359</v>
      </c>
      <c r="NJ65" s="2">
        <v>53387</v>
      </c>
      <c r="NK65" s="2">
        <v>53418</v>
      </c>
      <c r="NL65" s="2">
        <v>53448</v>
      </c>
      <c r="NM65" s="2">
        <v>53479</v>
      </c>
      <c r="NN65" s="2">
        <v>53509</v>
      </c>
      <c r="NO65" s="2">
        <v>53540</v>
      </c>
      <c r="NP65" s="2">
        <v>53571</v>
      </c>
      <c r="NQ65" s="2">
        <v>53601</v>
      </c>
      <c r="NR65" s="2">
        <v>53632</v>
      </c>
      <c r="NS65" s="2">
        <v>53662</v>
      </c>
      <c r="NT65" s="2">
        <v>53693</v>
      </c>
      <c r="NU65" s="2">
        <v>53724</v>
      </c>
      <c r="NV65" s="2">
        <v>53752</v>
      </c>
      <c r="NW65" s="2">
        <v>53783</v>
      </c>
      <c r="NX65" s="2">
        <v>53813</v>
      </c>
      <c r="NY65" s="2">
        <v>53844</v>
      </c>
      <c r="NZ65" s="2">
        <v>53874</v>
      </c>
      <c r="OA65" s="2">
        <v>53905</v>
      </c>
      <c r="OB65" s="2">
        <v>53936</v>
      </c>
      <c r="OC65" s="2">
        <v>53966</v>
      </c>
      <c r="OD65" s="2">
        <v>53997</v>
      </c>
      <c r="OE65" s="2">
        <v>54027</v>
      </c>
      <c r="OF65" s="2">
        <v>54058</v>
      </c>
      <c r="OG65" s="2">
        <v>54089</v>
      </c>
      <c r="OH65" s="2">
        <v>54118</v>
      </c>
      <c r="OI65" s="2">
        <v>54149</v>
      </c>
      <c r="OJ65" s="2">
        <v>54179</v>
      </c>
      <c r="OK65" s="2">
        <v>54210</v>
      </c>
      <c r="OL65" s="2">
        <v>54240</v>
      </c>
      <c r="OM65" s="2">
        <v>54271</v>
      </c>
      <c r="ON65" s="2">
        <v>54302</v>
      </c>
      <c r="OO65" s="2">
        <v>54332</v>
      </c>
      <c r="OP65" s="2">
        <v>54363</v>
      </c>
      <c r="OQ65" s="2">
        <v>54393</v>
      </c>
      <c r="OR65" s="2">
        <v>54424</v>
      </c>
      <c r="OS65" s="2">
        <v>54455</v>
      </c>
      <c r="OT65" s="2">
        <v>54483</v>
      </c>
      <c r="OU65" s="2">
        <v>54514</v>
      </c>
      <c r="OV65" s="2">
        <v>54544</v>
      </c>
      <c r="OW65" s="2">
        <v>54575</v>
      </c>
      <c r="OX65" s="2">
        <v>54605</v>
      </c>
      <c r="OY65" s="2">
        <v>54636</v>
      </c>
      <c r="OZ65" s="2">
        <v>54667</v>
      </c>
      <c r="PA65" s="2">
        <v>54697</v>
      </c>
      <c r="PB65" s="2">
        <v>54728</v>
      </c>
      <c r="PC65" s="2">
        <v>54758</v>
      </c>
      <c r="PD65" s="2">
        <v>54789</v>
      </c>
      <c r="PE65" s="2">
        <v>54820</v>
      </c>
      <c r="PF65" s="2">
        <v>54848</v>
      </c>
      <c r="PG65" s="2">
        <v>54879</v>
      </c>
      <c r="PH65" s="2">
        <v>54909</v>
      </c>
      <c r="PI65" s="2">
        <v>54940</v>
      </c>
      <c r="PJ65" s="2">
        <v>54970</v>
      </c>
      <c r="PK65" s="2">
        <v>55001</v>
      </c>
      <c r="PL65" s="2">
        <v>55032</v>
      </c>
      <c r="PM65" s="2">
        <v>55062</v>
      </c>
      <c r="PN65" s="2">
        <v>55093</v>
      </c>
      <c r="PO65" s="2">
        <v>55123</v>
      </c>
      <c r="PP65" s="2">
        <v>55154</v>
      </c>
      <c r="PQ65" s="2">
        <v>55185</v>
      </c>
      <c r="PR65" s="2">
        <v>55213</v>
      </c>
      <c r="PS65" s="2">
        <v>55244</v>
      </c>
      <c r="PT65" s="2">
        <v>55274</v>
      </c>
      <c r="PU65" s="2">
        <v>55305</v>
      </c>
      <c r="PV65" s="2">
        <v>55335</v>
      </c>
      <c r="PW65" s="2">
        <v>55366</v>
      </c>
      <c r="PX65" s="2">
        <v>55397</v>
      </c>
      <c r="PY65" s="2">
        <v>55427</v>
      </c>
      <c r="PZ65" s="2">
        <v>55458</v>
      </c>
      <c r="QA65" s="2">
        <v>55488</v>
      </c>
      <c r="QB65" s="2">
        <v>55519</v>
      </c>
      <c r="QC65" s="2">
        <v>55550</v>
      </c>
      <c r="QD65" s="2">
        <v>55579</v>
      </c>
      <c r="QE65" s="2">
        <v>55610</v>
      </c>
      <c r="QF65" s="2">
        <v>55640</v>
      </c>
      <c r="QG65" s="2">
        <v>55671</v>
      </c>
      <c r="QH65" s="2">
        <v>55701</v>
      </c>
      <c r="QI65" s="2">
        <v>55732</v>
      </c>
      <c r="QJ65" s="2">
        <v>55763</v>
      </c>
      <c r="QK65" s="2">
        <v>55793</v>
      </c>
      <c r="QL65" s="2">
        <v>55824</v>
      </c>
      <c r="QM65" s="2">
        <v>55854</v>
      </c>
      <c r="QN65" s="2">
        <v>55885</v>
      </c>
      <c r="QO65" s="2">
        <v>55916</v>
      </c>
      <c r="QP65" s="2">
        <v>55944</v>
      </c>
      <c r="QQ65" s="2">
        <v>55975</v>
      </c>
      <c r="QR65" s="2">
        <v>56005</v>
      </c>
      <c r="QS65" s="2">
        <v>56036</v>
      </c>
      <c r="QT65" s="2">
        <v>56066</v>
      </c>
      <c r="QU65" s="2">
        <v>56097</v>
      </c>
      <c r="QV65" s="2">
        <v>56128</v>
      </c>
      <c r="QW65" s="2">
        <v>56158</v>
      </c>
      <c r="QX65" s="2">
        <v>56189</v>
      </c>
      <c r="QY65" s="2">
        <v>56219</v>
      </c>
      <c r="QZ65" s="2">
        <v>56250</v>
      </c>
      <c r="RA65" s="2">
        <v>56281</v>
      </c>
      <c r="RB65" s="2">
        <v>56309</v>
      </c>
      <c r="RC65" s="2">
        <v>56340</v>
      </c>
      <c r="RD65" s="2">
        <v>56370</v>
      </c>
      <c r="RE65" s="2">
        <v>56401</v>
      </c>
      <c r="RF65" s="2">
        <v>56431</v>
      </c>
      <c r="RG65" s="2">
        <v>56462</v>
      </c>
      <c r="RH65" s="2">
        <v>56493</v>
      </c>
      <c r="RI65" s="2">
        <v>56523</v>
      </c>
      <c r="RJ65" s="2">
        <v>56554</v>
      </c>
      <c r="RK65" s="2">
        <v>56584</v>
      </c>
      <c r="RL65" s="2">
        <v>56615</v>
      </c>
      <c r="RM65" s="2">
        <v>56646</v>
      </c>
      <c r="RN65" s="2">
        <v>56674</v>
      </c>
      <c r="RO65" s="2">
        <v>56705</v>
      </c>
      <c r="RP65" s="2">
        <v>56735</v>
      </c>
      <c r="RQ65" s="2">
        <v>56766</v>
      </c>
      <c r="RR65" s="2">
        <v>56796</v>
      </c>
    </row>
    <row r="66" spans="1:486" s="9" customFormat="1">
      <c r="B66" s="9" t="s">
        <v>224</v>
      </c>
      <c r="E66" s="126">
        <f t="shared" ref="E66:BP66" si="10">IF(E65&lt;($E$65+365*$C$58),1,0)</f>
        <v>1</v>
      </c>
      <c r="F66" s="126">
        <f t="shared" si="10"/>
        <v>1</v>
      </c>
      <c r="G66" s="126">
        <f t="shared" si="10"/>
        <v>1</v>
      </c>
      <c r="H66" s="126">
        <f t="shared" si="10"/>
        <v>1</v>
      </c>
      <c r="I66" s="126">
        <f t="shared" si="10"/>
        <v>1</v>
      </c>
      <c r="J66" s="126">
        <f t="shared" si="10"/>
        <v>1</v>
      </c>
      <c r="K66" s="126">
        <f t="shared" si="10"/>
        <v>1</v>
      </c>
      <c r="L66" s="126">
        <f t="shared" si="10"/>
        <v>1</v>
      </c>
      <c r="M66" s="126">
        <f t="shared" si="10"/>
        <v>1</v>
      </c>
      <c r="N66" s="126">
        <f t="shared" si="10"/>
        <v>1</v>
      </c>
      <c r="O66" s="126">
        <f t="shared" si="10"/>
        <v>1</v>
      </c>
      <c r="P66" s="126">
        <f t="shared" si="10"/>
        <v>1</v>
      </c>
      <c r="Q66" s="126">
        <f t="shared" si="10"/>
        <v>1</v>
      </c>
      <c r="R66" s="126">
        <f t="shared" si="10"/>
        <v>1</v>
      </c>
      <c r="S66" s="126">
        <f t="shared" si="10"/>
        <v>1</v>
      </c>
      <c r="T66" s="126">
        <f t="shared" si="10"/>
        <v>1</v>
      </c>
      <c r="U66" s="126">
        <f t="shared" si="10"/>
        <v>1</v>
      </c>
      <c r="V66" s="126">
        <f t="shared" si="10"/>
        <v>1</v>
      </c>
      <c r="W66" s="126">
        <f t="shared" si="10"/>
        <v>1</v>
      </c>
      <c r="X66" s="126">
        <f t="shared" si="10"/>
        <v>1</v>
      </c>
      <c r="Y66" s="126">
        <f t="shared" si="10"/>
        <v>1</v>
      </c>
      <c r="Z66" s="126">
        <f t="shared" si="10"/>
        <v>1</v>
      </c>
      <c r="AA66" s="126">
        <f t="shared" si="10"/>
        <v>1</v>
      </c>
      <c r="AB66" s="126">
        <f t="shared" si="10"/>
        <v>1</v>
      </c>
      <c r="AC66" s="126">
        <f t="shared" si="10"/>
        <v>1</v>
      </c>
      <c r="AD66" s="126">
        <f t="shared" si="10"/>
        <v>1</v>
      </c>
      <c r="AE66" s="126">
        <f t="shared" si="10"/>
        <v>1</v>
      </c>
      <c r="AF66" s="126">
        <f t="shared" si="10"/>
        <v>1</v>
      </c>
      <c r="AG66" s="126">
        <f t="shared" si="10"/>
        <v>1</v>
      </c>
      <c r="AH66" s="126">
        <f t="shared" si="10"/>
        <v>1</v>
      </c>
      <c r="AI66" s="126">
        <f t="shared" si="10"/>
        <v>1</v>
      </c>
      <c r="AJ66" s="126">
        <f t="shared" si="10"/>
        <v>1</v>
      </c>
      <c r="AK66" s="126">
        <f t="shared" si="10"/>
        <v>1</v>
      </c>
      <c r="AL66" s="126">
        <f t="shared" si="10"/>
        <v>1</v>
      </c>
      <c r="AM66" s="126">
        <f t="shared" si="10"/>
        <v>1</v>
      </c>
      <c r="AN66" s="126">
        <f t="shared" si="10"/>
        <v>1</v>
      </c>
      <c r="AO66" s="126">
        <f t="shared" si="10"/>
        <v>1</v>
      </c>
      <c r="AP66" s="126">
        <f t="shared" si="10"/>
        <v>1</v>
      </c>
      <c r="AQ66" s="126">
        <f t="shared" si="10"/>
        <v>1</v>
      </c>
      <c r="AR66" s="126">
        <f t="shared" si="10"/>
        <v>1</v>
      </c>
      <c r="AS66" s="126">
        <f t="shared" si="10"/>
        <v>1</v>
      </c>
      <c r="AT66" s="126">
        <f t="shared" si="10"/>
        <v>1</v>
      </c>
      <c r="AU66" s="126">
        <f t="shared" si="10"/>
        <v>1</v>
      </c>
      <c r="AV66" s="126">
        <f t="shared" si="10"/>
        <v>1</v>
      </c>
      <c r="AW66" s="126">
        <f t="shared" si="10"/>
        <v>1</v>
      </c>
      <c r="AX66" s="126">
        <f t="shared" si="10"/>
        <v>1</v>
      </c>
      <c r="AY66" s="126">
        <f t="shared" si="10"/>
        <v>1</v>
      </c>
      <c r="AZ66" s="126">
        <f t="shared" si="10"/>
        <v>1</v>
      </c>
      <c r="BA66" s="126">
        <f t="shared" si="10"/>
        <v>1</v>
      </c>
      <c r="BB66" s="126">
        <f t="shared" si="10"/>
        <v>1</v>
      </c>
      <c r="BC66" s="126">
        <f t="shared" si="10"/>
        <v>1</v>
      </c>
      <c r="BD66" s="126">
        <f t="shared" si="10"/>
        <v>1</v>
      </c>
      <c r="BE66" s="126">
        <f t="shared" si="10"/>
        <v>1</v>
      </c>
      <c r="BF66" s="126">
        <f t="shared" si="10"/>
        <v>1</v>
      </c>
      <c r="BG66" s="126">
        <f t="shared" si="10"/>
        <v>1</v>
      </c>
      <c r="BH66" s="126">
        <f t="shared" si="10"/>
        <v>1</v>
      </c>
      <c r="BI66" s="126">
        <f t="shared" si="10"/>
        <v>1</v>
      </c>
      <c r="BJ66" s="126">
        <f t="shared" si="10"/>
        <v>1</v>
      </c>
      <c r="BK66" s="126">
        <f t="shared" si="10"/>
        <v>1</v>
      </c>
      <c r="BL66" s="126">
        <f t="shared" si="10"/>
        <v>1</v>
      </c>
      <c r="BM66" s="126">
        <f t="shared" si="10"/>
        <v>0</v>
      </c>
      <c r="BN66" s="126">
        <f t="shared" si="10"/>
        <v>0</v>
      </c>
      <c r="BO66" s="126">
        <f t="shared" si="10"/>
        <v>0</v>
      </c>
      <c r="BP66" s="126">
        <f t="shared" si="10"/>
        <v>0</v>
      </c>
      <c r="BQ66" s="126">
        <f t="shared" ref="BQ66:EB66" si="11">IF(BQ65&lt;($E$65+365*$C$58),1,0)</f>
        <v>0</v>
      </c>
      <c r="BR66" s="126">
        <f t="shared" si="11"/>
        <v>0</v>
      </c>
      <c r="BS66" s="126">
        <f t="shared" si="11"/>
        <v>0</v>
      </c>
      <c r="BT66" s="126">
        <f t="shared" si="11"/>
        <v>0</v>
      </c>
      <c r="BU66" s="126">
        <f t="shared" si="11"/>
        <v>0</v>
      </c>
      <c r="BV66" s="126">
        <f t="shared" si="11"/>
        <v>0</v>
      </c>
      <c r="BW66" s="126">
        <f t="shared" si="11"/>
        <v>0</v>
      </c>
      <c r="BX66" s="126">
        <f t="shared" si="11"/>
        <v>0</v>
      </c>
      <c r="BY66" s="126">
        <f t="shared" si="11"/>
        <v>0</v>
      </c>
      <c r="BZ66" s="126">
        <f t="shared" si="11"/>
        <v>0</v>
      </c>
      <c r="CA66" s="126">
        <f t="shared" si="11"/>
        <v>0</v>
      </c>
      <c r="CB66" s="126">
        <f t="shared" si="11"/>
        <v>0</v>
      </c>
      <c r="CC66" s="126">
        <f t="shared" si="11"/>
        <v>0</v>
      </c>
      <c r="CD66" s="126">
        <f t="shared" si="11"/>
        <v>0</v>
      </c>
      <c r="CE66" s="126">
        <f t="shared" si="11"/>
        <v>0</v>
      </c>
      <c r="CF66" s="126">
        <f t="shared" si="11"/>
        <v>0</v>
      </c>
      <c r="CG66" s="126">
        <f t="shared" si="11"/>
        <v>0</v>
      </c>
      <c r="CH66" s="126">
        <f t="shared" si="11"/>
        <v>0</v>
      </c>
      <c r="CI66" s="126">
        <f t="shared" si="11"/>
        <v>0</v>
      </c>
      <c r="CJ66" s="126">
        <f t="shared" si="11"/>
        <v>0</v>
      </c>
      <c r="CK66" s="126">
        <f t="shared" si="11"/>
        <v>0</v>
      </c>
      <c r="CL66" s="126">
        <f t="shared" si="11"/>
        <v>0</v>
      </c>
      <c r="CM66" s="126">
        <f t="shared" si="11"/>
        <v>0</v>
      </c>
      <c r="CN66" s="126">
        <f t="shared" si="11"/>
        <v>0</v>
      </c>
      <c r="CO66" s="126">
        <f t="shared" si="11"/>
        <v>0</v>
      </c>
      <c r="CP66" s="126">
        <f t="shared" si="11"/>
        <v>0</v>
      </c>
      <c r="CQ66" s="126">
        <f t="shared" si="11"/>
        <v>0</v>
      </c>
      <c r="CR66" s="126">
        <f t="shared" si="11"/>
        <v>0</v>
      </c>
      <c r="CS66" s="126">
        <f t="shared" si="11"/>
        <v>0</v>
      </c>
      <c r="CT66" s="126">
        <f t="shared" si="11"/>
        <v>0</v>
      </c>
      <c r="CU66" s="126">
        <f t="shared" si="11"/>
        <v>0</v>
      </c>
      <c r="CV66" s="126">
        <f t="shared" si="11"/>
        <v>0</v>
      </c>
      <c r="CW66" s="126">
        <f t="shared" si="11"/>
        <v>0</v>
      </c>
      <c r="CX66" s="126">
        <f t="shared" si="11"/>
        <v>0</v>
      </c>
      <c r="CY66" s="126">
        <f t="shared" si="11"/>
        <v>0</v>
      </c>
      <c r="CZ66" s="126">
        <f t="shared" si="11"/>
        <v>0</v>
      </c>
      <c r="DA66" s="126">
        <f t="shared" si="11"/>
        <v>0</v>
      </c>
      <c r="DB66" s="126">
        <f t="shared" si="11"/>
        <v>0</v>
      </c>
      <c r="DC66" s="126">
        <f t="shared" si="11"/>
        <v>0</v>
      </c>
      <c r="DD66" s="126">
        <f t="shared" si="11"/>
        <v>0</v>
      </c>
      <c r="DE66" s="126">
        <f t="shared" si="11"/>
        <v>0</v>
      </c>
      <c r="DF66" s="126">
        <f t="shared" si="11"/>
        <v>0</v>
      </c>
      <c r="DG66" s="126">
        <f t="shared" si="11"/>
        <v>0</v>
      </c>
      <c r="DH66" s="126">
        <f t="shared" si="11"/>
        <v>0</v>
      </c>
      <c r="DI66" s="126">
        <f t="shared" si="11"/>
        <v>0</v>
      </c>
      <c r="DJ66" s="126">
        <f t="shared" si="11"/>
        <v>0</v>
      </c>
      <c r="DK66" s="126">
        <f t="shared" si="11"/>
        <v>0</v>
      </c>
      <c r="DL66" s="126">
        <f t="shared" si="11"/>
        <v>0</v>
      </c>
      <c r="DM66" s="126">
        <f t="shared" si="11"/>
        <v>0</v>
      </c>
      <c r="DN66" s="126">
        <f t="shared" si="11"/>
        <v>0</v>
      </c>
      <c r="DO66" s="126">
        <f t="shared" si="11"/>
        <v>0</v>
      </c>
      <c r="DP66" s="126">
        <f t="shared" si="11"/>
        <v>0</v>
      </c>
      <c r="DQ66" s="126">
        <f t="shared" si="11"/>
        <v>0</v>
      </c>
      <c r="DR66" s="126">
        <f t="shared" si="11"/>
        <v>0</v>
      </c>
      <c r="DS66" s="126">
        <f t="shared" si="11"/>
        <v>0</v>
      </c>
      <c r="DT66" s="126">
        <f t="shared" si="11"/>
        <v>0</v>
      </c>
      <c r="DU66" s="126">
        <f t="shared" si="11"/>
        <v>0</v>
      </c>
      <c r="DV66" s="126">
        <f t="shared" si="11"/>
        <v>0</v>
      </c>
      <c r="DW66" s="126">
        <f t="shared" si="11"/>
        <v>0</v>
      </c>
      <c r="DX66" s="126">
        <f t="shared" si="11"/>
        <v>0</v>
      </c>
      <c r="DY66" s="126">
        <f t="shared" si="11"/>
        <v>0</v>
      </c>
      <c r="DZ66" s="126">
        <f t="shared" si="11"/>
        <v>0</v>
      </c>
      <c r="EA66" s="126">
        <f t="shared" si="11"/>
        <v>0</v>
      </c>
      <c r="EB66" s="126">
        <f t="shared" si="11"/>
        <v>0</v>
      </c>
      <c r="EC66" s="126">
        <f t="shared" ref="EC66:GN66" si="12">IF(EC65&lt;($E$65+365*$C$58),1,0)</f>
        <v>0</v>
      </c>
      <c r="ED66" s="126">
        <f t="shared" si="12"/>
        <v>0</v>
      </c>
      <c r="EE66" s="126">
        <f t="shared" si="12"/>
        <v>0</v>
      </c>
      <c r="EF66" s="126">
        <f t="shared" si="12"/>
        <v>0</v>
      </c>
      <c r="EG66" s="126">
        <f t="shared" si="12"/>
        <v>0</v>
      </c>
      <c r="EH66" s="126">
        <f t="shared" si="12"/>
        <v>0</v>
      </c>
      <c r="EI66" s="126">
        <f t="shared" si="12"/>
        <v>0</v>
      </c>
      <c r="EJ66" s="126">
        <f t="shared" si="12"/>
        <v>0</v>
      </c>
      <c r="EK66" s="126">
        <f t="shared" si="12"/>
        <v>0</v>
      </c>
      <c r="EL66" s="126">
        <f t="shared" si="12"/>
        <v>0</v>
      </c>
      <c r="EM66" s="126">
        <f t="shared" si="12"/>
        <v>0</v>
      </c>
      <c r="EN66" s="126">
        <f t="shared" si="12"/>
        <v>0</v>
      </c>
      <c r="EO66" s="126">
        <f t="shared" si="12"/>
        <v>0</v>
      </c>
      <c r="EP66" s="126">
        <f t="shared" si="12"/>
        <v>0</v>
      </c>
      <c r="EQ66" s="126">
        <f t="shared" si="12"/>
        <v>0</v>
      </c>
      <c r="ER66" s="126">
        <f t="shared" si="12"/>
        <v>0</v>
      </c>
      <c r="ES66" s="126">
        <f t="shared" si="12"/>
        <v>0</v>
      </c>
      <c r="ET66" s="126">
        <f t="shared" si="12"/>
        <v>0</v>
      </c>
      <c r="EU66" s="126">
        <f t="shared" si="12"/>
        <v>0</v>
      </c>
      <c r="EV66" s="126">
        <f t="shared" si="12"/>
        <v>0</v>
      </c>
      <c r="EW66" s="126">
        <f t="shared" si="12"/>
        <v>0</v>
      </c>
      <c r="EX66" s="126">
        <f t="shared" si="12"/>
        <v>0</v>
      </c>
      <c r="EY66" s="126">
        <f t="shared" si="12"/>
        <v>0</v>
      </c>
      <c r="EZ66" s="126">
        <f t="shared" si="12"/>
        <v>0</v>
      </c>
      <c r="FA66" s="126">
        <f t="shared" si="12"/>
        <v>0</v>
      </c>
      <c r="FB66" s="126">
        <f t="shared" si="12"/>
        <v>0</v>
      </c>
      <c r="FC66" s="126">
        <f t="shared" si="12"/>
        <v>0</v>
      </c>
      <c r="FD66" s="126">
        <f t="shared" si="12"/>
        <v>0</v>
      </c>
      <c r="FE66" s="126">
        <f t="shared" si="12"/>
        <v>0</v>
      </c>
      <c r="FF66" s="126">
        <f t="shared" si="12"/>
        <v>0</v>
      </c>
      <c r="FG66" s="126">
        <f t="shared" si="12"/>
        <v>0</v>
      </c>
      <c r="FH66" s="126">
        <f t="shared" si="12"/>
        <v>0</v>
      </c>
      <c r="FI66" s="126">
        <f t="shared" si="12"/>
        <v>0</v>
      </c>
      <c r="FJ66" s="126">
        <f t="shared" si="12"/>
        <v>0</v>
      </c>
      <c r="FK66" s="126">
        <f t="shared" si="12"/>
        <v>0</v>
      </c>
      <c r="FL66" s="126">
        <f t="shared" si="12"/>
        <v>0</v>
      </c>
      <c r="FM66" s="126">
        <f t="shared" si="12"/>
        <v>0</v>
      </c>
      <c r="FN66" s="126">
        <f t="shared" si="12"/>
        <v>0</v>
      </c>
      <c r="FO66" s="126">
        <f t="shared" si="12"/>
        <v>0</v>
      </c>
      <c r="FP66" s="126">
        <f t="shared" si="12"/>
        <v>0</v>
      </c>
      <c r="FQ66" s="126">
        <f t="shared" si="12"/>
        <v>0</v>
      </c>
      <c r="FR66" s="126">
        <f t="shared" si="12"/>
        <v>0</v>
      </c>
      <c r="FS66" s="126">
        <f t="shared" si="12"/>
        <v>0</v>
      </c>
      <c r="FT66" s="126">
        <f t="shared" si="12"/>
        <v>0</v>
      </c>
      <c r="FU66" s="126">
        <f t="shared" si="12"/>
        <v>0</v>
      </c>
      <c r="FV66" s="126">
        <f t="shared" si="12"/>
        <v>0</v>
      </c>
      <c r="FW66" s="126">
        <f t="shared" si="12"/>
        <v>0</v>
      </c>
      <c r="FX66" s="126">
        <f t="shared" si="12"/>
        <v>0</v>
      </c>
      <c r="FY66" s="126">
        <f t="shared" si="12"/>
        <v>0</v>
      </c>
      <c r="FZ66" s="126">
        <f t="shared" si="12"/>
        <v>0</v>
      </c>
      <c r="GA66" s="126">
        <f t="shared" si="12"/>
        <v>0</v>
      </c>
      <c r="GB66" s="126">
        <f t="shared" si="12"/>
        <v>0</v>
      </c>
      <c r="GC66" s="126">
        <f t="shared" si="12"/>
        <v>0</v>
      </c>
      <c r="GD66" s="126">
        <f t="shared" si="12"/>
        <v>0</v>
      </c>
      <c r="GE66" s="126">
        <f t="shared" si="12"/>
        <v>0</v>
      </c>
      <c r="GF66" s="126">
        <f t="shared" si="12"/>
        <v>0</v>
      </c>
      <c r="GG66" s="126">
        <f t="shared" si="12"/>
        <v>0</v>
      </c>
      <c r="GH66" s="126">
        <f t="shared" si="12"/>
        <v>0</v>
      </c>
      <c r="GI66" s="126">
        <f t="shared" si="12"/>
        <v>0</v>
      </c>
      <c r="GJ66" s="126">
        <f t="shared" si="12"/>
        <v>0</v>
      </c>
      <c r="GK66" s="126">
        <f t="shared" si="12"/>
        <v>0</v>
      </c>
      <c r="GL66" s="126">
        <f t="shared" si="12"/>
        <v>0</v>
      </c>
      <c r="GM66" s="126">
        <f t="shared" si="12"/>
        <v>0</v>
      </c>
      <c r="GN66" s="126">
        <f t="shared" si="12"/>
        <v>0</v>
      </c>
      <c r="GO66" s="126">
        <f t="shared" ref="GO66:IZ66" si="13">IF(GO65&lt;($E$65+365*$C$58),1,0)</f>
        <v>0</v>
      </c>
      <c r="GP66" s="126">
        <f t="shared" si="13"/>
        <v>0</v>
      </c>
      <c r="GQ66" s="126">
        <f t="shared" si="13"/>
        <v>0</v>
      </c>
      <c r="GR66" s="126">
        <f t="shared" si="13"/>
        <v>0</v>
      </c>
      <c r="GS66" s="126">
        <f t="shared" si="13"/>
        <v>0</v>
      </c>
      <c r="GT66" s="126">
        <f t="shared" si="13"/>
        <v>0</v>
      </c>
      <c r="GU66" s="126">
        <f t="shared" si="13"/>
        <v>0</v>
      </c>
      <c r="GV66" s="126">
        <f t="shared" si="13"/>
        <v>0</v>
      </c>
      <c r="GW66" s="126">
        <f t="shared" si="13"/>
        <v>0</v>
      </c>
      <c r="GX66" s="126">
        <f t="shared" si="13"/>
        <v>0</v>
      </c>
      <c r="GY66" s="126">
        <f t="shared" si="13"/>
        <v>0</v>
      </c>
      <c r="GZ66" s="126">
        <f t="shared" si="13"/>
        <v>0</v>
      </c>
      <c r="HA66" s="126">
        <f t="shared" si="13"/>
        <v>0</v>
      </c>
      <c r="HB66" s="126">
        <f t="shared" si="13"/>
        <v>0</v>
      </c>
      <c r="HC66" s="126">
        <f t="shared" si="13"/>
        <v>0</v>
      </c>
      <c r="HD66" s="126">
        <f t="shared" si="13"/>
        <v>0</v>
      </c>
      <c r="HE66" s="126">
        <f t="shared" si="13"/>
        <v>0</v>
      </c>
      <c r="HF66" s="126">
        <f t="shared" si="13"/>
        <v>0</v>
      </c>
      <c r="HG66" s="126">
        <f t="shared" si="13"/>
        <v>0</v>
      </c>
      <c r="HH66" s="126">
        <f t="shared" si="13"/>
        <v>0</v>
      </c>
      <c r="HI66" s="126">
        <f t="shared" si="13"/>
        <v>0</v>
      </c>
      <c r="HJ66" s="126">
        <f t="shared" si="13"/>
        <v>0</v>
      </c>
      <c r="HK66" s="126">
        <f t="shared" si="13"/>
        <v>0</v>
      </c>
      <c r="HL66" s="126">
        <f t="shared" si="13"/>
        <v>0</v>
      </c>
      <c r="HM66" s="126">
        <f t="shared" si="13"/>
        <v>0</v>
      </c>
      <c r="HN66" s="126">
        <f t="shared" si="13"/>
        <v>0</v>
      </c>
      <c r="HO66" s="126">
        <f t="shared" si="13"/>
        <v>0</v>
      </c>
      <c r="HP66" s="126">
        <f t="shared" si="13"/>
        <v>0</v>
      </c>
      <c r="HQ66" s="126">
        <f t="shared" si="13"/>
        <v>0</v>
      </c>
      <c r="HR66" s="126">
        <f t="shared" si="13"/>
        <v>0</v>
      </c>
      <c r="HS66" s="126">
        <f t="shared" si="13"/>
        <v>0</v>
      </c>
      <c r="HT66" s="126">
        <f t="shared" si="13"/>
        <v>0</v>
      </c>
      <c r="HU66" s="126">
        <f t="shared" si="13"/>
        <v>0</v>
      </c>
      <c r="HV66" s="126">
        <f t="shared" si="13"/>
        <v>0</v>
      </c>
      <c r="HW66" s="126">
        <f t="shared" si="13"/>
        <v>0</v>
      </c>
      <c r="HX66" s="126">
        <f t="shared" si="13"/>
        <v>0</v>
      </c>
      <c r="HY66" s="126">
        <f t="shared" si="13"/>
        <v>0</v>
      </c>
      <c r="HZ66" s="126">
        <f t="shared" si="13"/>
        <v>0</v>
      </c>
      <c r="IA66" s="126">
        <f t="shared" si="13"/>
        <v>0</v>
      </c>
      <c r="IB66" s="126">
        <f t="shared" si="13"/>
        <v>0</v>
      </c>
      <c r="IC66" s="126">
        <f t="shared" si="13"/>
        <v>0</v>
      </c>
      <c r="ID66" s="126">
        <f t="shared" si="13"/>
        <v>0</v>
      </c>
      <c r="IE66" s="126">
        <f t="shared" si="13"/>
        <v>0</v>
      </c>
      <c r="IF66" s="126">
        <f t="shared" si="13"/>
        <v>0</v>
      </c>
      <c r="IG66" s="126">
        <f t="shared" si="13"/>
        <v>0</v>
      </c>
      <c r="IH66" s="126">
        <f t="shared" si="13"/>
        <v>0</v>
      </c>
      <c r="II66" s="126">
        <f t="shared" si="13"/>
        <v>0</v>
      </c>
      <c r="IJ66" s="126">
        <f t="shared" si="13"/>
        <v>0</v>
      </c>
      <c r="IK66" s="126">
        <f t="shared" si="13"/>
        <v>0</v>
      </c>
      <c r="IL66" s="126">
        <f t="shared" si="13"/>
        <v>0</v>
      </c>
      <c r="IM66" s="126">
        <f t="shared" si="13"/>
        <v>0</v>
      </c>
      <c r="IN66" s="126">
        <f t="shared" si="13"/>
        <v>0</v>
      </c>
      <c r="IO66" s="126">
        <f t="shared" si="13"/>
        <v>0</v>
      </c>
      <c r="IP66" s="126">
        <f t="shared" si="13"/>
        <v>0</v>
      </c>
      <c r="IQ66" s="126">
        <f t="shared" si="13"/>
        <v>0</v>
      </c>
      <c r="IR66" s="126">
        <f t="shared" si="13"/>
        <v>0</v>
      </c>
      <c r="IS66" s="126">
        <f t="shared" si="13"/>
        <v>0</v>
      </c>
      <c r="IT66" s="126">
        <f t="shared" si="13"/>
        <v>0</v>
      </c>
      <c r="IU66" s="126">
        <f t="shared" si="13"/>
        <v>0</v>
      </c>
      <c r="IV66" s="126">
        <f t="shared" si="13"/>
        <v>0</v>
      </c>
      <c r="IW66" s="126">
        <f t="shared" si="13"/>
        <v>0</v>
      </c>
      <c r="IX66" s="126">
        <f t="shared" si="13"/>
        <v>0</v>
      </c>
      <c r="IY66" s="126">
        <f t="shared" si="13"/>
        <v>0</v>
      </c>
      <c r="IZ66" s="126">
        <f t="shared" si="13"/>
        <v>0</v>
      </c>
      <c r="JA66" s="126">
        <f t="shared" ref="JA66:LL66" si="14">IF(JA65&lt;($E$65+365*$C$58),1,0)</f>
        <v>0</v>
      </c>
      <c r="JB66" s="126">
        <f t="shared" si="14"/>
        <v>0</v>
      </c>
      <c r="JC66" s="126">
        <f t="shared" si="14"/>
        <v>0</v>
      </c>
      <c r="JD66" s="126">
        <f t="shared" si="14"/>
        <v>0</v>
      </c>
      <c r="JE66" s="126">
        <f t="shared" si="14"/>
        <v>0</v>
      </c>
      <c r="JF66" s="126">
        <f t="shared" si="14"/>
        <v>0</v>
      </c>
      <c r="JG66" s="126">
        <f t="shared" si="14"/>
        <v>0</v>
      </c>
      <c r="JH66" s="126">
        <f t="shared" si="14"/>
        <v>0</v>
      </c>
      <c r="JI66" s="126">
        <f t="shared" si="14"/>
        <v>0</v>
      </c>
      <c r="JJ66" s="126">
        <f t="shared" si="14"/>
        <v>0</v>
      </c>
      <c r="JK66" s="126">
        <f t="shared" si="14"/>
        <v>0</v>
      </c>
      <c r="JL66" s="126">
        <f t="shared" si="14"/>
        <v>0</v>
      </c>
      <c r="JM66" s="126">
        <f t="shared" si="14"/>
        <v>0</v>
      </c>
      <c r="JN66" s="126">
        <f t="shared" si="14"/>
        <v>0</v>
      </c>
      <c r="JO66" s="126">
        <f t="shared" si="14"/>
        <v>0</v>
      </c>
      <c r="JP66" s="126">
        <f t="shared" si="14"/>
        <v>0</v>
      </c>
      <c r="JQ66" s="126">
        <f t="shared" si="14"/>
        <v>0</v>
      </c>
      <c r="JR66" s="126">
        <f t="shared" si="14"/>
        <v>0</v>
      </c>
      <c r="JS66" s="126">
        <f t="shared" si="14"/>
        <v>0</v>
      </c>
      <c r="JT66" s="126">
        <f t="shared" si="14"/>
        <v>0</v>
      </c>
      <c r="JU66" s="126">
        <f t="shared" si="14"/>
        <v>0</v>
      </c>
      <c r="JV66" s="126">
        <f t="shared" si="14"/>
        <v>0</v>
      </c>
      <c r="JW66" s="126">
        <f t="shared" si="14"/>
        <v>0</v>
      </c>
      <c r="JX66" s="126">
        <f t="shared" si="14"/>
        <v>0</v>
      </c>
      <c r="JY66" s="126">
        <f t="shared" si="14"/>
        <v>0</v>
      </c>
      <c r="JZ66" s="126">
        <f t="shared" si="14"/>
        <v>0</v>
      </c>
      <c r="KA66" s="126">
        <f t="shared" si="14"/>
        <v>0</v>
      </c>
      <c r="KB66" s="126">
        <f t="shared" si="14"/>
        <v>0</v>
      </c>
      <c r="KC66" s="126">
        <f t="shared" si="14"/>
        <v>0</v>
      </c>
      <c r="KD66" s="126">
        <f t="shared" si="14"/>
        <v>0</v>
      </c>
      <c r="KE66" s="126">
        <f t="shared" si="14"/>
        <v>0</v>
      </c>
      <c r="KF66" s="126">
        <f t="shared" si="14"/>
        <v>0</v>
      </c>
      <c r="KG66" s="126">
        <f t="shared" si="14"/>
        <v>0</v>
      </c>
      <c r="KH66" s="126">
        <f t="shared" si="14"/>
        <v>0</v>
      </c>
      <c r="KI66" s="126">
        <f t="shared" si="14"/>
        <v>0</v>
      </c>
      <c r="KJ66" s="126">
        <f t="shared" si="14"/>
        <v>0</v>
      </c>
      <c r="KK66" s="126">
        <f t="shared" si="14"/>
        <v>0</v>
      </c>
      <c r="KL66" s="126">
        <f t="shared" si="14"/>
        <v>0</v>
      </c>
      <c r="KM66" s="126">
        <f t="shared" si="14"/>
        <v>0</v>
      </c>
      <c r="KN66" s="126">
        <f t="shared" si="14"/>
        <v>0</v>
      </c>
      <c r="KO66" s="126">
        <f t="shared" si="14"/>
        <v>0</v>
      </c>
      <c r="KP66" s="126">
        <f t="shared" si="14"/>
        <v>0</v>
      </c>
      <c r="KQ66" s="126">
        <f t="shared" si="14"/>
        <v>0</v>
      </c>
      <c r="KR66" s="126">
        <f t="shared" si="14"/>
        <v>0</v>
      </c>
      <c r="KS66" s="126">
        <f t="shared" si="14"/>
        <v>0</v>
      </c>
      <c r="KT66" s="126">
        <f t="shared" si="14"/>
        <v>0</v>
      </c>
      <c r="KU66" s="126">
        <f t="shared" si="14"/>
        <v>0</v>
      </c>
      <c r="KV66" s="126">
        <f t="shared" si="14"/>
        <v>0</v>
      </c>
      <c r="KW66" s="126">
        <f t="shared" si="14"/>
        <v>0</v>
      </c>
      <c r="KX66" s="126">
        <f t="shared" si="14"/>
        <v>0</v>
      </c>
      <c r="KY66" s="126">
        <f t="shared" si="14"/>
        <v>0</v>
      </c>
      <c r="KZ66" s="126">
        <f t="shared" si="14"/>
        <v>0</v>
      </c>
      <c r="LA66" s="126">
        <f t="shared" si="14"/>
        <v>0</v>
      </c>
      <c r="LB66" s="126">
        <f t="shared" si="14"/>
        <v>0</v>
      </c>
      <c r="LC66" s="126">
        <f t="shared" si="14"/>
        <v>0</v>
      </c>
      <c r="LD66" s="126">
        <f t="shared" si="14"/>
        <v>0</v>
      </c>
      <c r="LE66" s="126">
        <f t="shared" si="14"/>
        <v>0</v>
      </c>
      <c r="LF66" s="126">
        <f t="shared" si="14"/>
        <v>0</v>
      </c>
      <c r="LG66" s="126">
        <f t="shared" si="14"/>
        <v>0</v>
      </c>
      <c r="LH66" s="126">
        <f t="shared" si="14"/>
        <v>0</v>
      </c>
      <c r="LI66" s="126">
        <f t="shared" si="14"/>
        <v>0</v>
      </c>
      <c r="LJ66" s="126">
        <f t="shared" si="14"/>
        <v>0</v>
      </c>
      <c r="LK66" s="126">
        <f t="shared" si="14"/>
        <v>0</v>
      </c>
      <c r="LL66" s="126">
        <f t="shared" si="14"/>
        <v>0</v>
      </c>
      <c r="LM66" s="126">
        <f t="shared" ref="LM66:NX66" si="15">IF(LM65&lt;($E$65+365*$C$58),1,0)</f>
        <v>0</v>
      </c>
      <c r="LN66" s="126">
        <f t="shared" si="15"/>
        <v>0</v>
      </c>
      <c r="LO66" s="126">
        <f t="shared" si="15"/>
        <v>0</v>
      </c>
      <c r="LP66" s="126">
        <f t="shared" si="15"/>
        <v>0</v>
      </c>
      <c r="LQ66" s="126">
        <f t="shared" si="15"/>
        <v>0</v>
      </c>
      <c r="LR66" s="126">
        <f t="shared" si="15"/>
        <v>0</v>
      </c>
      <c r="LS66" s="126">
        <f t="shared" si="15"/>
        <v>0</v>
      </c>
      <c r="LT66" s="126">
        <f t="shared" si="15"/>
        <v>0</v>
      </c>
      <c r="LU66" s="126">
        <f t="shared" si="15"/>
        <v>0</v>
      </c>
      <c r="LV66" s="126">
        <f t="shared" si="15"/>
        <v>0</v>
      </c>
      <c r="LW66" s="126">
        <f t="shared" si="15"/>
        <v>0</v>
      </c>
      <c r="LX66" s="126">
        <f t="shared" si="15"/>
        <v>0</v>
      </c>
      <c r="LY66" s="126">
        <f t="shared" si="15"/>
        <v>0</v>
      </c>
      <c r="LZ66" s="126">
        <f t="shared" si="15"/>
        <v>0</v>
      </c>
      <c r="MA66" s="126">
        <f t="shared" si="15"/>
        <v>0</v>
      </c>
      <c r="MB66" s="126">
        <f t="shared" si="15"/>
        <v>0</v>
      </c>
      <c r="MC66" s="126">
        <f t="shared" si="15"/>
        <v>0</v>
      </c>
      <c r="MD66" s="126">
        <f t="shared" si="15"/>
        <v>0</v>
      </c>
      <c r="ME66" s="126">
        <f t="shared" si="15"/>
        <v>0</v>
      </c>
      <c r="MF66" s="126">
        <f t="shared" si="15"/>
        <v>0</v>
      </c>
      <c r="MG66" s="126">
        <f t="shared" si="15"/>
        <v>0</v>
      </c>
      <c r="MH66" s="126">
        <f t="shared" si="15"/>
        <v>0</v>
      </c>
      <c r="MI66" s="126">
        <f t="shared" si="15"/>
        <v>0</v>
      </c>
      <c r="MJ66" s="126">
        <f t="shared" si="15"/>
        <v>0</v>
      </c>
      <c r="MK66" s="126">
        <f t="shared" si="15"/>
        <v>0</v>
      </c>
      <c r="ML66" s="126">
        <f t="shared" si="15"/>
        <v>0</v>
      </c>
      <c r="MM66" s="126">
        <f t="shared" si="15"/>
        <v>0</v>
      </c>
      <c r="MN66" s="126">
        <f t="shared" si="15"/>
        <v>0</v>
      </c>
      <c r="MO66" s="126">
        <f t="shared" si="15"/>
        <v>0</v>
      </c>
      <c r="MP66" s="126">
        <f t="shared" si="15"/>
        <v>0</v>
      </c>
      <c r="MQ66" s="126">
        <f t="shared" si="15"/>
        <v>0</v>
      </c>
      <c r="MR66" s="126">
        <f t="shared" si="15"/>
        <v>0</v>
      </c>
      <c r="MS66" s="126">
        <f t="shared" si="15"/>
        <v>0</v>
      </c>
      <c r="MT66" s="126">
        <f t="shared" si="15"/>
        <v>0</v>
      </c>
      <c r="MU66" s="126">
        <f t="shared" si="15"/>
        <v>0</v>
      </c>
      <c r="MV66" s="126">
        <f t="shared" si="15"/>
        <v>0</v>
      </c>
      <c r="MW66" s="126">
        <f t="shared" si="15"/>
        <v>0</v>
      </c>
      <c r="MX66" s="126">
        <f t="shared" si="15"/>
        <v>0</v>
      </c>
      <c r="MY66" s="126">
        <f t="shared" si="15"/>
        <v>0</v>
      </c>
      <c r="MZ66" s="126">
        <f t="shared" si="15"/>
        <v>0</v>
      </c>
      <c r="NA66" s="126">
        <f t="shared" si="15"/>
        <v>0</v>
      </c>
      <c r="NB66" s="126">
        <f t="shared" si="15"/>
        <v>0</v>
      </c>
      <c r="NC66" s="126">
        <f t="shared" si="15"/>
        <v>0</v>
      </c>
      <c r="ND66" s="126">
        <f t="shared" si="15"/>
        <v>0</v>
      </c>
      <c r="NE66" s="126">
        <f t="shared" si="15"/>
        <v>0</v>
      </c>
      <c r="NF66" s="126">
        <f t="shared" si="15"/>
        <v>0</v>
      </c>
      <c r="NG66" s="126">
        <f t="shared" si="15"/>
        <v>0</v>
      </c>
      <c r="NH66" s="126">
        <f t="shared" si="15"/>
        <v>0</v>
      </c>
      <c r="NI66" s="126">
        <f t="shared" si="15"/>
        <v>0</v>
      </c>
      <c r="NJ66" s="126">
        <f t="shared" si="15"/>
        <v>0</v>
      </c>
      <c r="NK66" s="126">
        <f t="shared" si="15"/>
        <v>0</v>
      </c>
      <c r="NL66" s="126">
        <f t="shared" si="15"/>
        <v>0</v>
      </c>
      <c r="NM66" s="126">
        <f t="shared" si="15"/>
        <v>0</v>
      </c>
      <c r="NN66" s="126">
        <f t="shared" si="15"/>
        <v>0</v>
      </c>
      <c r="NO66" s="126">
        <f t="shared" si="15"/>
        <v>0</v>
      </c>
      <c r="NP66" s="126">
        <f t="shared" si="15"/>
        <v>0</v>
      </c>
      <c r="NQ66" s="126">
        <f t="shared" si="15"/>
        <v>0</v>
      </c>
      <c r="NR66" s="126">
        <f t="shared" si="15"/>
        <v>0</v>
      </c>
      <c r="NS66" s="126">
        <f t="shared" si="15"/>
        <v>0</v>
      </c>
      <c r="NT66" s="126">
        <f t="shared" si="15"/>
        <v>0</v>
      </c>
      <c r="NU66" s="126">
        <f t="shared" si="15"/>
        <v>0</v>
      </c>
      <c r="NV66" s="126">
        <f t="shared" si="15"/>
        <v>0</v>
      </c>
      <c r="NW66" s="126">
        <f t="shared" si="15"/>
        <v>0</v>
      </c>
      <c r="NX66" s="126">
        <f t="shared" si="15"/>
        <v>0</v>
      </c>
      <c r="NY66" s="126">
        <f t="shared" ref="NY66:QJ66" si="16">IF(NY65&lt;($E$65+365*$C$58),1,0)</f>
        <v>0</v>
      </c>
      <c r="NZ66" s="126">
        <f t="shared" si="16"/>
        <v>0</v>
      </c>
      <c r="OA66" s="126">
        <f t="shared" si="16"/>
        <v>0</v>
      </c>
      <c r="OB66" s="126">
        <f t="shared" si="16"/>
        <v>0</v>
      </c>
      <c r="OC66" s="126">
        <f t="shared" si="16"/>
        <v>0</v>
      </c>
      <c r="OD66" s="126">
        <f t="shared" si="16"/>
        <v>0</v>
      </c>
      <c r="OE66" s="126">
        <f t="shared" si="16"/>
        <v>0</v>
      </c>
      <c r="OF66" s="126">
        <f t="shared" si="16"/>
        <v>0</v>
      </c>
      <c r="OG66" s="126">
        <f t="shared" si="16"/>
        <v>0</v>
      </c>
      <c r="OH66" s="126">
        <f t="shared" si="16"/>
        <v>0</v>
      </c>
      <c r="OI66" s="126">
        <f t="shared" si="16"/>
        <v>0</v>
      </c>
      <c r="OJ66" s="126">
        <f t="shared" si="16"/>
        <v>0</v>
      </c>
      <c r="OK66" s="126">
        <f t="shared" si="16"/>
        <v>0</v>
      </c>
      <c r="OL66" s="126">
        <f t="shared" si="16"/>
        <v>0</v>
      </c>
      <c r="OM66" s="126">
        <f t="shared" si="16"/>
        <v>0</v>
      </c>
      <c r="ON66" s="126">
        <f t="shared" si="16"/>
        <v>0</v>
      </c>
      <c r="OO66" s="126">
        <f t="shared" si="16"/>
        <v>0</v>
      </c>
      <c r="OP66" s="126">
        <f t="shared" si="16"/>
        <v>0</v>
      </c>
      <c r="OQ66" s="126">
        <f t="shared" si="16"/>
        <v>0</v>
      </c>
      <c r="OR66" s="126">
        <f t="shared" si="16"/>
        <v>0</v>
      </c>
      <c r="OS66" s="126">
        <f t="shared" si="16"/>
        <v>0</v>
      </c>
      <c r="OT66" s="126">
        <f t="shared" si="16"/>
        <v>0</v>
      </c>
      <c r="OU66" s="126">
        <f t="shared" si="16"/>
        <v>0</v>
      </c>
      <c r="OV66" s="126">
        <f t="shared" si="16"/>
        <v>0</v>
      </c>
      <c r="OW66" s="126">
        <f t="shared" si="16"/>
        <v>0</v>
      </c>
      <c r="OX66" s="126">
        <f t="shared" si="16"/>
        <v>0</v>
      </c>
      <c r="OY66" s="126">
        <f t="shared" si="16"/>
        <v>0</v>
      </c>
      <c r="OZ66" s="126">
        <f t="shared" si="16"/>
        <v>0</v>
      </c>
      <c r="PA66" s="126">
        <f t="shared" si="16"/>
        <v>0</v>
      </c>
      <c r="PB66" s="126">
        <f t="shared" si="16"/>
        <v>0</v>
      </c>
      <c r="PC66" s="126">
        <f t="shared" si="16"/>
        <v>0</v>
      </c>
      <c r="PD66" s="126">
        <f t="shared" si="16"/>
        <v>0</v>
      </c>
      <c r="PE66" s="126">
        <f t="shared" si="16"/>
        <v>0</v>
      </c>
      <c r="PF66" s="126">
        <f t="shared" si="16"/>
        <v>0</v>
      </c>
      <c r="PG66" s="126">
        <f t="shared" si="16"/>
        <v>0</v>
      </c>
      <c r="PH66" s="126">
        <f t="shared" si="16"/>
        <v>0</v>
      </c>
      <c r="PI66" s="126">
        <f t="shared" si="16"/>
        <v>0</v>
      </c>
      <c r="PJ66" s="126">
        <f t="shared" si="16"/>
        <v>0</v>
      </c>
      <c r="PK66" s="126">
        <f t="shared" si="16"/>
        <v>0</v>
      </c>
      <c r="PL66" s="126">
        <f t="shared" si="16"/>
        <v>0</v>
      </c>
      <c r="PM66" s="126">
        <f t="shared" si="16"/>
        <v>0</v>
      </c>
      <c r="PN66" s="126">
        <f t="shared" si="16"/>
        <v>0</v>
      </c>
      <c r="PO66" s="126">
        <f t="shared" si="16"/>
        <v>0</v>
      </c>
      <c r="PP66" s="126">
        <f t="shared" si="16"/>
        <v>0</v>
      </c>
      <c r="PQ66" s="126">
        <f t="shared" si="16"/>
        <v>0</v>
      </c>
      <c r="PR66" s="126">
        <f t="shared" si="16"/>
        <v>0</v>
      </c>
      <c r="PS66" s="126">
        <f t="shared" si="16"/>
        <v>0</v>
      </c>
      <c r="PT66" s="126">
        <f t="shared" si="16"/>
        <v>0</v>
      </c>
      <c r="PU66" s="126">
        <f t="shared" si="16"/>
        <v>0</v>
      </c>
      <c r="PV66" s="126">
        <f t="shared" si="16"/>
        <v>0</v>
      </c>
      <c r="PW66" s="126">
        <f t="shared" si="16"/>
        <v>0</v>
      </c>
      <c r="PX66" s="126">
        <f t="shared" si="16"/>
        <v>0</v>
      </c>
      <c r="PY66" s="126">
        <f t="shared" si="16"/>
        <v>0</v>
      </c>
      <c r="PZ66" s="126">
        <f t="shared" si="16"/>
        <v>0</v>
      </c>
      <c r="QA66" s="126">
        <f t="shared" si="16"/>
        <v>0</v>
      </c>
      <c r="QB66" s="126">
        <f t="shared" si="16"/>
        <v>0</v>
      </c>
      <c r="QC66" s="126">
        <f t="shared" si="16"/>
        <v>0</v>
      </c>
      <c r="QD66" s="126">
        <f t="shared" si="16"/>
        <v>0</v>
      </c>
      <c r="QE66" s="126">
        <f t="shared" si="16"/>
        <v>0</v>
      </c>
      <c r="QF66" s="126">
        <f t="shared" si="16"/>
        <v>0</v>
      </c>
      <c r="QG66" s="126">
        <f t="shared" si="16"/>
        <v>0</v>
      </c>
      <c r="QH66" s="126">
        <f t="shared" si="16"/>
        <v>0</v>
      </c>
      <c r="QI66" s="126">
        <f t="shared" si="16"/>
        <v>0</v>
      </c>
      <c r="QJ66" s="126">
        <f t="shared" si="16"/>
        <v>0</v>
      </c>
      <c r="QK66" s="126">
        <f t="shared" ref="QK66:RR66" si="17">IF(QK65&lt;($E$65+365*$C$58),1,0)</f>
        <v>0</v>
      </c>
      <c r="QL66" s="126">
        <f t="shared" si="17"/>
        <v>0</v>
      </c>
      <c r="QM66" s="126">
        <f t="shared" si="17"/>
        <v>0</v>
      </c>
      <c r="QN66" s="126">
        <f t="shared" si="17"/>
        <v>0</v>
      </c>
      <c r="QO66" s="126">
        <f t="shared" si="17"/>
        <v>0</v>
      </c>
      <c r="QP66" s="126">
        <f t="shared" si="17"/>
        <v>0</v>
      </c>
      <c r="QQ66" s="126">
        <f t="shared" si="17"/>
        <v>0</v>
      </c>
      <c r="QR66" s="126">
        <f t="shared" si="17"/>
        <v>0</v>
      </c>
      <c r="QS66" s="126">
        <f t="shared" si="17"/>
        <v>0</v>
      </c>
      <c r="QT66" s="126">
        <f t="shared" si="17"/>
        <v>0</v>
      </c>
      <c r="QU66" s="126">
        <f t="shared" si="17"/>
        <v>0</v>
      </c>
      <c r="QV66" s="126">
        <f t="shared" si="17"/>
        <v>0</v>
      </c>
      <c r="QW66" s="126">
        <f t="shared" si="17"/>
        <v>0</v>
      </c>
      <c r="QX66" s="126">
        <f t="shared" si="17"/>
        <v>0</v>
      </c>
      <c r="QY66" s="126">
        <f t="shared" si="17"/>
        <v>0</v>
      </c>
      <c r="QZ66" s="126">
        <f t="shared" si="17"/>
        <v>0</v>
      </c>
      <c r="RA66" s="126">
        <f t="shared" si="17"/>
        <v>0</v>
      </c>
      <c r="RB66" s="126">
        <f t="shared" si="17"/>
        <v>0</v>
      </c>
      <c r="RC66" s="126">
        <f t="shared" si="17"/>
        <v>0</v>
      </c>
      <c r="RD66" s="126">
        <f t="shared" si="17"/>
        <v>0</v>
      </c>
      <c r="RE66" s="126">
        <f t="shared" si="17"/>
        <v>0</v>
      </c>
      <c r="RF66" s="126">
        <f t="shared" si="17"/>
        <v>0</v>
      </c>
      <c r="RG66" s="126">
        <f t="shared" si="17"/>
        <v>0</v>
      </c>
      <c r="RH66" s="126">
        <f t="shared" si="17"/>
        <v>0</v>
      </c>
      <c r="RI66" s="126">
        <f t="shared" si="17"/>
        <v>0</v>
      </c>
      <c r="RJ66" s="126">
        <f t="shared" si="17"/>
        <v>0</v>
      </c>
      <c r="RK66" s="126">
        <f t="shared" si="17"/>
        <v>0</v>
      </c>
      <c r="RL66" s="126">
        <f t="shared" si="17"/>
        <v>0</v>
      </c>
      <c r="RM66" s="126">
        <f t="shared" si="17"/>
        <v>0</v>
      </c>
      <c r="RN66" s="126">
        <f t="shared" si="17"/>
        <v>0</v>
      </c>
      <c r="RO66" s="126">
        <f t="shared" si="17"/>
        <v>0</v>
      </c>
      <c r="RP66" s="126">
        <f t="shared" si="17"/>
        <v>0</v>
      </c>
      <c r="RQ66" s="126">
        <f t="shared" si="17"/>
        <v>0</v>
      </c>
      <c r="RR66" s="126">
        <f t="shared" si="17"/>
        <v>0</v>
      </c>
    </row>
    <row r="67" spans="1:486" s="9" customFormat="1">
      <c r="B67" s="9" t="s">
        <v>225</v>
      </c>
      <c r="E67" s="126">
        <f t="shared" ref="E67:BP67" si="18">IF(E66=1,0,1)*IF(E65&lt;($E$65+$B$59*365),1,0)</f>
        <v>0</v>
      </c>
      <c r="F67" s="126">
        <f t="shared" si="18"/>
        <v>0</v>
      </c>
      <c r="G67" s="126">
        <f t="shared" si="18"/>
        <v>0</v>
      </c>
      <c r="H67" s="126">
        <f t="shared" si="18"/>
        <v>0</v>
      </c>
      <c r="I67" s="126">
        <f t="shared" si="18"/>
        <v>0</v>
      </c>
      <c r="J67" s="126">
        <f t="shared" si="18"/>
        <v>0</v>
      </c>
      <c r="K67" s="126">
        <f t="shared" si="18"/>
        <v>0</v>
      </c>
      <c r="L67" s="126">
        <f t="shared" si="18"/>
        <v>0</v>
      </c>
      <c r="M67" s="126">
        <f t="shared" si="18"/>
        <v>0</v>
      </c>
      <c r="N67" s="126">
        <f t="shared" si="18"/>
        <v>0</v>
      </c>
      <c r="O67" s="126">
        <f t="shared" si="18"/>
        <v>0</v>
      </c>
      <c r="P67" s="126">
        <f t="shared" si="18"/>
        <v>0</v>
      </c>
      <c r="Q67" s="126">
        <f t="shared" si="18"/>
        <v>0</v>
      </c>
      <c r="R67" s="126">
        <f t="shared" si="18"/>
        <v>0</v>
      </c>
      <c r="S67" s="126">
        <f t="shared" si="18"/>
        <v>0</v>
      </c>
      <c r="T67" s="126">
        <f t="shared" si="18"/>
        <v>0</v>
      </c>
      <c r="U67" s="126">
        <f t="shared" si="18"/>
        <v>0</v>
      </c>
      <c r="V67" s="126">
        <f t="shared" si="18"/>
        <v>0</v>
      </c>
      <c r="W67" s="126">
        <f t="shared" si="18"/>
        <v>0</v>
      </c>
      <c r="X67" s="126">
        <f t="shared" si="18"/>
        <v>0</v>
      </c>
      <c r="Y67" s="126">
        <f t="shared" si="18"/>
        <v>0</v>
      </c>
      <c r="Z67" s="126">
        <f t="shared" si="18"/>
        <v>0</v>
      </c>
      <c r="AA67" s="126">
        <f t="shared" si="18"/>
        <v>0</v>
      </c>
      <c r="AB67" s="126">
        <f t="shared" si="18"/>
        <v>0</v>
      </c>
      <c r="AC67" s="126">
        <f t="shared" si="18"/>
        <v>0</v>
      </c>
      <c r="AD67" s="126">
        <f t="shared" si="18"/>
        <v>0</v>
      </c>
      <c r="AE67" s="126">
        <f t="shared" si="18"/>
        <v>0</v>
      </c>
      <c r="AF67" s="126">
        <f t="shared" si="18"/>
        <v>0</v>
      </c>
      <c r="AG67" s="126">
        <f t="shared" si="18"/>
        <v>0</v>
      </c>
      <c r="AH67" s="126">
        <f t="shared" si="18"/>
        <v>0</v>
      </c>
      <c r="AI67" s="126">
        <f t="shared" si="18"/>
        <v>0</v>
      </c>
      <c r="AJ67" s="126">
        <f t="shared" si="18"/>
        <v>0</v>
      </c>
      <c r="AK67" s="126">
        <f t="shared" si="18"/>
        <v>0</v>
      </c>
      <c r="AL67" s="126">
        <f t="shared" si="18"/>
        <v>0</v>
      </c>
      <c r="AM67" s="126">
        <f t="shared" si="18"/>
        <v>0</v>
      </c>
      <c r="AN67" s="126">
        <f t="shared" si="18"/>
        <v>0</v>
      </c>
      <c r="AO67" s="126">
        <f t="shared" si="18"/>
        <v>0</v>
      </c>
      <c r="AP67" s="126">
        <f t="shared" si="18"/>
        <v>0</v>
      </c>
      <c r="AQ67" s="126">
        <f t="shared" si="18"/>
        <v>0</v>
      </c>
      <c r="AR67" s="126">
        <f t="shared" si="18"/>
        <v>0</v>
      </c>
      <c r="AS67" s="126">
        <f t="shared" si="18"/>
        <v>0</v>
      </c>
      <c r="AT67" s="126">
        <f t="shared" si="18"/>
        <v>0</v>
      </c>
      <c r="AU67" s="126">
        <f t="shared" si="18"/>
        <v>0</v>
      </c>
      <c r="AV67" s="126">
        <f t="shared" si="18"/>
        <v>0</v>
      </c>
      <c r="AW67" s="126">
        <f t="shared" si="18"/>
        <v>0</v>
      </c>
      <c r="AX67" s="126">
        <f t="shared" si="18"/>
        <v>0</v>
      </c>
      <c r="AY67" s="126">
        <f t="shared" si="18"/>
        <v>0</v>
      </c>
      <c r="AZ67" s="126">
        <f t="shared" si="18"/>
        <v>0</v>
      </c>
      <c r="BA67" s="126">
        <f t="shared" si="18"/>
        <v>0</v>
      </c>
      <c r="BB67" s="126">
        <f t="shared" si="18"/>
        <v>0</v>
      </c>
      <c r="BC67" s="126">
        <f t="shared" si="18"/>
        <v>0</v>
      </c>
      <c r="BD67" s="126">
        <f t="shared" si="18"/>
        <v>0</v>
      </c>
      <c r="BE67" s="126">
        <f t="shared" si="18"/>
        <v>0</v>
      </c>
      <c r="BF67" s="126">
        <f t="shared" si="18"/>
        <v>0</v>
      </c>
      <c r="BG67" s="126">
        <f t="shared" si="18"/>
        <v>0</v>
      </c>
      <c r="BH67" s="126">
        <f t="shared" si="18"/>
        <v>0</v>
      </c>
      <c r="BI67" s="126">
        <f t="shared" si="18"/>
        <v>0</v>
      </c>
      <c r="BJ67" s="126">
        <f t="shared" si="18"/>
        <v>0</v>
      </c>
      <c r="BK67" s="126">
        <f t="shared" si="18"/>
        <v>0</v>
      </c>
      <c r="BL67" s="126">
        <f t="shared" si="18"/>
        <v>0</v>
      </c>
      <c r="BM67" s="126">
        <f t="shared" si="18"/>
        <v>1</v>
      </c>
      <c r="BN67" s="126">
        <f t="shared" si="18"/>
        <v>1</v>
      </c>
      <c r="BO67" s="126">
        <f t="shared" si="18"/>
        <v>1</v>
      </c>
      <c r="BP67" s="126">
        <f t="shared" si="18"/>
        <v>1</v>
      </c>
      <c r="BQ67" s="126">
        <f t="shared" ref="BQ67:EB67" si="19">IF(BQ66=1,0,1)*IF(BQ65&lt;($E$65+$B$59*365),1,0)</f>
        <v>1</v>
      </c>
      <c r="BR67" s="126">
        <f t="shared" si="19"/>
        <v>1</v>
      </c>
      <c r="BS67" s="126">
        <f t="shared" si="19"/>
        <v>1</v>
      </c>
      <c r="BT67" s="126">
        <f t="shared" si="19"/>
        <v>1</v>
      </c>
      <c r="BU67" s="126">
        <f t="shared" si="19"/>
        <v>1</v>
      </c>
      <c r="BV67" s="126">
        <f t="shared" si="19"/>
        <v>1</v>
      </c>
      <c r="BW67" s="126">
        <f t="shared" si="19"/>
        <v>1</v>
      </c>
      <c r="BX67" s="126">
        <f t="shared" si="19"/>
        <v>1</v>
      </c>
      <c r="BY67" s="126">
        <f t="shared" si="19"/>
        <v>1</v>
      </c>
      <c r="BZ67" s="126">
        <f t="shared" si="19"/>
        <v>1</v>
      </c>
      <c r="CA67" s="126">
        <f t="shared" si="19"/>
        <v>1</v>
      </c>
      <c r="CB67" s="126">
        <f t="shared" si="19"/>
        <v>1</v>
      </c>
      <c r="CC67" s="126">
        <f t="shared" si="19"/>
        <v>1</v>
      </c>
      <c r="CD67" s="126">
        <f t="shared" si="19"/>
        <v>1</v>
      </c>
      <c r="CE67" s="126">
        <f t="shared" si="19"/>
        <v>1</v>
      </c>
      <c r="CF67" s="126">
        <f t="shared" si="19"/>
        <v>1</v>
      </c>
      <c r="CG67" s="126">
        <f t="shared" si="19"/>
        <v>1</v>
      </c>
      <c r="CH67" s="126">
        <f t="shared" si="19"/>
        <v>1</v>
      </c>
      <c r="CI67" s="126">
        <f t="shared" si="19"/>
        <v>1</v>
      </c>
      <c r="CJ67" s="126">
        <f t="shared" si="19"/>
        <v>1</v>
      </c>
      <c r="CK67" s="126">
        <f t="shared" si="19"/>
        <v>1</v>
      </c>
      <c r="CL67" s="126">
        <f t="shared" si="19"/>
        <v>1</v>
      </c>
      <c r="CM67" s="126">
        <f t="shared" si="19"/>
        <v>1</v>
      </c>
      <c r="CN67" s="126">
        <f t="shared" si="19"/>
        <v>1</v>
      </c>
      <c r="CO67" s="126">
        <f t="shared" si="19"/>
        <v>1</v>
      </c>
      <c r="CP67" s="126">
        <f t="shared" si="19"/>
        <v>1</v>
      </c>
      <c r="CQ67" s="126">
        <f t="shared" si="19"/>
        <v>1</v>
      </c>
      <c r="CR67" s="126">
        <f t="shared" si="19"/>
        <v>1</v>
      </c>
      <c r="CS67" s="126">
        <f t="shared" si="19"/>
        <v>1</v>
      </c>
      <c r="CT67" s="126">
        <f t="shared" si="19"/>
        <v>1</v>
      </c>
      <c r="CU67" s="126">
        <f t="shared" si="19"/>
        <v>1</v>
      </c>
      <c r="CV67" s="126">
        <f t="shared" si="19"/>
        <v>1</v>
      </c>
      <c r="CW67" s="126">
        <f t="shared" si="19"/>
        <v>1</v>
      </c>
      <c r="CX67" s="126">
        <f t="shared" si="19"/>
        <v>1</v>
      </c>
      <c r="CY67" s="126">
        <f t="shared" si="19"/>
        <v>1</v>
      </c>
      <c r="CZ67" s="126">
        <f t="shared" si="19"/>
        <v>1</v>
      </c>
      <c r="DA67" s="126">
        <f t="shared" si="19"/>
        <v>1</v>
      </c>
      <c r="DB67" s="126">
        <f t="shared" si="19"/>
        <v>1</v>
      </c>
      <c r="DC67" s="126">
        <f t="shared" si="19"/>
        <v>1</v>
      </c>
      <c r="DD67" s="126">
        <f t="shared" si="19"/>
        <v>1</v>
      </c>
      <c r="DE67" s="126">
        <f t="shared" si="19"/>
        <v>1</v>
      </c>
      <c r="DF67" s="126">
        <f t="shared" si="19"/>
        <v>1</v>
      </c>
      <c r="DG67" s="126">
        <f t="shared" si="19"/>
        <v>1</v>
      </c>
      <c r="DH67" s="126">
        <f t="shared" si="19"/>
        <v>1</v>
      </c>
      <c r="DI67" s="126">
        <f t="shared" si="19"/>
        <v>1</v>
      </c>
      <c r="DJ67" s="126">
        <f t="shared" si="19"/>
        <v>1</v>
      </c>
      <c r="DK67" s="126">
        <f t="shared" si="19"/>
        <v>1</v>
      </c>
      <c r="DL67" s="126">
        <f t="shared" si="19"/>
        <v>1</v>
      </c>
      <c r="DM67" s="126">
        <f t="shared" si="19"/>
        <v>1</v>
      </c>
      <c r="DN67" s="126">
        <f t="shared" si="19"/>
        <v>1</v>
      </c>
      <c r="DO67" s="126">
        <f t="shared" si="19"/>
        <v>1</v>
      </c>
      <c r="DP67" s="126">
        <f t="shared" si="19"/>
        <v>1</v>
      </c>
      <c r="DQ67" s="126">
        <f t="shared" si="19"/>
        <v>1</v>
      </c>
      <c r="DR67" s="126">
        <f t="shared" si="19"/>
        <v>1</v>
      </c>
      <c r="DS67" s="126">
        <f t="shared" si="19"/>
        <v>1</v>
      </c>
      <c r="DT67" s="126">
        <f t="shared" si="19"/>
        <v>1</v>
      </c>
      <c r="DU67" s="126">
        <f t="shared" si="19"/>
        <v>1</v>
      </c>
      <c r="DV67" s="126">
        <f t="shared" si="19"/>
        <v>1</v>
      </c>
      <c r="DW67" s="126">
        <f t="shared" si="19"/>
        <v>1</v>
      </c>
      <c r="DX67" s="126">
        <f t="shared" si="19"/>
        <v>1</v>
      </c>
      <c r="DY67" s="126">
        <f t="shared" si="19"/>
        <v>1</v>
      </c>
      <c r="DZ67" s="126">
        <f t="shared" si="19"/>
        <v>1</v>
      </c>
      <c r="EA67" s="126">
        <f t="shared" si="19"/>
        <v>1</v>
      </c>
      <c r="EB67" s="126">
        <f t="shared" si="19"/>
        <v>1</v>
      </c>
      <c r="EC67" s="126">
        <f t="shared" ref="EC67:GN67" si="20">IF(EC66=1,0,1)*IF(EC65&lt;($E$65+$B$59*365),1,0)</f>
        <v>1</v>
      </c>
      <c r="ED67" s="126">
        <f t="shared" si="20"/>
        <v>1</v>
      </c>
      <c r="EE67" s="126">
        <f t="shared" si="20"/>
        <v>1</v>
      </c>
      <c r="EF67" s="126">
        <f t="shared" si="20"/>
        <v>1</v>
      </c>
      <c r="EG67" s="126">
        <f t="shared" si="20"/>
        <v>1</v>
      </c>
      <c r="EH67" s="126">
        <f t="shared" si="20"/>
        <v>1</v>
      </c>
      <c r="EI67" s="126">
        <f t="shared" si="20"/>
        <v>1</v>
      </c>
      <c r="EJ67" s="126">
        <f t="shared" si="20"/>
        <v>1</v>
      </c>
      <c r="EK67" s="126">
        <f t="shared" si="20"/>
        <v>1</v>
      </c>
      <c r="EL67" s="126">
        <f t="shared" si="20"/>
        <v>1</v>
      </c>
      <c r="EM67" s="126">
        <f t="shared" si="20"/>
        <v>1</v>
      </c>
      <c r="EN67" s="126">
        <f t="shared" si="20"/>
        <v>1</v>
      </c>
      <c r="EO67" s="126">
        <f t="shared" si="20"/>
        <v>1</v>
      </c>
      <c r="EP67" s="126">
        <f t="shared" si="20"/>
        <v>1</v>
      </c>
      <c r="EQ67" s="126">
        <f t="shared" si="20"/>
        <v>1</v>
      </c>
      <c r="ER67" s="126">
        <f t="shared" si="20"/>
        <v>1</v>
      </c>
      <c r="ES67" s="126">
        <f t="shared" si="20"/>
        <v>1</v>
      </c>
      <c r="ET67" s="126">
        <f t="shared" si="20"/>
        <v>1</v>
      </c>
      <c r="EU67" s="126">
        <f t="shared" si="20"/>
        <v>1</v>
      </c>
      <c r="EV67" s="126">
        <f t="shared" si="20"/>
        <v>1</v>
      </c>
      <c r="EW67" s="126">
        <f t="shared" si="20"/>
        <v>1</v>
      </c>
      <c r="EX67" s="126">
        <f t="shared" si="20"/>
        <v>1</v>
      </c>
      <c r="EY67" s="126">
        <f t="shared" si="20"/>
        <v>1</v>
      </c>
      <c r="EZ67" s="126">
        <f t="shared" si="20"/>
        <v>1</v>
      </c>
      <c r="FA67" s="126">
        <f t="shared" si="20"/>
        <v>1</v>
      </c>
      <c r="FB67" s="126">
        <f t="shared" si="20"/>
        <v>1</v>
      </c>
      <c r="FC67" s="126">
        <f t="shared" si="20"/>
        <v>1</v>
      </c>
      <c r="FD67" s="126">
        <f t="shared" si="20"/>
        <v>1</v>
      </c>
      <c r="FE67" s="126">
        <f t="shared" si="20"/>
        <v>1</v>
      </c>
      <c r="FF67" s="126">
        <f t="shared" si="20"/>
        <v>1</v>
      </c>
      <c r="FG67" s="126">
        <f t="shared" si="20"/>
        <v>1</v>
      </c>
      <c r="FH67" s="126">
        <f t="shared" si="20"/>
        <v>1</v>
      </c>
      <c r="FI67" s="126">
        <f t="shared" si="20"/>
        <v>1</v>
      </c>
      <c r="FJ67" s="126">
        <f t="shared" si="20"/>
        <v>1</v>
      </c>
      <c r="FK67" s="126">
        <f t="shared" si="20"/>
        <v>1</v>
      </c>
      <c r="FL67" s="126">
        <f t="shared" si="20"/>
        <v>1</v>
      </c>
      <c r="FM67" s="126">
        <f t="shared" si="20"/>
        <v>1</v>
      </c>
      <c r="FN67" s="126">
        <f t="shared" si="20"/>
        <v>1</v>
      </c>
      <c r="FO67" s="126">
        <f t="shared" si="20"/>
        <v>1</v>
      </c>
      <c r="FP67" s="126">
        <f t="shared" si="20"/>
        <v>1</v>
      </c>
      <c r="FQ67" s="126">
        <f t="shared" si="20"/>
        <v>1</v>
      </c>
      <c r="FR67" s="126">
        <f t="shared" si="20"/>
        <v>1</v>
      </c>
      <c r="FS67" s="126">
        <f t="shared" si="20"/>
        <v>1</v>
      </c>
      <c r="FT67" s="126">
        <f t="shared" si="20"/>
        <v>1</v>
      </c>
      <c r="FU67" s="126">
        <f t="shared" si="20"/>
        <v>1</v>
      </c>
      <c r="FV67" s="126">
        <f t="shared" si="20"/>
        <v>1</v>
      </c>
      <c r="FW67" s="126">
        <f t="shared" si="20"/>
        <v>1</v>
      </c>
      <c r="FX67" s="126">
        <f t="shared" si="20"/>
        <v>1</v>
      </c>
      <c r="FY67" s="126">
        <f t="shared" si="20"/>
        <v>1</v>
      </c>
      <c r="FZ67" s="126">
        <f t="shared" si="20"/>
        <v>1</v>
      </c>
      <c r="GA67" s="126">
        <f t="shared" si="20"/>
        <v>1</v>
      </c>
      <c r="GB67" s="126">
        <f t="shared" si="20"/>
        <v>1</v>
      </c>
      <c r="GC67" s="126">
        <f t="shared" si="20"/>
        <v>1</v>
      </c>
      <c r="GD67" s="126">
        <f t="shared" si="20"/>
        <v>1</v>
      </c>
      <c r="GE67" s="126">
        <f t="shared" si="20"/>
        <v>1</v>
      </c>
      <c r="GF67" s="126">
        <f t="shared" si="20"/>
        <v>1</v>
      </c>
      <c r="GG67" s="126">
        <f t="shared" si="20"/>
        <v>1</v>
      </c>
      <c r="GH67" s="126">
        <f t="shared" si="20"/>
        <v>1</v>
      </c>
      <c r="GI67" s="126">
        <f t="shared" si="20"/>
        <v>1</v>
      </c>
      <c r="GJ67" s="126">
        <f t="shared" si="20"/>
        <v>1</v>
      </c>
      <c r="GK67" s="126">
        <f t="shared" si="20"/>
        <v>1</v>
      </c>
      <c r="GL67" s="126">
        <f t="shared" si="20"/>
        <v>1</v>
      </c>
      <c r="GM67" s="126">
        <f t="shared" si="20"/>
        <v>1</v>
      </c>
      <c r="GN67" s="126">
        <f t="shared" si="20"/>
        <v>1</v>
      </c>
      <c r="GO67" s="126">
        <f t="shared" ref="GO67:IZ67" si="21">IF(GO66=1,0,1)*IF(GO65&lt;($E$65+$B$59*365),1,0)</f>
        <v>1</v>
      </c>
      <c r="GP67" s="126">
        <f t="shared" si="21"/>
        <v>1</v>
      </c>
      <c r="GQ67" s="126">
        <f t="shared" si="21"/>
        <v>1</v>
      </c>
      <c r="GR67" s="126">
        <f t="shared" si="21"/>
        <v>1</v>
      </c>
      <c r="GS67" s="126">
        <f t="shared" si="21"/>
        <v>1</v>
      </c>
      <c r="GT67" s="126">
        <f t="shared" si="21"/>
        <v>1</v>
      </c>
      <c r="GU67" s="126">
        <f t="shared" si="21"/>
        <v>1</v>
      </c>
      <c r="GV67" s="126">
        <f t="shared" si="21"/>
        <v>1</v>
      </c>
      <c r="GW67" s="126">
        <f t="shared" si="21"/>
        <v>1</v>
      </c>
      <c r="GX67" s="126">
        <f t="shared" si="21"/>
        <v>1</v>
      </c>
      <c r="GY67" s="126">
        <f t="shared" si="21"/>
        <v>1</v>
      </c>
      <c r="GZ67" s="126">
        <f t="shared" si="21"/>
        <v>1</v>
      </c>
      <c r="HA67" s="126">
        <f t="shared" si="21"/>
        <v>1</v>
      </c>
      <c r="HB67" s="126">
        <f t="shared" si="21"/>
        <v>1</v>
      </c>
      <c r="HC67" s="126">
        <f t="shared" si="21"/>
        <v>1</v>
      </c>
      <c r="HD67" s="126">
        <f t="shared" si="21"/>
        <v>1</v>
      </c>
      <c r="HE67" s="126">
        <f t="shared" si="21"/>
        <v>1</v>
      </c>
      <c r="HF67" s="126">
        <f t="shared" si="21"/>
        <v>1</v>
      </c>
      <c r="HG67" s="126">
        <f t="shared" si="21"/>
        <v>1</v>
      </c>
      <c r="HH67" s="126">
        <f t="shared" si="21"/>
        <v>1</v>
      </c>
      <c r="HI67" s="126">
        <f t="shared" si="21"/>
        <v>1</v>
      </c>
      <c r="HJ67" s="126">
        <f t="shared" si="21"/>
        <v>1</v>
      </c>
      <c r="HK67" s="126">
        <f t="shared" si="21"/>
        <v>1</v>
      </c>
      <c r="HL67" s="126">
        <f t="shared" si="21"/>
        <v>1</v>
      </c>
      <c r="HM67" s="126">
        <f t="shared" si="21"/>
        <v>1</v>
      </c>
      <c r="HN67" s="126">
        <f t="shared" si="21"/>
        <v>1</v>
      </c>
      <c r="HO67" s="126">
        <f t="shared" si="21"/>
        <v>1</v>
      </c>
      <c r="HP67" s="126">
        <f t="shared" si="21"/>
        <v>1</v>
      </c>
      <c r="HQ67" s="126">
        <f t="shared" si="21"/>
        <v>1</v>
      </c>
      <c r="HR67" s="126">
        <f t="shared" si="21"/>
        <v>1</v>
      </c>
      <c r="HS67" s="126">
        <f t="shared" si="21"/>
        <v>1</v>
      </c>
      <c r="HT67" s="126">
        <f t="shared" si="21"/>
        <v>1</v>
      </c>
      <c r="HU67" s="126">
        <f t="shared" si="21"/>
        <v>1</v>
      </c>
      <c r="HV67" s="126">
        <f t="shared" si="21"/>
        <v>1</v>
      </c>
      <c r="HW67" s="126">
        <f t="shared" si="21"/>
        <v>1</v>
      </c>
      <c r="HX67" s="126">
        <f t="shared" si="21"/>
        <v>1</v>
      </c>
      <c r="HY67" s="126">
        <f t="shared" si="21"/>
        <v>1</v>
      </c>
      <c r="HZ67" s="126">
        <f t="shared" si="21"/>
        <v>1</v>
      </c>
      <c r="IA67" s="126">
        <f t="shared" si="21"/>
        <v>1</v>
      </c>
      <c r="IB67" s="126">
        <f t="shared" si="21"/>
        <v>1</v>
      </c>
      <c r="IC67" s="126">
        <f t="shared" si="21"/>
        <v>1</v>
      </c>
      <c r="ID67" s="126">
        <f t="shared" si="21"/>
        <v>1</v>
      </c>
      <c r="IE67" s="126">
        <f t="shared" si="21"/>
        <v>1</v>
      </c>
      <c r="IF67" s="126">
        <f t="shared" si="21"/>
        <v>1</v>
      </c>
      <c r="IG67" s="126">
        <f t="shared" si="21"/>
        <v>1</v>
      </c>
      <c r="IH67" s="126">
        <f t="shared" si="21"/>
        <v>1</v>
      </c>
      <c r="II67" s="126">
        <f t="shared" si="21"/>
        <v>1</v>
      </c>
      <c r="IJ67" s="126">
        <f t="shared" si="21"/>
        <v>1</v>
      </c>
      <c r="IK67" s="126">
        <f t="shared" si="21"/>
        <v>0</v>
      </c>
      <c r="IL67" s="126">
        <f t="shared" si="21"/>
        <v>0</v>
      </c>
      <c r="IM67" s="126">
        <f t="shared" si="21"/>
        <v>0</v>
      </c>
      <c r="IN67" s="126">
        <f t="shared" si="21"/>
        <v>0</v>
      </c>
      <c r="IO67" s="126">
        <f t="shared" si="21"/>
        <v>0</v>
      </c>
      <c r="IP67" s="126">
        <f t="shared" si="21"/>
        <v>0</v>
      </c>
      <c r="IQ67" s="126">
        <f t="shared" si="21"/>
        <v>0</v>
      </c>
      <c r="IR67" s="126">
        <f t="shared" si="21"/>
        <v>0</v>
      </c>
      <c r="IS67" s="126">
        <f t="shared" si="21"/>
        <v>0</v>
      </c>
      <c r="IT67" s="126">
        <f t="shared" si="21"/>
        <v>0</v>
      </c>
      <c r="IU67" s="126">
        <f t="shared" si="21"/>
        <v>0</v>
      </c>
      <c r="IV67" s="126">
        <f t="shared" si="21"/>
        <v>0</v>
      </c>
      <c r="IW67" s="126">
        <f t="shared" si="21"/>
        <v>0</v>
      </c>
      <c r="IX67" s="126">
        <f t="shared" si="21"/>
        <v>0</v>
      </c>
      <c r="IY67" s="126">
        <f t="shared" si="21"/>
        <v>0</v>
      </c>
      <c r="IZ67" s="126">
        <f t="shared" si="21"/>
        <v>0</v>
      </c>
      <c r="JA67" s="126">
        <f t="shared" ref="JA67:LL67" si="22">IF(JA66=1,0,1)*IF(JA65&lt;($E$65+$B$59*365),1,0)</f>
        <v>0</v>
      </c>
      <c r="JB67" s="126">
        <f t="shared" si="22"/>
        <v>0</v>
      </c>
      <c r="JC67" s="126">
        <f t="shared" si="22"/>
        <v>0</v>
      </c>
      <c r="JD67" s="126">
        <f t="shared" si="22"/>
        <v>0</v>
      </c>
      <c r="JE67" s="126">
        <f t="shared" si="22"/>
        <v>0</v>
      </c>
      <c r="JF67" s="126">
        <f t="shared" si="22"/>
        <v>0</v>
      </c>
      <c r="JG67" s="126">
        <f t="shared" si="22"/>
        <v>0</v>
      </c>
      <c r="JH67" s="126">
        <f t="shared" si="22"/>
        <v>0</v>
      </c>
      <c r="JI67" s="126">
        <f t="shared" si="22"/>
        <v>0</v>
      </c>
      <c r="JJ67" s="126">
        <f t="shared" si="22"/>
        <v>0</v>
      </c>
      <c r="JK67" s="126">
        <f t="shared" si="22"/>
        <v>0</v>
      </c>
      <c r="JL67" s="126">
        <f t="shared" si="22"/>
        <v>0</v>
      </c>
      <c r="JM67" s="126">
        <f t="shared" si="22"/>
        <v>0</v>
      </c>
      <c r="JN67" s="126">
        <f t="shared" si="22"/>
        <v>0</v>
      </c>
      <c r="JO67" s="126">
        <f t="shared" si="22"/>
        <v>0</v>
      </c>
      <c r="JP67" s="126">
        <f t="shared" si="22"/>
        <v>0</v>
      </c>
      <c r="JQ67" s="126">
        <f t="shared" si="22"/>
        <v>0</v>
      </c>
      <c r="JR67" s="126">
        <f t="shared" si="22"/>
        <v>0</v>
      </c>
      <c r="JS67" s="126">
        <f t="shared" si="22"/>
        <v>0</v>
      </c>
      <c r="JT67" s="126">
        <f t="shared" si="22"/>
        <v>0</v>
      </c>
      <c r="JU67" s="126">
        <f t="shared" si="22"/>
        <v>0</v>
      </c>
      <c r="JV67" s="126">
        <f t="shared" si="22"/>
        <v>0</v>
      </c>
      <c r="JW67" s="126">
        <f t="shared" si="22"/>
        <v>0</v>
      </c>
      <c r="JX67" s="126">
        <f t="shared" si="22"/>
        <v>0</v>
      </c>
      <c r="JY67" s="126">
        <f t="shared" si="22"/>
        <v>0</v>
      </c>
      <c r="JZ67" s="126">
        <f t="shared" si="22"/>
        <v>0</v>
      </c>
      <c r="KA67" s="126">
        <f t="shared" si="22"/>
        <v>0</v>
      </c>
      <c r="KB67" s="126">
        <f t="shared" si="22"/>
        <v>0</v>
      </c>
      <c r="KC67" s="126">
        <f t="shared" si="22"/>
        <v>0</v>
      </c>
      <c r="KD67" s="126">
        <f t="shared" si="22"/>
        <v>0</v>
      </c>
      <c r="KE67" s="126">
        <f t="shared" si="22"/>
        <v>0</v>
      </c>
      <c r="KF67" s="126">
        <f t="shared" si="22"/>
        <v>0</v>
      </c>
      <c r="KG67" s="126">
        <f t="shared" si="22"/>
        <v>0</v>
      </c>
      <c r="KH67" s="126">
        <f t="shared" si="22"/>
        <v>0</v>
      </c>
      <c r="KI67" s="126">
        <f t="shared" si="22"/>
        <v>0</v>
      </c>
      <c r="KJ67" s="126">
        <f t="shared" si="22"/>
        <v>0</v>
      </c>
      <c r="KK67" s="126">
        <f t="shared" si="22"/>
        <v>0</v>
      </c>
      <c r="KL67" s="126">
        <f t="shared" si="22"/>
        <v>0</v>
      </c>
      <c r="KM67" s="126">
        <f t="shared" si="22"/>
        <v>0</v>
      </c>
      <c r="KN67" s="126">
        <f t="shared" si="22"/>
        <v>0</v>
      </c>
      <c r="KO67" s="126">
        <f t="shared" si="22"/>
        <v>0</v>
      </c>
      <c r="KP67" s="126">
        <f t="shared" si="22"/>
        <v>0</v>
      </c>
      <c r="KQ67" s="126">
        <f t="shared" si="22"/>
        <v>0</v>
      </c>
      <c r="KR67" s="126">
        <f t="shared" si="22"/>
        <v>0</v>
      </c>
      <c r="KS67" s="126">
        <f t="shared" si="22"/>
        <v>0</v>
      </c>
      <c r="KT67" s="126">
        <f t="shared" si="22"/>
        <v>0</v>
      </c>
      <c r="KU67" s="126">
        <f t="shared" si="22"/>
        <v>0</v>
      </c>
      <c r="KV67" s="126">
        <f t="shared" si="22"/>
        <v>0</v>
      </c>
      <c r="KW67" s="126">
        <f t="shared" si="22"/>
        <v>0</v>
      </c>
      <c r="KX67" s="126">
        <f t="shared" si="22"/>
        <v>0</v>
      </c>
      <c r="KY67" s="126">
        <f t="shared" si="22"/>
        <v>0</v>
      </c>
      <c r="KZ67" s="126">
        <f t="shared" si="22"/>
        <v>0</v>
      </c>
      <c r="LA67" s="126">
        <f t="shared" si="22"/>
        <v>0</v>
      </c>
      <c r="LB67" s="126">
        <f t="shared" si="22"/>
        <v>0</v>
      </c>
      <c r="LC67" s="126">
        <f t="shared" si="22"/>
        <v>0</v>
      </c>
      <c r="LD67" s="126">
        <f t="shared" si="22"/>
        <v>0</v>
      </c>
      <c r="LE67" s="126">
        <f t="shared" si="22"/>
        <v>0</v>
      </c>
      <c r="LF67" s="126">
        <f t="shared" si="22"/>
        <v>0</v>
      </c>
      <c r="LG67" s="126">
        <f t="shared" si="22"/>
        <v>0</v>
      </c>
      <c r="LH67" s="126">
        <f t="shared" si="22"/>
        <v>0</v>
      </c>
      <c r="LI67" s="126">
        <f t="shared" si="22"/>
        <v>0</v>
      </c>
      <c r="LJ67" s="126">
        <f t="shared" si="22"/>
        <v>0</v>
      </c>
      <c r="LK67" s="126">
        <f t="shared" si="22"/>
        <v>0</v>
      </c>
      <c r="LL67" s="126">
        <f t="shared" si="22"/>
        <v>0</v>
      </c>
      <c r="LM67" s="126">
        <f t="shared" ref="LM67:NX67" si="23">IF(LM66=1,0,1)*IF(LM65&lt;($E$65+$B$59*365),1,0)</f>
        <v>0</v>
      </c>
      <c r="LN67" s="126">
        <f t="shared" si="23"/>
        <v>0</v>
      </c>
      <c r="LO67" s="126">
        <f t="shared" si="23"/>
        <v>0</v>
      </c>
      <c r="LP67" s="126">
        <f t="shared" si="23"/>
        <v>0</v>
      </c>
      <c r="LQ67" s="126">
        <f t="shared" si="23"/>
        <v>0</v>
      </c>
      <c r="LR67" s="126">
        <f t="shared" si="23"/>
        <v>0</v>
      </c>
      <c r="LS67" s="126">
        <f t="shared" si="23"/>
        <v>0</v>
      </c>
      <c r="LT67" s="126">
        <f t="shared" si="23"/>
        <v>0</v>
      </c>
      <c r="LU67" s="126">
        <f t="shared" si="23"/>
        <v>0</v>
      </c>
      <c r="LV67" s="126">
        <f t="shared" si="23"/>
        <v>0</v>
      </c>
      <c r="LW67" s="126">
        <f t="shared" si="23"/>
        <v>0</v>
      </c>
      <c r="LX67" s="126">
        <f t="shared" si="23"/>
        <v>0</v>
      </c>
      <c r="LY67" s="126">
        <f t="shared" si="23"/>
        <v>0</v>
      </c>
      <c r="LZ67" s="126">
        <f t="shared" si="23"/>
        <v>0</v>
      </c>
      <c r="MA67" s="126">
        <f t="shared" si="23"/>
        <v>0</v>
      </c>
      <c r="MB67" s="126">
        <f t="shared" si="23"/>
        <v>0</v>
      </c>
      <c r="MC67" s="126">
        <f t="shared" si="23"/>
        <v>0</v>
      </c>
      <c r="MD67" s="126">
        <f t="shared" si="23"/>
        <v>0</v>
      </c>
      <c r="ME67" s="126">
        <f t="shared" si="23"/>
        <v>0</v>
      </c>
      <c r="MF67" s="126">
        <f t="shared" si="23"/>
        <v>0</v>
      </c>
      <c r="MG67" s="126">
        <f t="shared" si="23"/>
        <v>0</v>
      </c>
      <c r="MH67" s="126">
        <f t="shared" si="23"/>
        <v>0</v>
      </c>
      <c r="MI67" s="126">
        <f t="shared" si="23"/>
        <v>0</v>
      </c>
      <c r="MJ67" s="126">
        <f t="shared" si="23"/>
        <v>0</v>
      </c>
      <c r="MK67" s="126">
        <f t="shared" si="23"/>
        <v>0</v>
      </c>
      <c r="ML67" s="126">
        <f t="shared" si="23"/>
        <v>0</v>
      </c>
      <c r="MM67" s="126">
        <f t="shared" si="23"/>
        <v>0</v>
      </c>
      <c r="MN67" s="126">
        <f t="shared" si="23"/>
        <v>0</v>
      </c>
      <c r="MO67" s="126">
        <f t="shared" si="23"/>
        <v>0</v>
      </c>
      <c r="MP67" s="126">
        <f t="shared" si="23"/>
        <v>0</v>
      </c>
      <c r="MQ67" s="126">
        <f t="shared" si="23"/>
        <v>0</v>
      </c>
      <c r="MR67" s="126">
        <f t="shared" si="23"/>
        <v>0</v>
      </c>
      <c r="MS67" s="126">
        <f t="shared" si="23"/>
        <v>0</v>
      </c>
      <c r="MT67" s="126">
        <f t="shared" si="23"/>
        <v>0</v>
      </c>
      <c r="MU67" s="126">
        <f t="shared" si="23"/>
        <v>0</v>
      </c>
      <c r="MV67" s="126">
        <f t="shared" si="23"/>
        <v>0</v>
      </c>
      <c r="MW67" s="126">
        <f t="shared" si="23"/>
        <v>0</v>
      </c>
      <c r="MX67" s="126">
        <f t="shared" si="23"/>
        <v>0</v>
      </c>
      <c r="MY67" s="126">
        <f t="shared" si="23"/>
        <v>0</v>
      </c>
      <c r="MZ67" s="126">
        <f t="shared" si="23"/>
        <v>0</v>
      </c>
      <c r="NA67" s="126">
        <f t="shared" si="23"/>
        <v>0</v>
      </c>
      <c r="NB67" s="126">
        <f t="shared" si="23"/>
        <v>0</v>
      </c>
      <c r="NC67" s="126">
        <f t="shared" si="23"/>
        <v>0</v>
      </c>
      <c r="ND67" s="126">
        <f t="shared" si="23"/>
        <v>0</v>
      </c>
      <c r="NE67" s="126">
        <f t="shared" si="23"/>
        <v>0</v>
      </c>
      <c r="NF67" s="126">
        <f t="shared" si="23"/>
        <v>0</v>
      </c>
      <c r="NG67" s="126">
        <f t="shared" si="23"/>
        <v>0</v>
      </c>
      <c r="NH67" s="126">
        <f t="shared" si="23"/>
        <v>0</v>
      </c>
      <c r="NI67" s="126">
        <f t="shared" si="23"/>
        <v>0</v>
      </c>
      <c r="NJ67" s="126">
        <f t="shared" si="23"/>
        <v>0</v>
      </c>
      <c r="NK67" s="126">
        <f t="shared" si="23"/>
        <v>0</v>
      </c>
      <c r="NL67" s="126">
        <f t="shared" si="23"/>
        <v>0</v>
      </c>
      <c r="NM67" s="126">
        <f t="shared" si="23"/>
        <v>0</v>
      </c>
      <c r="NN67" s="126">
        <f t="shared" si="23"/>
        <v>0</v>
      </c>
      <c r="NO67" s="126">
        <f t="shared" si="23"/>
        <v>0</v>
      </c>
      <c r="NP67" s="126">
        <f t="shared" si="23"/>
        <v>0</v>
      </c>
      <c r="NQ67" s="126">
        <f t="shared" si="23"/>
        <v>0</v>
      </c>
      <c r="NR67" s="126">
        <f t="shared" si="23"/>
        <v>0</v>
      </c>
      <c r="NS67" s="126">
        <f t="shared" si="23"/>
        <v>0</v>
      </c>
      <c r="NT67" s="126">
        <f t="shared" si="23"/>
        <v>0</v>
      </c>
      <c r="NU67" s="126">
        <f t="shared" si="23"/>
        <v>0</v>
      </c>
      <c r="NV67" s="126">
        <f t="shared" si="23"/>
        <v>0</v>
      </c>
      <c r="NW67" s="126">
        <f t="shared" si="23"/>
        <v>0</v>
      </c>
      <c r="NX67" s="126">
        <f t="shared" si="23"/>
        <v>0</v>
      </c>
      <c r="NY67" s="126">
        <f t="shared" ref="NY67:QJ67" si="24">IF(NY66=1,0,1)*IF(NY65&lt;($E$65+$B$59*365),1,0)</f>
        <v>0</v>
      </c>
      <c r="NZ67" s="126">
        <f t="shared" si="24"/>
        <v>0</v>
      </c>
      <c r="OA67" s="126">
        <f t="shared" si="24"/>
        <v>0</v>
      </c>
      <c r="OB67" s="126">
        <f t="shared" si="24"/>
        <v>0</v>
      </c>
      <c r="OC67" s="126">
        <f t="shared" si="24"/>
        <v>0</v>
      </c>
      <c r="OD67" s="126">
        <f t="shared" si="24"/>
        <v>0</v>
      </c>
      <c r="OE67" s="126">
        <f t="shared" si="24"/>
        <v>0</v>
      </c>
      <c r="OF67" s="126">
        <f t="shared" si="24"/>
        <v>0</v>
      </c>
      <c r="OG67" s="126">
        <f t="shared" si="24"/>
        <v>0</v>
      </c>
      <c r="OH67" s="126">
        <f t="shared" si="24"/>
        <v>0</v>
      </c>
      <c r="OI67" s="126">
        <f t="shared" si="24"/>
        <v>0</v>
      </c>
      <c r="OJ67" s="126">
        <f t="shared" si="24"/>
        <v>0</v>
      </c>
      <c r="OK67" s="126">
        <f t="shared" si="24"/>
        <v>0</v>
      </c>
      <c r="OL67" s="126">
        <f t="shared" si="24"/>
        <v>0</v>
      </c>
      <c r="OM67" s="126">
        <f t="shared" si="24"/>
        <v>0</v>
      </c>
      <c r="ON67" s="126">
        <f t="shared" si="24"/>
        <v>0</v>
      </c>
      <c r="OO67" s="126">
        <f t="shared" si="24"/>
        <v>0</v>
      </c>
      <c r="OP67" s="126">
        <f t="shared" si="24"/>
        <v>0</v>
      </c>
      <c r="OQ67" s="126">
        <f t="shared" si="24"/>
        <v>0</v>
      </c>
      <c r="OR67" s="126">
        <f t="shared" si="24"/>
        <v>0</v>
      </c>
      <c r="OS67" s="126">
        <f t="shared" si="24"/>
        <v>0</v>
      </c>
      <c r="OT67" s="126">
        <f t="shared" si="24"/>
        <v>0</v>
      </c>
      <c r="OU67" s="126">
        <f t="shared" si="24"/>
        <v>0</v>
      </c>
      <c r="OV67" s="126">
        <f t="shared" si="24"/>
        <v>0</v>
      </c>
      <c r="OW67" s="126">
        <f t="shared" si="24"/>
        <v>0</v>
      </c>
      <c r="OX67" s="126">
        <f t="shared" si="24"/>
        <v>0</v>
      </c>
      <c r="OY67" s="126">
        <f t="shared" si="24"/>
        <v>0</v>
      </c>
      <c r="OZ67" s="126">
        <f t="shared" si="24"/>
        <v>0</v>
      </c>
      <c r="PA67" s="126">
        <f t="shared" si="24"/>
        <v>0</v>
      </c>
      <c r="PB67" s="126">
        <f t="shared" si="24"/>
        <v>0</v>
      </c>
      <c r="PC67" s="126">
        <f t="shared" si="24"/>
        <v>0</v>
      </c>
      <c r="PD67" s="126">
        <f t="shared" si="24"/>
        <v>0</v>
      </c>
      <c r="PE67" s="126">
        <f t="shared" si="24"/>
        <v>0</v>
      </c>
      <c r="PF67" s="126">
        <f t="shared" si="24"/>
        <v>0</v>
      </c>
      <c r="PG67" s="126">
        <f t="shared" si="24"/>
        <v>0</v>
      </c>
      <c r="PH67" s="126">
        <f t="shared" si="24"/>
        <v>0</v>
      </c>
      <c r="PI67" s="126">
        <f t="shared" si="24"/>
        <v>0</v>
      </c>
      <c r="PJ67" s="126">
        <f t="shared" si="24"/>
        <v>0</v>
      </c>
      <c r="PK67" s="126">
        <f t="shared" si="24"/>
        <v>0</v>
      </c>
      <c r="PL67" s="126">
        <f t="shared" si="24"/>
        <v>0</v>
      </c>
      <c r="PM67" s="126">
        <f t="shared" si="24"/>
        <v>0</v>
      </c>
      <c r="PN67" s="126">
        <f t="shared" si="24"/>
        <v>0</v>
      </c>
      <c r="PO67" s="126">
        <f t="shared" si="24"/>
        <v>0</v>
      </c>
      <c r="PP67" s="126">
        <f t="shared" si="24"/>
        <v>0</v>
      </c>
      <c r="PQ67" s="126">
        <f t="shared" si="24"/>
        <v>0</v>
      </c>
      <c r="PR67" s="126">
        <f t="shared" si="24"/>
        <v>0</v>
      </c>
      <c r="PS67" s="126">
        <f t="shared" si="24"/>
        <v>0</v>
      </c>
      <c r="PT67" s="126">
        <f t="shared" si="24"/>
        <v>0</v>
      </c>
      <c r="PU67" s="126">
        <f t="shared" si="24"/>
        <v>0</v>
      </c>
      <c r="PV67" s="126">
        <f t="shared" si="24"/>
        <v>0</v>
      </c>
      <c r="PW67" s="126">
        <f t="shared" si="24"/>
        <v>0</v>
      </c>
      <c r="PX67" s="126">
        <f t="shared" si="24"/>
        <v>0</v>
      </c>
      <c r="PY67" s="126">
        <f t="shared" si="24"/>
        <v>0</v>
      </c>
      <c r="PZ67" s="126">
        <f t="shared" si="24"/>
        <v>0</v>
      </c>
      <c r="QA67" s="126">
        <f t="shared" si="24"/>
        <v>0</v>
      </c>
      <c r="QB67" s="126">
        <f t="shared" si="24"/>
        <v>0</v>
      </c>
      <c r="QC67" s="126">
        <f t="shared" si="24"/>
        <v>0</v>
      </c>
      <c r="QD67" s="126">
        <f t="shared" si="24"/>
        <v>0</v>
      </c>
      <c r="QE67" s="126">
        <f t="shared" si="24"/>
        <v>0</v>
      </c>
      <c r="QF67" s="126">
        <f t="shared" si="24"/>
        <v>0</v>
      </c>
      <c r="QG67" s="126">
        <f t="shared" si="24"/>
        <v>0</v>
      </c>
      <c r="QH67" s="126">
        <f t="shared" si="24"/>
        <v>0</v>
      </c>
      <c r="QI67" s="126">
        <f t="shared" si="24"/>
        <v>0</v>
      </c>
      <c r="QJ67" s="126">
        <f t="shared" si="24"/>
        <v>0</v>
      </c>
      <c r="QK67" s="126">
        <f t="shared" ref="QK67:RR67" si="25">IF(QK66=1,0,1)*IF(QK65&lt;($E$65+$B$59*365),1,0)</f>
        <v>0</v>
      </c>
      <c r="QL67" s="126">
        <f t="shared" si="25"/>
        <v>0</v>
      </c>
      <c r="QM67" s="126">
        <f t="shared" si="25"/>
        <v>0</v>
      </c>
      <c r="QN67" s="126">
        <f t="shared" si="25"/>
        <v>0</v>
      </c>
      <c r="QO67" s="126">
        <f t="shared" si="25"/>
        <v>0</v>
      </c>
      <c r="QP67" s="126">
        <f t="shared" si="25"/>
        <v>0</v>
      </c>
      <c r="QQ67" s="126">
        <f t="shared" si="25"/>
        <v>0</v>
      </c>
      <c r="QR67" s="126">
        <f t="shared" si="25"/>
        <v>0</v>
      </c>
      <c r="QS67" s="126">
        <f t="shared" si="25"/>
        <v>0</v>
      </c>
      <c r="QT67" s="126">
        <f t="shared" si="25"/>
        <v>0</v>
      </c>
      <c r="QU67" s="126">
        <f t="shared" si="25"/>
        <v>0</v>
      </c>
      <c r="QV67" s="126">
        <f t="shared" si="25"/>
        <v>0</v>
      </c>
      <c r="QW67" s="126">
        <f t="shared" si="25"/>
        <v>0</v>
      </c>
      <c r="QX67" s="126">
        <f t="shared" si="25"/>
        <v>0</v>
      </c>
      <c r="QY67" s="126">
        <f t="shared" si="25"/>
        <v>0</v>
      </c>
      <c r="QZ67" s="126">
        <f t="shared" si="25"/>
        <v>0</v>
      </c>
      <c r="RA67" s="126">
        <f t="shared" si="25"/>
        <v>0</v>
      </c>
      <c r="RB67" s="126">
        <f t="shared" si="25"/>
        <v>0</v>
      </c>
      <c r="RC67" s="126">
        <f t="shared" si="25"/>
        <v>0</v>
      </c>
      <c r="RD67" s="126">
        <f t="shared" si="25"/>
        <v>0</v>
      </c>
      <c r="RE67" s="126">
        <f t="shared" si="25"/>
        <v>0</v>
      </c>
      <c r="RF67" s="126">
        <f t="shared" si="25"/>
        <v>0</v>
      </c>
      <c r="RG67" s="126">
        <f t="shared" si="25"/>
        <v>0</v>
      </c>
      <c r="RH67" s="126">
        <f t="shared" si="25"/>
        <v>0</v>
      </c>
      <c r="RI67" s="126">
        <f t="shared" si="25"/>
        <v>0</v>
      </c>
      <c r="RJ67" s="126">
        <f t="shared" si="25"/>
        <v>0</v>
      </c>
      <c r="RK67" s="126">
        <f t="shared" si="25"/>
        <v>0</v>
      </c>
      <c r="RL67" s="126">
        <f t="shared" si="25"/>
        <v>0</v>
      </c>
      <c r="RM67" s="126">
        <f t="shared" si="25"/>
        <v>0</v>
      </c>
      <c r="RN67" s="126">
        <f t="shared" si="25"/>
        <v>0</v>
      </c>
      <c r="RO67" s="126">
        <f t="shared" si="25"/>
        <v>0</v>
      </c>
      <c r="RP67" s="126">
        <f t="shared" si="25"/>
        <v>0</v>
      </c>
      <c r="RQ67" s="126">
        <f t="shared" si="25"/>
        <v>0</v>
      </c>
      <c r="RR67" s="126">
        <f t="shared" si="25"/>
        <v>0</v>
      </c>
    </row>
    <row r="68" spans="1:486" s="9" customFormat="1">
      <c r="A68" s="289" t="s">
        <v>447</v>
      </c>
      <c r="B68" s="39" t="s">
        <v>229</v>
      </c>
      <c r="E68" s="127">
        <f t="shared" ref="E68" si="26">B50</f>
        <v>0.14963461538461539</v>
      </c>
      <c r="F68" s="127">
        <f>$B50*(1+$C$4)^(SUM($F$66:F$66)+(SUM($F$67:F$67)))</f>
        <v>0.14963461538461539</v>
      </c>
      <c r="G68" s="127">
        <f>$B50*(1+$C$4)^(SUM($F$66:G$66)+(SUM($F$67:G$67)))</f>
        <v>0.14963461538461539</v>
      </c>
      <c r="H68" s="127">
        <f>$B50*(1+$C$4)^(SUM($F$66:H$66)+(SUM($F$67:H$67)))</f>
        <v>0.14963461538461539</v>
      </c>
      <c r="I68" s="127">
        <f>$B50*(1+$C$4)^(SUM($F$66:I$66)+(SUM($F$67:I$67)))</f>
        <v>0.14963461538461539</v>
      </c>
      <c r="J68" s="127">
        <f>$B50*(1+$C$4)^(SUM($F$66:J$66)+(SUM($F$67:J$67)))</f>
        <v>0.14963461538461539</v>
      </c>
      <c r="K68" s="127">
        <f>$B50*(1+$C$4)^(SUM($F$66:K$66)+(SUM($F$67:K$67)))</f>
        <v>0.14963461538461539</v>
      </c>
      <c r="L68" s="127">
        <f>$B50*(1+$C$4)^(SUM($F$66:L$66)+(SUM($F$67:L$67)))</f>
        <v>0.14963461538461539</v>
      </c>
      <c r="M68" s="127">
        <f>$B50*(1+$C$4)^(SUM($F$66:M$66)+(SUM($F$67:M$67)))</f>
        <v>0.14963461538461539</v>
      </c>
      <c r="N68" s="127">
        <f>$B50*(1+$C$4)^(SUM($F$66:N$66)+(SUM($F$67:N$67)))</f>
        <v>0.14963461538461539</v>
      </c>
      <c r="O68" s="127">
        <f>$B50*(1+$C$4)^(SUM($F$66:O$66)+(SUM($F$67:O$67)))</f>
        <v>0.14963461538461539</v>
      </c>
      <c r="P68" s="127">
        <f>$B50*(1+$C$4)^(SUM($F$66:P$66)+(SUM($F$67:P$67)))</f>
        <v>0.14963461538461539</v>
      </c>
      <c r="Q68" s="127">
        <f>$B50*(1+$C$4)^(SUM($F$66:Q$66)+(SUM($F$67:Q$67)))</f>
        <v>0.14963461538461539</v>
      </c>
      <c r="R68" s="127">
        <f>$B50*(1+$C$4)^(SUM($F$66:R$66)+(SUM($F$67:R$67)))</f>
        <v>0.14963461538461539</v>
      </c>
      <c r="S68" s="127">
        <f>$B50*(1+$C$4)^(SUM($F$66:S$66)+(SUM($F$67:S$67)))</f>
        <v>0.14963461538461539</v>
      </c>
      <c r="T68" s="127">
        <f>$B50*(1+$C$4)^(SUM($F$66:T$66)+(SUM($F$67:T$67)))</f>
        <v>0.14963461538461539</v>
      </c>
      <c r="U68" s="127">
        <f>$B50*(1+$C$4)^(SUM($F$66:U$66)+(SUM($F$67:U$67)))</f>
        <v>0.14963461538461539</v>
      </c>
      <c r="V68" s="127">
        <f>$B50*(1+$C$4)^(SUM($F$66:V$66)+(SUM($F$67:V$67)))</f>
        <v>0.14963461538461539</v>
      </c>
      <c r="W68" s="127">
        <f>$B50*(1+$C$4)^(SUM($F$66:W$66)+(SUM($F$67:W$67)))</f>
        <v>0.14963461538461539</v>
      </c>
      <c r="X68" s="127">
        <f>$B50*(1+$C$4)^(SUM($F$66:X$66)+(SUM($F$67:X$67)))</f>
        <v>0.14963461538461539</v>
      </c>
      <c r="Y68" s="127">
        <f>$B50*(1+$C$4)^(SUM($F$66:Y$66)+(SUM($F$67:Y$67)))</f>
        <v>0.14963461538461539</v>
      </c>
      <c r="Z68" s="127">
        <f>$B50*(1+$C$4)^(SUM($F$66:Z$66)+(SUM($F$67:Z$67)))</f>
        <v>0.14963461538461539</v>
      </c>
      <c r="AA68" s="127">
        <f>$B50*(1+$C$4)^(SUM($F$66:AA$66)+(SUM($F$67:AA$67)))</f>
        <v>0.14963461538461539</v>
      </c>
      <c r="AB68" s="127">
        <f>$B50*(1+$C$4)^(SUM($F$66:AB$66)+(SUM($F$67:AB$67)))</f>
        <v>0.14963461538461539</v>
      </c>
      <c r="AC68" s="127">
        <f>$B50*(1+$C$4)^(SUM($F$66:AC$66)+(SUM($F$67:AC$67)))</f>
        <v>0.14963461538461539</v>
      </c>
      <c r="AD68" s="127">
        <f>$B50*(1+$C$4)^(SUM($F$66:AD$66)+(SUM($F$67:AD$67)))</f>
        <v>0.14963461538461539</v>
      </c>
      <c r="AE68" s="127">
        <f>$B50*(1+$C$4)^(SUM($F$66:AE$66)+(SUM($F$67:AE$67)))</f>
        <v>0.14963461538461539</v>
      </c>
      <c r="AF68" s="127">
        <f>$B50*(1+$C$4)^(SUM($F$66:AF$66)+(SUM($F$67:AF$67)))</f>
        <v>0.14963461538461539</v>
      </c>
      <c r="AG68" s="127">
        <f>$B50*(1+$C$4)^(SUM($F$66:AG$66)+(SUM($F$67:AG$67)))</f>
        <v>0.14963461538461539</v>
      </c>
      <c r="AH68" s="127">
        <f>$B50*(1+$C$4)^(SUM($F$66:AH$66)+(SUM($F$67:AH$67)))</f>
        <v>0.14963461538461539</v>
      </c>
      <c r="AI68" s="127">
        <f>$B50*(1+$C$4)^(SUM($F$66:AI$66)+(SUM($F$67:AI$67)))</f>
        <v>0.14963461538461539</v>
      </c>
      <c r="AJ68" s="127">
        <f>$B50*(1+$C$4)^(SUM($F$66:AJ$66)+(SUM($F$67:AJ$67)))</f>
        <v>0.14963461538461539</v>
      </c>
      <c r="AK68" s="127">
        <f>$B50*(1+$C$4)^(SUM($F$66:AK$66)+(SUM($F$67:AK$67)))</f>
        <v>0.14963461538461539</v>
      </c>
      <c r="AL68" s="127">
        <f>$B50*(1+$C$4)^(SUM($F$66:AL$66)+(SUM($F$67:AL$67)))</f>
        <v>0.14963461538461539</v>
      </c>
      <c r="AM68" s="127">
        <f>$B50*(1+$C$4)^(SUM($F$66:AM$66)+(SUM($F$67:AM$67)))</f>
        <v>0.14963461538461539</v>
      </c>
      <c r="AN68" s="127">
        <f>$B50*(1+$C$4)^(SUM($F$66:AN$66)+(SUM($F$67:AN$67)))</f>
        <v>0.14963461538461539</v>
      </c>
      <c r="AO68" s="127">
        <f>$B50*(1+$C$4)^(SUM($F$66:AO$66)+(SUM($F$67:AO$67)))</f>
        <v>0.14963461538461539</v>
      </c>
      <c r="AP68" s="127">
        <f>$B50*(1+$C$4)^(SUM($F$66:AP$66)+(SUM($F$67:AP$67)))</f>
        <v>0.14963461538461539</v>
      </c>
      <c r="AQ68" s="127">
        <f>$B50*(1+$C$4)^(SUM($F$66:AQ$66)+(SUM($F$67:AQ$67)))</f>
        <v>0.14963461538461539</v>
      </c>
      <c r="AR68" s="127">
        <f>$B50*(1+$C$4)^(SUM($F$66:AR$66)+(SUM($F$67:AR$67)))</f>
        <v>0.14963461538461539</v>
      </c>
      <c r="AS68" s="127">
        <f>$B50*(1+$C$4)^(SUM($F$66:AS$66)+(SUM($F$67:AS$67)))</f>
        <v>0.14963461538461539</v>
      </c>
      <c r="AT68" s="127">
        <f>$B50*(1+$C$4)^(SUM($F$66:AT$66)+(SUM($F$67:AT$67)))</f>
        <v>0.14963461538461539</v>
      </c>
      <c r="AU68" s="127">
        <f>$B50*(1+$C$4)^(SUM($F$66:AU$66)+(SUM($F$67:AU$67)))</f>
        <v>0.14963461538461539</v>
      </c>
      <c r="AV68" s="127">
        <f>$B50*(1+$C$4)^(SUM($F$66:AV$66)+(SUM($F$67:AV$67)))</f>
        <v>0.14963461538461539</v>
      </c>
      <c r="AW68" s="127">
        <f>$B50*(1+$C$4)^(SUM($F$66:AW$66)+(SUM($F$67:AW$67)))</f>
        <v>0.14963461538461539</v>
      </c>
      <c r="AX68" s="127">
        <f>$B50*(1+$C$4)^(SUM($F$66:AX$66)+(SUM($F$67:AX$67)))</f>
        <v>0.14963461538461539</v>
      </c>
      <c r="AY68" s="127">
        <f>$B50*(1+$C$4)^(SUM($F$66:AY$66)+(SUM($F$67:AY$67)))</f>
        <v>0.14963461538461539</v>
      </c>
      <c r="AZ68" s="127">
        <f>$B50*(1+$C$4)^(SUM($F$66:AZ$66)+(SUM($F$67:AZ$67)))</f>
        <v>0.14963461538461539</v>
      </c>
      <c r="BA68" s="127">
        <f>$B50*(1+$C$4)^(SUM($F$66:BA$66)+(SUM($F$67:BA$67)))</f>
        <v>0.14963461538461539</v>
      </c>
      <c r="BB68" s="127">
        <f>$B50*(1+$C$4)^(SUM($F$66:BB$66)+(SUM($F$67:BB$67)))</f>
        <v>0.14963461538461539</v>
      </c>
      <c r="BC68" s="127">
        <f>$B50*(1+$C$4)^(SUM($F$66:BC$66)+(SUM($F$67:BC$67)))</f>
        <v>0.14963461538461539</v>
      </c>
      <c r="BD68" s="127">
        <f>$B50*(1+$C$4)^(SUM($F$66:BD$66)+(SUM($F$67:BD$67)))</f>
        <v>0.14963461538461539</v>
      </c>
      <c r="BE68" s="127">
        <f>$B50*(1+$C$4)^(SUM($F$66:BE$66)+(SUM($F$67:BE$67)))</f>
        <v>0.14963461538461539</v>
      </c>
      <c r="BF68" s="127">
        <f>$B50*(1+$C$4)^(SUM($F$66:BF$66)+(SUM($F$67:BF$67)))</f>
        <v>0.14963461538461539</v>
      </c>
      <c r="BG68" s="127">
        <f>$B50*(1+$C$4)^(SUM($F$66:BG$66)+(SUM($F$67:BG$67)))</f>
        <v>0.14963461538461539</v>
      </c>
      <c r="BH68" s="127">
        <f>$B50*(1+$C$4)^(SUM($F$66:BH$66)+(SUM($F$67:BH$67)))</f>
        <v>0.14963461538461539</v>
      </c>
      <c r="BI68" s="127">
        <f>$B50*(1+$C$4)^(SUM($F$66:BI$66)+(SUM($F$67:BI$67)))</f>
        <v>0.14963461538461539</v>
      </c>
      <c r="BJ68" s="127">
        <f>$B50*(1+$C$4)^(SUM($F$66:BJ$66)+(SUM($F$67:BJ$67)))</f>
        <v>0.14963461538461539</v>
      </c>
      <c r="BK68" s="127">
        <f>$B50*(1+$C$4)^(SUM($F$66:BK$66)+(SUM($F$67:BK$67)))</f>
        <v>0.14963461538461539</v>
      </c>
      <c r="BL68" s="127">
        <f>$B50*(1+$C$4)^(SUM($F$66:BL$66)+(SUM($F$67:BL$67)))</f>
        <v>0.14963461538461539</v>
      </c>
      <c r="BM68" s="127">
        <f>$B50*(1+$C$4)^(SUM($F$66:BM$66)+(SUM($F$67:BM$67)))</f>
        <v>0.14963461538461539</v>
      </c>
      <c r="BN68" s="127">
        <f>$B50*(1+$C$4)^(SUM($F$66:BN$66)+(SUM($F$67:BN$67)))</f>
        <v>0.14963461538461539</v>
      </c>
      <c r="BO68" s="127">
        <f>$B50*(1+$C$4)^(SUM($F$66:BO$66)+(SUM($F$67:BO$67)))</f>
        <v>0.14963461538461539</v>
      </c>
      <c r="BP68" s="127">
        <f>$B50*(1+$C$4)^(SUM($F$66:BP$66)+(SUM($F$67:BP$67)))</f>
        <v>0.14963461538461539</v>
      </c>
      <c r="BQ68" s="127">
        <f>$B50*(1+$C$4)^(SUM($F$66:BQ$66)+(SUM($F$67:BQ$67)))</f>
        <v>0.14963461538461539</v>
      </c>
      <c r="BR68" s="127">
        <f>$B50*(1+$C$4)^(SUM($F$66:BR$66)+(SUM($F$67:BR$67)))</f>
        <v>0.14963461538461539</v>
      </c>
      <c r="BS68" s="127">
        <f>$B50*(1+$C$4)^(SUM($F$66:BS$66)+(SUM($F$67:BS$67)))</f>
        <v>0.14963461538461539</v>
      </c>
      <c r="BT68" s="127">
        <f>$B50*(1+$C$4)^(SUM($F$66:BT$66)+(SUM($F$67:BT$67)))</f>
        <v>0.14963461538461539</v>
      </c>
      <c r="BU68" s="127">
        <f>$B50*(1+$C$4)^(SUM($F$66:BU$66)+(SUM($F$67:BU$67)))</f>
        <v>0.14963461538461539</v>
      </c>
      <c r="BV68" s="127">
        <f>$B50*(1+$C$4)^(SUM($F$66:BV$66)+(SUM($F$67:BV$67)))</f>
        <v>0.14963461538461539</v>
      </c>
      <c r="BW68" s="127">
        <f>$B50*(1+$C$4)^(SUM($F$66:BW$66)+(SUM($F$67:BW$67)))</f>
        <v>0.14963461538461539</v>
      </c>
      <c r="BX68" s="127">
        <f>$B50*(1+$C$4)^(SUM($F$66:BX$66)+(SUM($F$67:BX$67)))</f>
        <v>0.14963461538461539</v>
      </c>
      <c r="BY68" s="127">
        <f>$B50*(1+$C$4)^(SUM($F$66:BY$66)+(SUM($F$67:BY$67)))</f>
        <v>0.14963461538461539</v>
      </c>
      <c r="BZ68" s="127">
        <f>$B50*(1+$C$4)^(SUM($F$66:BZ$66)+(SUM($F$67:BZ$67)))</f>
        <v>0.14963461538461539</v>
      </c>
      <c r="CA68" s="127">
        <f>$B50*(1+$C$4)^(SUM($F$66:CA$66)+(SUM($F$67:CA$67)))</f>
        <v>0.14963461538461539</v>
      </c>
      <c r="CB68" s="127">
        <f>$B50*(1+$C$4)^(SUM($F$66:CB$66)+(SUM($F$67:CB$67)))</f>
        <v>0.14963461538461539</v>
      </c>
      <c r="CC68" s="127">
        <f>$B50*(1+$C$4)^(SUM($F$66:CC$66)+(SUM($F$67:CC$67)))</f>
        <v>0.14963461538461539</v>
      </c>
      <c r="CD68" s="127">
        <f>$B50*(1+$C$4)^(SUM($F$66:CD$66)+(SUM($F$67:CD$67)))</f>
        <v>0.14963461538461539</v>
      </c>
      <c r="CE68" s="127">
        <f>$B50*(1+$C$4)^(SUM($F$66:CE$66)+(SUM($F$67:CE$67)))</f>
        <v>0.14963461538461539</v>
      </c>
      <c r="CF68" s="127">
        <f>$B50*(1+$C$4)^(SUM($F$66:CF$66)+(SUM($F$67:CF$67)))</f>
        <v>0.14963461538461539</v>
      </c>
      <c r="CG68" s="127">
        <f>$B50*(1+$C$4)^(SUM($F$66:CG$66)+(SUM($F$67:CG$67)))</f>
        <v>0.14963461538461539</v>
      </c>
      <c r="CH68" s="127">
        <f>$B50*(1+$C$4)^(SUM($F$66:CH$66)+(SUM($F$67:CH$67)))</f>
        <v>0.14963461538461539</v>
      </c>
      <c r="CI68" s="127">
        <f>$B50*(1+$C$4)^(SUM($F$66:CI$66)+(SUM($F$67:CI$67)))</f>
        <v>0.14963461538461539</v>
      </c>
      <c r="CJ68" s="127">
        <f>$B50*(1+$C$4)^(SUM($F$66:CJ$66)+(SUM($F$67:CJ$67)))</f>
        <v>0.14963461538461539</v>
      </c>
      <c r="CK68" s="127">
        <f>$B50*(1+$C$4)^(SUM($F$66:CK$66)+(SUM($F$67:CK$67)))</f>
        <v>0.14963461538461539</v>
      </c>
      <c r="CL68" s="127">
        <f>$B50*(1+$C$4)^(SUM($F$66:CL$66)+(SUM($F$67:CL$67)))</f>
        <v>0.14963461538461539</v>
      </c>
      <c r="CM68" s="127">
        <f>$B50*(1+$C$4)^(SUM($F$66:CM$66)+(SUM($F$67:CM$67)))</f>
        <v>0.14963461538461539</v>
      </c>
      <c r="CN68" s="127">
        <f>$B50*(1+$C$4)^(SUM($F$66:CN$66)+(SUM($F$67:CN$67)))</f>
        <v>0.14963461538461539</v>
      </c>
      <c r="CO68" s="127">
        <f>$B50*(1+$C$4)^(SUM($F$66:CO$66)+(SUM($F$67:CO$67)))</f>
        <v>0.14963461538461539</v>
      </c>
      <c r="CP68" s="127">
        <f>$B50*(1+$C$4)^(SUM($F$66:CP$66)+(SUM($F$67:CP$67)))</f>
        <v>0.14963461538461539</v>
      </c>
      <c r="CQ68" s="127">
        <f>$B50*(1+$C$4)^(SUM($F$66:CQ$66)+(SUM($F$67:CQ$67)))</f>
        <v>0.14963461538461539</v>
      </c>
      <c r="CR68" s="127">
        <f>$B50*(1+$C$4)^(SUM($F$66:CR$66)+(SUM($F$67:CR$67)))</f>
        <v>0.14963461538461539</v>
      </c>
      <c r="CS68" s="127">
        <f>$B50*(1+$C$4)^(SUM($F$66:CS$66)+(SUM($F$67:CS$67)))</f>
        <v>0.14963461538461539</v>
      </c>
      <c r="CT68" s="127">
        <f>$B50*(1+$C$4)^(SUM($F$66:CT$66)+(SUM($F$67:CT$67)))</f>
        <v>0.14963461538461539</v>
      </c>
      <c r="CU68" s="127">
        <f>$B50*(1+$C$4)^(SUM($F$66:CU$66)+(SUM($F$67:CU$67)))</f>
        <v>0.14963461538461539</v>
      </c>
      <c r="CV68" s="127">
        <f>$B50*(1+$C$4)^(SUM($F$66:CV$66)+(SUM($F$67:CV$67)))</f>
        <v>0.14963461538461539</v>
      </c>
      <c r="CW68" s="127">
        <f>$B50*(1+$C$4)^(SUM($F$66:CW$66)+(SUM($F$67:CW$67)))</f>
        <v>0.14963461538461539</v>
      </c>
      <c r="CX68" s="127">
        <f>$B50*(1+$C$4)^(SUM($F$66:CX$66)+(SUM($F$67:CX$67)))</f>
        <v>0.14963461538461539</v>
      </c>
      <c r="CY68" s="127">
        <f>$B50*(1+$C$4)^(SUM($F$66:CY$66)+(SUM($F$67:CY$67)))</f>
        <v>0.14963461538461539</v>
      </c>
      <c r="CZ68" s="127">
        <f>$B50*(1+$C$4)^(SUM($F$66:CZ$66)+(SUM($F$67:CZ$67)))</f>
        <v>0.14963461538461539</v>
      </c>
      <c r="DA68" s="127">
        <f>$B50*(1+$C$4)^(SUM($F$66:DA$66)+(SUM($F$67:DA$67)))</f>
        <v>0.14963461538461539</v>
      </c>
      <c r="DB68" s="127">
        <f>$B50*(1+$C$4)^(SUM($F$66:DB$66)+(SUM($F$67:DB$67)))</f>
        <v>0.14963461538461539</v>
      </c>
      <c r="DC68" s="127">
        <f>$B50*(1+$C$4)^(SUM($F$66:DC$66)+(SUM($F$67:DC$67)))</f>
        <v>0.14963461538461539</v>
      </c>
      <c r="DD68" s="127">
        <f>$B50*(1+$C$4)^(SUM($F$66:DD$66)+(SUM($F$67:DD$67)))</f>
        <v>0.14963461538461539</v>
      </c>
      <c r="DE68" s="127">
        <f>$B50*(1+$C$4)^(SUM($F$66:DE$66)+(SUM($F$67:DE$67)))</f>
        <v>0.14963461538461539</v>
      </c>
      <c r="DF68" s="127">
        <f>$B50*(1+$C$4)^(SUM($F$66:DF$66)+(SUM($F$67:DF$67)))</f>
        <v>0.14963461538461539</v>
      </c>
      <c r="DG68" s="127">
        <f>$B50*(1+$C$4)^(SUM($F$66:DG$66)+(SUM($F$67:DG$67)))</f>
        <v>0.14963461538461539</v>
      </c>
      <c r="DH68" s="127">
        <f>$B50*(1+$C$4)^(SUM($F$66:DH$66)+(SUM($F$67:DH$67)))</f>
        <v>0.14963461538461539</v>
      </c>
      <c r="DI68" s="127">
        <f>$B50*(1+$C$4)^(SUM($F$66:DI$66)+(SUM($F$67:DI$67)))</f>
        <v>0.14963461538461539</v>
      </c>
      <c r="DJ68" s="127">
        <f>$B50*(1+$C$4)^(SUM($F$66:DJ$66)+(SUM($F$67:DJ$67)))</f>
        <v>0.14963461538461539</v>
      </c>
      <c r="DK68" s="127">
        <f>$B50*(1+$C$4)^(SUM($F$66:DK$66)+(SUM($F$67:DK$67)))</f>
        <v>0.14963461538461539</v>
      </c>
      <c r="DL68" s="127">
        <f>$B50*(1+$C$4)^(SUM($F$66:DL$66)+(SUM($F$67:DL$67)))</f>
        <v>0.14963461538461539</v>
      </c>
      <c r="DM68" s="127">
        <f>$B50*(1+$C$4)^(SUM($F$66:DM$66)+(SUM($F$67:DM$67)))</f>
        <v>0.14963461538461539</v>
      </c>
      <c r="DN68" s="127">
        <f>$B50*(1+$C$4)^(SUM($F$66:DN$66)+(SUM($F$67:DN$67)))</f>
        <v>0.14963461538461539</v>
      </c>
      <c r="DO68" s="127">
        <f>$B50*(1+$C$4)^(SUM($F$66:DO$66)+(SUM($F$67:DO$67)))</f>
        <v>0.14963461538461539</v>
      </c>
      <c r="DP68" s="127">
        <f>$B50*(1+$C$4)^(SUM($F$66:DP$66)+(SUM($F$67:DP$67)))</f>
        <v>0.14963461538461539</v>
      </c>
      <c r="DQ68" s="127">
        <f>$B50*(1+$C$4)^(SUM($F$66:DQ$66)+(SUM($F$67:DQ$67)))</f>
        <v>0.14963461538461539</v>
      </c>
      <c r="DR68" s="127">
        <f>$B50*(1+$C$4)^(SUM($F$66:DR$66)+(SUM($F$67:DR$67)))</f>
        <v>0.14963461538461539</v>
      </c>
      <c r="DS68" s="127">
        <f>$B50*(1+$C$4)^(SUM($F$66:DS$66)+(SUM($F$67:DS$67)))</f>
        <v>0.14963461538461539</v>
      </c>
      <c r="DT68" s="127">
        <f>$B50*(1+$C$4)^(SUM($F$66:DT$66)+(SUM($F$67:DT$67)))</f>
        <v>0.14963461538461539</v>
      </c>
      <c r="DU68" s="127">
        <f>$B50*(1+$C$4)^(SUM($F$66:DU$66)+(SUM($F$67:DU$67)))</f>
        <v>0.14963461538461539</v>
      </c>
      <c r="DV68" s="127">
        <f>$B50*(1+$C$4)^(SUM($F$66:DV$66)+(SUM($F$67:DV$67)))</f>
        <v>0.14963461538461539</v>
      </c>
      <c r="DW68" s="127">
        <f>$B50*(1+$C$4)^(SUM($F$66:DW$66)+(SUM($F$67:DW$67)))</f>
        <v>0.14963461538461539</v>
      </c>
      <c r="DX68" s="127">
        <f>$B50*(1+$C$4)^(SUM($F$66:DX$66)+(SUM($F$67:DX$67)))</f>
        <v>0.14963461538461539</v>
      </c>
      <c r="DY68" s="127">
        <f>$B50*(1+$C$4)^(SUM($F$66:DY$66)+(SUM($F$67:DY$67)))</f>
        <v>0.14963461538461539</v>
      </c>
      <c r="DZ68" s="127">
        <f>$B50*(1+$C$4)^(SUM($F$66:DZ$66)+(SUM($F$67:DZ$67)))</f>
        <v>0.14963461538461539</v>
      </c>
      <c r="EA68" s="127">
        <f>$B50*(1+$C$4)^(SUM($F$66:EA$66)+(SUM($F$67:EA$67)))</f>
        <v>0.14963461538461539</v>
      </c>
      <c r="EB68" s="127">
        <f>$B50*(1+$C$4)^(SUM($F$66:EB$66)+(SUM($F$67:EB$67)))</f>
        <v>0.14963461538461539</v>
      </c>
      <c r="EC68" s="127">
        <f>$B50*(1+$C$4)^(SUM($F$66:EC$66)+(SUM($F$67:EC$67)))</f>
        <v>0.14963461538461539</v>
      </c>
      <c r="ED68" s="127">
        <f>$B50*(1+$C$4)^(SUM($F$66:ED$66)+(SUM($F$67:ED$67)))</f>
        <v>0.14963461538461539</v>
      </c>
      <c r="EE68" s="127">
        <f>$B50*(1+$C$4)^(SUM($F$66:EE$66)+(SUM($F$67:EE$67)))</f>
        <v>0.14963461538461539</v>
      </c>
      <c r="EF68" s="127">
        <f>$B50*(1+$C$4)^(SUM($F$66:EF$66)+(SUM($F$67:EF$67)))</f>
        <v>0.14963461538461539</v>
      </c>
      <c r="EG68" s="127">
        <f>$B50*(1+$C$4)^(SUM($F$66:EG$66)+(SUM($F$67:EG$67)))</f>
        <v>0.14963461538461539</v>
      </c>
      <c r="EH68" s="127">
        <f>$B50*(1+$C$4)^(SUM($F$66:EH$66)+(SUM($F$67:EH$67)))</f>
        <v>0.14963461538461539</v>
      </c>
      <c r="EI68" s="127">
        <f>$B50*(1+$C$4)^(SUM($F$66:EI$66)+(SUM($F$67:EI$67)))</f>
        <v>0.14963461538461539</v>
      </c>
      <c r="EJ68" s="127">
        <f>$B50*(1+$C$4)^(SUM($F$66:EJ$66)+(SUM($F$67:EJ$67)))</f>
        <v>0.14963461538461539</v>
      </c>
      <c r="EK68" s="127">
        <f>$B50*(1+$C$4)^(SUM($F$66:EK$66)+(SUM($F$67:EK$67)))</f>
        <v>0.14963461538461539</v>
      </c>
      <c r="EL68" s="127">
        <f>$B50*(1+$C$4)^(SUM($F$66:EL$66)+(SUM($F$67:EL$67)))</f>
        <v>0.14963461538461539</v>
      </c>
      <c r="EM68" s="127">
        <f>$B50*(1+$C$4)^(SUM($F$66:EM$66)+(SUM($F$67:EM$67)))</f>
        <v>0.14963461538461539</v>
      </c>
      <c r="EN68" s="127">
        <f>$B50*(1+$C$4)^(SUM($F$66:EN$66)+(SUM($F$67:EN$67)))</f>
        <v>0.14963461538461539</v>
      </c>
      <c r="EO68" s="127">
        <f>$B50*(1+$C$4)^(SUM($F$66:EO$66)+(SUM($F$67:EO$67)))</f>
        <v>0.14963461538461539</v>
      </c>
      <c r="EP68" s="127">
        <f>$B50*(1+$C$4)^(SUM($F$66:EP$66)+(SUM($F$67:EP$67)))</f>
        <v>0.14963461538461539</v>
      </c>
      <c r="EQ68" s="127">
        <f>$B50*(1+$C$4)^(SUM($F$66:EQ$66)+(SUM($F$67:EQ$67)))</f>
        <v>0.14963461538461539</v>
      </c>
      <c r="ER68" s="127">
        <f>$B50*(1+$C$4)^(SUM($F$66:ER$66)+(SUM($F$67:ER$67)))</f>
        <v>0.14963461538461539</v>
      </c>
      <c r="ES68" s="127">
        <f>$B50*(1+$C$4)^(SUM($F$66:ES$66)+(SUM($F$67:ES$67)))</f>
        <v>0.14963461538461539</v>
      </c>
      <c r="ET68" s="127">
        <f>$B50*(1+$C$4)^(SUM($F$66:ET$66)+(SUM($F$67:ET$67)))</f>
        <v>0.14963461538461539</v>
      </c>
      <c r="EU68" s="127">
        <f>$B50*(1+$C$4)^(SUM($F$66:EU$66)+(SUM($F$67:EU$67)))</f>
        <v>0.14963461538461539</v>
      </c>
      <c r="EV68" s="127">
        <f>$B50*(1+$C$4)^(SUM($F$66:EV$66)+(SUM($F$67:EV$67)))</f>
        <v>0.14963461538461539</v>
      </c>
      <c r="EW68" s="127">
        <f>$B50*(1+$C$4)^(SUM($F$66:EW$66)+(SUM($F$67:EW$67)))</f>
        <v>0.14963461538461539</v>
      </c>
      <c r="EX68" s="127">
        <f>$B50*(1+$C$4)^(SUM($F$66:EX$66)+(SUM($F$67:EX$67)))</f>
        <v>0.14963461538461539</v>
      </c>
      <c r="EY68" s="127">
        <f>$B50*(1+$C$4)^(SUM($F$66:EY$66)+(SUM($F$67:EY$67)))</f>
        <v>0.14963461538461539</v>
      </c>
      <c r="EZ68" s="127">
        <f>$B50*(1+$C$4)^(SUM($F$66:EZ$66)+(SUM($F$67:EZ$67)))</f>
        <v>0.14963461538461539</v>
      </c>
      <c r="FA68" s="127">
        <f>$B50*(1+$C$4)^(SUM($F$66:FA$66)+(SUM($F$67:FA$67)))</f>
        <v>0.14963461538461539</v>
      </c>
      <c r="FB68" s="127">
        <f>$B50*(1+$C$4)^(SUM($F$66:FB$66)+(SUM($F$67:FB$67)))</f>
        <v>0.14963461538461539</v>
      </c>
      <c r="FC68" s="127">
        <f>$B50*(1+$C$4)^(SUM($F$66:FC$66)+(SUM($F$67:FC$67)))</f>
        <v>0.14963461538461539</v>
      </c>
      <c r="FD68" s="127">
        <f>$B50*(1+$C$4)^(SUM($F$66:FD$66)+(SUM($F$67:FD$67)))</f>
        <v>0.14963461538461539</v>
      </c>
      <c r="FE68" s="127">
        <f>$B50*(1+$C$4)^(SUM($F$66:FE$66)+(SUM($F$67:FE$67)))</f>
        <v>0.14963461538461539</v>
      </c>
      <c r="FF68" s="127">
        <f>$B50*(1+$C$4)^(SUM($F$66:FF$66)+(SUM($F$67:FF$67)))</f>
        <v>0.14963461538461539</v>
      </c>
      <c r="FG68" s="127">
        <f>$B50*(1+$C$4)^(SUM($F$66:FG$66)+(SUM($F$67:FG$67)))</f>
        <v>0.14963461538461539</v>
      </c>
      <c r="FH68" s="127">
        <f>$B50*(1+$C$4)^(SUM($F$66:FH$66)+(SUM($F$67:FH$67)))</f>
        <v>0.14963461538461539</v>
      </c>
      <c r="FI68" s="127">
        <f>$B50*(1+$C$4)^(SUM($F$66:FI$66)+(SUM($F$67:FI$67)))</f>
        <v>0.14963461538461539</v>
      </c>
      <c r="FJ68" s="127">
        <f>$B50*(1+$C$4)^(SUM($F$66:FJ$66)+(SUM($F$67:FJ$67)))</f>
        <v>0.14963461538461539</v>
      </c>
      <c r="FK68" s="127">
        <f>$B50*(1+$C$4)^(SUM($F$66:FK$66)+(SUM($F$67:FK$67)))</f>
        <v>0.14963461538461539</v>
      </c>
      <c r="FL68" s="127">
        <f>$B50*(1+$C$4)^(SUM($F$66:FL$66)+(SUM($F$67:FL$67)))</f>
        <v>0.14963461538461539</v>
      </c>
      <c r="FM68" s="127">
        <f>$B50*(1+$C$4)^(SUM($F$66:FM$66)+(SUM($F$67:FM$67)))</f>
        <v>0.14963461538461539</v>
      </c>
      <c r="FN68" s="127">
        <f>$B50*(1+$C$4)^(SUM($F$66:FN$66)+(SUM($F$67:FN$67)))</f>
        <v>0.14963461538461539</v>
      </c>
      <c r="FO68" s="127">
        <f>$B50*(1+$C$4)^(SUM($F$66:FO$66)+(SUM($F$67:FO$67)))</f>
        <v>0.14963461538461539</v>
      </c>
      <c r="FP68" s="127">
        <f>$B50*(1+$C$4)^(SUM($F$66:FP$66)+(SUM($F$67:FP$67)))</f>
        <v>0.14963461538461539</v>
      </c>
      <c r="FQ68" s="127">
        <f>$B50*(1+$C$4)^(SUM($F$66:FQ$66)+(SUM($F$67:FQ$67)))</f>
        <v>0.14963461538461539</v>
      </c>
      <c r="FR68" s="127">
        <f>$B50*(1+$C$4)^(SUM($F$66:FR$66)+(SUM($F$67:FR$67)))</f>
        <v>0.14963461538461539</v>
      </c>
      <c r="FS68" s="127">
        <f>$B50*(1+$C$4)^(SUM($F$66:FS$66)+(SUM($F$67:FS$67)))</f>
        <v>0.14963461538461539</v>
      </c>
      <c r="FT68" s="127">
        <f>$B50*(1+$C$4)^(SUM($F$66:FT$66)+(SUM($F$67:FT$67)))</f>
        <v>0.14963461538461539</v>
      </c>
      <c r="FU68" s="127">
        <f>$B50*(1+$C$4)^(SUM($F$66:FU$66)+(SUM($F$67:FU$67)))</f>
        <v>0.14963461538461539</v>
      </c>
      <c r="FV68" s="127">
        <f>$B50*(1+$C$4)^(SUM($F$66:FV$66)+(SUM($F$67:FV$67)))</f>
        <v>0.14963461538461539</v>
      </c>
      <c r="FW68" s="127">
        <f>$B50*(1+$C$4)^(SUM($F$66:FW$66)+(SUM($F$67:FW$67)))</f>
        <v>0.14963461538461539</v>
      </c>
      <c r="FX68" s="127">
        <f>$B50*(1+$C$4)^(SUM($F$66:FX$66)+(SUM($F$67:FX$67)))</f>
        <v>0.14963461538461539</v>
      </c>
      <c r="FY68" s="127">
        <f>$B50*(1+$C$4)^(SUM($F$66:FY$66)+(SUM($F$67:FY$67)))</f>
        <v>0.14963461538461539</v>
      </c>
      <c r="FZ68" s="127">
        <f>$B50*(1+$C$4)^(SUM($F$66:FZ$66)+(SUM($F$67:FZ$67)))</f>
        <v>0.14963461538461539</v>
      </c>
      <c r="GA68" s="127">
        <f>$B50*(1+$C$4)^(SUM($F$66:GA$66)+(SUM($F$67:GA$67)))</f>
        <v>0.14963461538461539</v>
      </c>
      <c r="GB68" s="127">
        <f>$B50*(1+$C$4)^(SUM($F$66:GB$66)+(SUM($F$67:GB$67)))</f>
        <v>0.14963461538461539</v>
      </c>
      <c r="GC68" s="127">
        <f>$B50*(1+$C$4)^(SUM($F$66:GC$66)+(SUM($F$67:GC$67)))</f>
        <v>0.14963461538461539</v>
      </c>
      <c r="GD68" s="127">
        <f>$B50*(1+$C$4)^(SUM($F$66:GD$66)+(SUM($F$67:GD$67)))</f>
        <v>0.14963461538461539</v>
      </c>
      <c r="GE68" s="127">
        <f>$B50*(1+$C$4)^(SUM($F$66:GE$66)+(SUM($F$67:GE$67)))</f>
        <v>0.14963461538461539</v>
      </c>
      <c r="GF68" s="127">
        <f>$B50*(1+$C$4)^(SUM($F$66:GF$66)+(SUM($F$67:GF$67)))</f>
        <v>0.14963461538461539</v>
      </c>
      <c r="GG68" s="127">
        <f>$B50*(1+$C$4)^(SUM($F$66:GG$66)+(SUM($F$67:GG$67)))</f>
        <v>0.14963461538461539</v>
      </c>
      <c r="GH68" s="127">
        <f>$B50*(1+$C$4)^(SUM($F$66:GH$66)+(SUM($F$67:GH$67)))</f>
        <v>0.14963461538461539</v>
      </c>
      <c r="GI68" s="127">
        <f>$B50*(1+$C$4)^(SUM($F$66:GI$66)+(SUM($F$67:GI$67)))</f>
        <v>0.14963461538461539</v>
      </c>
      <c r="GJ68" s="127">
        <f>$B50*(1+$C$4)^(SUM($F$66:GJ$66)+(SUM($F$67:GJ$67)))</f>
        <v>0.14963461538461539</v>
      </c>
      <c r="GK68" s="127">
        <f>$B50*(1+$C$4)^(SUM($F$66:GK$66)+(SUM($F$67:GK$67)))</f>
        <v>0.14963461538461539</v>
      </c>
      <c r="GL68" s="127">
        <f>$B50*(1+$C$4)^(SUM($F$66:GL$66)+(SUM($F$67:GL$67)))</f>
        <v>0.14963461538461539</v>
      </c>
      <c r="GM68" s="127">
        <f>$B50*(1+$C$4)^(SUM($F$66:GM$66)+(SUM($F$67:GM$67)))</f>
        <v>0.14963461538461539</v>
      </c>
      <c r="GN68" s="127">
        <f>$B50*(1+$C$4)^(SUM($F$66:GN$66)+(SUM($F$67:GN$67)))</f>
        <v>0.14963461538461539</v>
      </c>
      <c r="GO68" s="127">
        <f>$B50*(1+$C$4)^(SUM($F$66:GO$66)+(SUM($F$67:GO$67)))</f>
        <v>0.14963461538461539</v>
      </c>
      <c r="GP68" s="127">
        <f>$B50*(1+$C$4)^(SUM($F$66:GP$66)+(SUM($F$67:GP$67)))</f>
        <v>0.14963461538461539</v>
      </c>
      <c r="GQ68" s="127">
        <f>$B50*(1+$C$4)^(SUM($F$66:GQ$66)+(SUM($F$67:GQ$67)))</f>
        <v>0.14963461538461539</v>
      </c>
      <c r="GR68" s="127">
        <f>$B50*(1+$C$4)^(SUM($F$66:GR$66)+(SUM($F$67:GR$67)))</f>
        <v>0.14963461538461539</v>
      </c>
      <c r="GS68" s="127">
        <f>$B50*(1+$C$4)^(SUM($F$66:GS$66)+(SUM($F$67:GS$67)))</f>
        <v>0.14963461538461539</v>
      </c>
      <c r="GT68" s="127">
        <f>$B50*(1+$C$4)^(SUM($F$66:GT$66)+(SUM($F$67:GT$67)))</f>
        <v>0.14963461538461539</v>
      </c>
      <c r="GU68" s="127">
        <f>$B50*(1+$C$4)^(SUM($F$66:GU$66)+(SUM($F$67:GU$67)))</f>
        <v>0.14963461538461539</v>
      </c>
      <c r="GV68" s="127">
        <f>$B50*(1+$C$4)^(SUM($F$66:GV$66)+(SUM($F$67:GV$67)))</f>
        <v>0.14963461538461539</v>
      </c>
      <c r="GW68" s="127">
        <f>$B50*(1+$C$4)^(SUM($F$66:GW$66)+(SUM($F$67:GW$67)))</f>
        <v>0.14963461538461539</v>
      </c>
      <c r="GX68" s="127">
        <f>$B50*(1+$C$4)^(SUM($F$66:GX$66)+(SUM($F$67:GX$67)))</f>
        <v>0.14963461538461539</v>
      </c>
      <c r="GY68" s="127">
        <f>$B50*(1+$C$4)^(SUM($F$66:GY$66)+(SUM($F$67:GY$67)))</f>
        <v>0.14963461538461539</v>
      </c>
      <c r="GZ68" s="127">
        <f>$B50*(1+$C$4)^(SUM($F$66:GZ$66)+(SUM($F$67:GZ$67)))</f>
        <v>0.14963461538461539</v>
      </c>
      <c r="HA68" s="127">
        <f>$B50*(1+$C$4)^(SUM($F$66:HA$66)+(SUM($F$67:HA$67)))</f>
        <v>0.14963461538461539</v>
      </c>
      <c r="HB68" s="127">
        <f>$B50*(1+$C$4)^(SUM($F$66:HB$66)+(SUM($F$67:HB$67)))</f>
        <v>0.14963461538461539</v>
      </c>
      <c r="HC68" s="127">
        <f>$B50*(1+$C$4)^(SUM($F$66:HC$66)+(SUM($F$67:HC$67)))</f>
        <v>0.14963461538461539</v>
      </c>
      <c r="HD68" s="127">
        <f>$B50*(1+$C$4)^(SUM($F$66:HD$66)+(SUM($F$67:HD$67)))</f>
        <v>0.14963461538461539</v>
      </c>
      <c r="HE68" s="127">
        <f>$B50*(1+$C$4)^(SUM($F$66:HE$66)+(SUM($F$67:HE$67)))</f>
        <v>0.14963461538461539</v>
      </c>
      <c r="HF68" s="127">
        <f>$B50*(1+$C$4)^(SUM($F$66:HF$66)+(SUM($F$67:HF$67)))</f>
        <v>0.14963461538461539</v>
      </c>
      <c r="HG68" s="127">
        <f>$B50*(1+$C$4)^(SUM($F$66:HG$66)+(SUM($F$67:HG$67)))</f>
        <v>0.14963461538461539</v>
      </c>
      <c r="HH68" s="127">
        <f>$B50*(1+$C$4)^(SUM($F$66:HH$66)+(SUM($F$67:HH$67)))</f>
        <v>0.14963461538461539</v>
      </c>
      <c r="HI68" s="127">
        <f>$B50*(1+$C$4)^(SUM($F$66:HI$66)+(SUM($F$67:HI$67)))</f>
        <v>0.14963461538461539</v>
      </c>
      <c r="HJ68" s="127">
        <f>$B50*(1+$C$4)^(SUM($F$66:HJ$66)+(SUM($F$67:HJ$67)))</f>
        <v>0.14963461538461539</v>
      </c>
      <c r="HK68" s="127">
        <f>$B50*(1+$C$4)^(SUM($F$66:HK$66)+(SUM($F$67:HK$67)))</f>
        <v>0.14963461538461539</v>
      </c>
      <c r="HL68" s="127">
        <f>$B50*(1+$C$4)^(SUM($F$66:HL$66)+(SUM($F$67:HL$67)))</f>
        <v>0.14963461538461539</v>
      </c>
      <c r="HM68" s="127">
        <f>$B50*(1+$C$4)^(SUM($F$66:HM$66)+(SUM($F$67:HM$67)))</f>
        <v>0.14963461538461539</v>
      </c>
      <c r="HN68" s="127">
        <f>$B50*(1+$C$4)^(SUM($F$66:HN$66)+(SUM($F$67:HN$67)))</f>
        <v>0.14963461538461539</v>
      </c>
      <c r="HO68" s="127">
        <f>$B50*(1+$C$4)^(SUM($F$66:HO$66)+(SUM($F$67:HO$67)))</f>
        <v>0.14963461538461539</v>
      </c>
      <c r="HP68" s="127">
        <f>$B50*(1+$C$4)^(SUM($F$66:HP$66)+(SUM($F$67:HP$67)))</f>
        <v>0.14963461538461539</v>
      </c>
      <c r="HQ68" s="127">
        <f>$B50*(1+$C$4)^(SUM($F$66:HQ$66)+(SUM($F$67:HQ$67)))</f>
        <v>0.14963461538461539</v>
      </c>
      <c r="HR68" s="127">
        <f>$B50*(1+$C$4)^(SUM($F$66:HR$66)+(SUM($F$67:HR$67)))</f>
        <v>0.14963461538461539</v>
      </c>
      <c r="HS68" s="127">
        <f>$B50*(1+$C$4)^(SUM($F$66:HS$66)+(SUM($F$67:HS$67)))</f>
        <v>0.14963461538461539</v>
      </c>
      <c r="HT68" s="127">
        <f>$B50*(1+$C$4)^(SUM($F$66:HT$66)+(SUM($F$67:HT$67)))</f>
        <v>0.14963461538461539</v>
      </c>
      <c r="HU68" s="127">
        <f>$B50*(1+$C$4)^(SUM($F$66:HU$66)+(SUM($F$67:HU$67)))</f>
        <v>0.14963461538461539</v>
      </c>
      <c r="HV68" s="127">
        <f>$B50*(1+$C$4)^(SUM($F$66:HV$66)+(SUM($F$67:HV$67)))</f>
        <v>0.14963461538461539</v>
      </c>
      <c r="HW68" s="127">
        <f>$B50*(1+$C$4)^(SUM($F$66:HW$66)+(SUM($F$67:HW$67)))</f>
        <v>0.14963461538461539</v>
      </c>
      <c r="HX68" s="127">
        <f>$B50*(1+$C$4)^(SUM($F$66:HX$66)+(SUM($F$67:HX$67)))</f>
        <v>0.14963461538461539</v>
      </c>
      <c r="HY68" s="127">
        <f>$B50*(1+$C$4)^(SUM($F$66:HY$66)+(SUM($F$67:HY$67)))</f>
        <v>0.14963461538461539</v>
      </c>
      <c r="HZ68" s="127">
        <f>$B50*(1+$C$4)^(SUM($F$66:HZ$66)+(SUM($F$67:HZ$67)))</f>
        <v>0.14963461538461539</v>
      </c>
      <c r="IA68" s="127">
        <f>$B50*(1+$C$4)^(SUM($F$66:IA$66)+(SUM($F$67:IA$67)))</f>
        <v>0.14963461538461539</v>
      </c>
      <c r="IB68" s="127">
        <f>$B50*(1+$C$4)^(SUM($F$66:IB$66)+(SUM($F$67:IB$67)))</f>
        <v>0.14963461538461539</v>
      </c>
      <c r="IC68" s="127">
        <f>$B50*(1+$C$4)^(SUM($F$66:IC$66)+(SUM($F$67:IC$67)))</f>
        <v>0.14963461538461539</v>
      </c>
      <c r="ID68" s="127">
        <f>$B50*(1+$C$4)^(SUM($F$66:ID$66)+(SUM($F$67:ID$67)))</f>
        <v>0.14963461538461539</v>
      </c>
      <c r="IE68" s="127">
        <f>$B50*(1+$C$4)^(SUM($F$66:IE$66)+(SUM($F$67:IE$67)))</f>
        <v>0.14963461538461539</v>
      </c>
      <c r="IF68" s="127">
        <f>$B50*(1+$C$4)^(SUM($F$66:IF$66)+(SUM($F$67:IF$67)))</f>
        <v>0.14963461538461539</v>
      </c>
      <c r="IG68" s="127">
        <f>$B50*(1+$C$4)^(SUM($F$66:IG$66)+(SUM($F$67:IG$67)))</f>
        <v>0.14963461538461539</v>
      </c>
      <c r="IH68" s="127">
        <f>$B50*(1+$C$4)^(SUM($F$66:IH$66)+(SUM($F$67:IH$67)))</f>
        <v>0.14963461538461539</v>
      </c>
      <c r="II68" s="127">
        <f>$B50*(1+$C$4)^(SUM($F$66:II$66)+(SUM($F$67:II$67)))</f>
        <v>0.14963461538461539</v>
      </c>
      <c r="IJ68" s="127">
        <f>$B50*(1+$C$4)^(SUM($F$66:IJ$66)+(SUM($F$67:IJ$67)))</f>
        <v>0.14963461538461539</v>
      </c>
      <c r="IK68" s="127">
        <f>$B50*(1+$C$4)^(SUM($F$66:IK$66)+(SUM($F$67:IK$67)))</f>
        <v>0.14963461538461539</v>
      </c>
      <c r="IL68" s="127">
        <f>$B50*(1+$C$4)^(SUM($F$66:IL$66)+(SUM($F$67:IL$67)))</f>
        <v>0.14963461538461539</v>
      </c>
      <c r="IM68" s="127">
        <f>$B50*(1+$C$4)^(SUM($F$66:IM$66)+(SUM($F$67:IM$67)))</f>
        <v>0.14963461538461539</v>
      </c>
      <c r="IN68" s="127">
        <f>$B50*(1+$C$4)^(SUM($F$66:IN$66)+(SUM($F$67:IN$67)))</f>
        <v>0.14963461538461539</v>
      </c>
      <c r="IO68" s="127">
        <f>$B50*(1+$C$4)^(SUM($F$66:IO$66)+(SUM($F$67:IO$67)))</f>
        <v>0.14963461538461539</v>
      </c>
      <c r="IP68" s="127">
        <f>$B50*(1+$C$4)^(SUM($F$66:IP$66)+(SUM($F$67:IP$67)))</f>
        <v>0.14963461538461539</v>
      </c>
      <c r="IQ68" s="127">
        <f>$B50*(1+$C$4)^(SUM($F$66:IQ$66)+(SUM($F$67:IQ$67)))</f>
        <v>0.14963461538461539</v>
      </c>
      <c r="IR68" s="127">
        <f>$B50*(1+$C$4)^(SUM($F$66:IR$66)+(SUM($F$67:IR$67)))</f>
        <v>0.14963461538461539</v>
      </c>
      <c r="IS68" s="127">
        <f>$B50*(1+$C$4)^(SUM($F$66:IS$66)+(SUM($F$67:IS$67)))</f>
        <v>0.14963461538461539</v>
      </c>
      <c r="IT68" s="127">
        <f>$B50*(1+$C$4)^(SUM($F$66:IT$66)+(SUM($F$67:IT$67)))</f>
        <v>0.14963461538461539</v>
      </c>
      <c r="IU68" s="127">
        <f>$B50*(1+$C$4)^(SUM($F$66:IU$66)+(SUM($F$67:IU$67)))</f>
        <v>0.14963461538461539</v>
      </c>
      <c r="IV68" s="127">
        <f>$B50*(1+$C$4)^(SUM($F$66:IV$66)+(SUM($F$67:IV$67)))</f>
        <v>0.14963461538461539</v>
      </c>
      <c r="IW68" s="127">
        <f>$B50*(1+$C$4)^(SUM($F$66:IW$66)+(SUM($F$67:IW$67)))</f>
        <v>0.14963461538461539</v>
      </c>
      <c r="IX68" s="127">
        <f>$B50*(1+$C$4)^(SUM($F$66:IX$66)+(SUM($F$67:IX$67)))</f>
        <v>0.14963461538461539</v>
      </c>
      <c r="IY68" s="127">
        <f>$B50*(1+$C$4)^(SUM($F$66:IY$66)+(SUM($F$67:IY$67)))</f>
        <v>0.14963461538461539</v>
      </c>
      <c r="IZ68" s="127">
        <f>$B50*(1+$C$4)^(SUM($F$66:IZ$66)+(SUM($F$67:IZ$67)))</f>
        <v>0.14963461538461539</v>
      </c>
      <c r="JA68" s="127">
        <f>$B50*(1+$C$4)^(SUM($F$66:JA$66)+(SUM($F$67:JA$67)))</f>
        <v>0.14963461538461539</v>
      </c>
      <c r="JB68" s="127">
        <f>$B50*(1+$C$4)^(SUM($F$66:JB$66)+(SUM($F$67:JB$67)))</f>
        <v>0.14963461538461539</v>
      </c>
      <c r="JC68" s="127">
        <f>$B50*(1+$C$4)^(SUM($F$66:JC$66)+(SUM($F$67:JC$67)))</f>
        <v>0.14963461538461539</v>
      </c>
      <c r="JD68" s="127">
        <f>$B50*(1+$C$4)^(SUM($F$66:JD$66)+(SUM($F$67:JD$67)))</f>
        <v>0.14963461538461539</v>
      </c>
      <c r="JE68" s="127">
        <f>$B50*(1+$C$4)^(SUM($F$66:JE$66)+(SUM($F$67:JE$67)))</f>
        <v>0.14963461538461539</v>
      </c>
      <c r="JF68" s="127">
        <f>$B50*(1+$C$4)^(SUM($F$66:JF$66)+(SUM($F$67:JF$67)))</f>
        <v>0.14963461538461539</v>
      </c>
      <c r="JG68" s="127">
        <f>$B50*(1+$C$4)^(SUM($F$66:JG$66)+(SUM($F$67:JG$67)))</f>
        <v>0.14963461538461539</v>
      </c>
      <c r="JH68" s="127">
        <f>$B50*(1+$C$4)^(SUM($F$66:JH$66)+(SUM($F$67:JH$67)))</f>
        <v>0.14963461538461539</v>
      </c>
      <c r="JI68" s="127">
        <f>$B50*(1+$C$4)^(SUM($F$66:JI$66)+(SUM($F$67:JI$67)))</f>
        <v>0.14963461538461539</v>
      </c>
      <c r="JJ68" s="127">
        <f>$B50*(1+$C$4)^(SUM($F$66:JJ$66)+(SUM($F$67:JJ$67)))</f>
        <v>0.14963461538461539</v>
      </c>
      <c r="JK68" s="127">
        <f>$B50*(1+$C$4)^(SUM($F$66:JK$66)+(SUM($F$67:JK$67)))</f>
        <v>0.14963461538461539</v>
      </c>
      <c r="JL68" s="127">
        <f>$B50*(1+$C$4)^(SUM($F$66:JL$66)+(SUM($F$67:JL$67)))</f>
        <v>0.14963461538461539</v>
      </c>
      <c r="JM68" s="127">
        <f>$B50*(1+$C$4)^(SUM($F$66:JM$66)+(SUM($F$67:JM$67)))</f>
        <v>0.14963461538461539</v>
      </c>
      <c r="JN68" s="127">
        <f>$B50*(1+$C$4)^(SUM($F$66:JN$66)+(SUM($F$67:JN$67)))</f>
        <v>0.14963461538461539</v>
      </c>
      <c r="JO68" s="127">
        <f>$B50*(1+$C$4)^(SUM($F$66:JO$66)+(SUM($F$67:JO$67)))</f>
        <v>0.14963461538461539</v>
      </c>
      <c r="JP68" s="127">
        <f>$B50*(1+$C$4)^(SUM($F$66:JP$66)+(SUM($F$67:JP$67)))</f>
        <v>0.14963461538461539</v>
      </c>
      <c r="JQ68" s="127">
        <f>$B50*(1+$C$4)^(SUM($F$66:JQ$66)+(SUM($F$67:JQ$67)))</f>
        <v>0.14963461538461539</v>
      </c>
      <c r="JR68" s="127">
        <f>$B50*(1+$C$4)^(SUM($F$66:JR$66)+(SUM($F$67:JR$67)))</f>
        <v>0.14963461538461539</v>
      </c>
      <c r="JS68" s="127">
        <f>$B50*(1+$C$4)^(SUM($F$66:JS$66)+(SUM($F$67:JS$67)))</f>
        <v>0.14963461538461539</v>
      </c>
      <c r="JT68" s="127">
        <f>$B50*(1+$C$4)^(SUM($F$66:JT$66)+(SUM($F$67:JT$67)))</f>
        <v>0.14963461538461539</v>
      </c>
      <c r="JU68" s="127">
        <f>$B50*(1+$C$4)^(SUM($F$66:JU$66)+(SUM($F$67:JU$67)))</f>
        <v>0.14963461538461539</v>
      </c>
      <c r="JV68" s="127">
        <f>$B50*(1+$C$4)^(SUM($F$66:JV$66)+(SUM($F$67:JV$67)))</f>
        <v>0.14963461538461539</v>
      </c>
      <c r="JW68" s="127">
        <f>$B50*(1+$C$4)^(SUM($F$66:JW$66)+(SUM($F$67:JW$67)))</f>
        <v>0.14963461538461539</v>
      </c>
      <c r="JX68" s="127">
        <f>$B50*(1+$C$4)^(SUM($F$66:JX$66)+(SUM($F$67:JX$67)))</f>
        <v>0.14963461538461539</v>
      </c>
      <c r="JY68" s="127">
        <f>$B50*(1+$C$4)^(SUM($F$66:JY$66)+(SUM($F$67:JY$67)))</f>
        <v>0.14963461538461539</v>
      </c>
      <c r="JZ68" s="127">
        <f>$B50*(1+$C$4)^(SUM($F$66:JZ$66)+(SUM($F$67:JZ$67)))</f>
        <v>0.14963461538461539</v>
      </c>
      <c r="KA68" s="127">
        <f>$B50*(1+$C$4)^(SUM($F$66:KA$66)+(SUM($F$67:KA$67)))</f>
        <v>0.14963461538461539</v>
      </c>
      <c r="KB68" s="127">
        <f>$B50*(1+$C$4)^(SUM($F$66:KB$66)+(SUM($F$67:KB$67)))</f>
        <v>0.14963461538461539</v>
      </c>
      <c r="KC68" s="127">
        <f>$B50*(1+$C$4)^(SUM($F$66:KC$66)+(SUM($F$67:KC$67)))</f>
        <v>0.14963461538461539</v>
      </c>
      <c r="KD68" s="127">
        <f>$B50*(1+$C$4)^(SUM($F$66:KD$66)+(SUM($F$67:KD$67)))</f>
        <v>0.14963461538461539</v>
      </c>
      <c r="KE68" s="127">
        <f>$B50*(1+$C$4)^(SUM($F$66:KE$66)+(SUM($F$67:KE$67)))</f>
        <v>0.14963461538461539</v>
      </c>
      <c r="KF68" s="127">
        <f>$B50*(1+$C$4)^(SUM($F$66:KF$66)+(SUM($F$67:KF$67)))</f>
        <v>0.14963461538461539</v>
      </c>
      <c r="KG68" s="127">
        <f>$B50*(1+$C$4)^(SUM($F$66:KG$66)+(SUM($F$67:KG$67)))</f>
        <v>0.14963461538461539</v>
      </c>
      <c r="KH68" s="127">
        <f>$B50*(1+$C$4)^(SUM($F$66:KH$66)+(SUM($F$67:KH$67)))</f>
        <v>0.14963461538461539</v>
      </c>
      <c r="KI68" s="127">
        <f>$B50*(1+$C$4)^(SUM($F$66:KI$66)+(SUM($F$67:KI$67)))</f>
        <v>0.14963461538461539</v>
      </c>
      <c r="KJ68" s="127">
        <f>$B50*(1+$C$4)^(SUM($F$66:KJ$66)+(SUM($F$67:KJ$67)))</f>
        <v>0.14963461538461539</v>
      </c>
      <c r="KK68" s="127">
        <f>$B50*(1+$C$4)^(SUM($F$66:KK$66)+(SUM($F$67:KK$67)))</f>
        <v>0.14963461538461539</v>
      </c>
      <c r="KL68" s="127">
        <f>$B50*(1+$C$4)^(SUM($F$66:KL$66)+(SUM($F$67:KL$67)))</f>
        <v>0.14963461538461539</v>
      </c>
      <c r="KM68" s="127">
        <f>$B50*(1+$C$4)^(SUM($F$66:KM$66)+(SUM($F$67:KM$67)))</f>
        <v>0.14963461538461539</v>
      </c>
      <c r="KN68" s="127">
        <f>$B50*(1+$C$4)^(SUM($F$66:KN$66)+(SUM($F$67:KN$67)))</f>
        <v>0.14963461538461539</v>
      </c>
      <c r="KO68" s="127">
        <f>$B50*(1+$C$4)^(SUM($F$66:KO$66)+(SUM($F$67:KO$67)))</f>
        <v>0.14963461538461539</v>
      </c>
      <c r="KP68" s="127">
        <f>$B50*(1+$C$4)^(SUM($F$66:KP$66)+(SUM($F$67:KP$67)))</f>
        <v>0.14963461538461539</v>
      </c>
      <c r="KQ68" s="127">
        <f>$B50*(1+$C$4)^(SUM($F$66:KQ$66)+(SUM($F$67:KQ$67)))</f>
        <v>0.14963461538461539</v>
      </c>
      <c r="KR68" s="127">
        <f>$B50*(1+$C$4)^(SUM($F$66:KR$66)+(SUM($F$67:KR$67)))</f>
        <v>0.14963461538461539</v>
      </c>
      <c r="KS68" s="127">
        <f>$B50*(1+$C$4)^(SUM($F$66:KS$66)+(SUM($F$67:KS$67)))</f>
        <v>0.14963461538461539</v>
      </c>
      <c r="KT68" s="127">
        <f>$B50*(1+$C$4)^(SUM($F$66:KT$66)+(SUM($F$67:KT$67)))</f>
        <v>0.14963461538461539</v>
      </c>
      <c r="KU68" s="127">
        <f>$B50*(1+$C$4)^(SUM($F$66:KU$66)+(SUM($F$67:KU$67)))</f>
        <v>0.14963461538461539</v>
      </c>
      <c r="KV68" s="127">
        <f>$B50*(1+$C$4)^(SUM($F$66:KV$66)+(SUM($F$67:KV$67)))</f>
        <v>0.14963461538461539</v>
      </c>
      <c r="KW68" s="127">
        <f>$B50*(1+$C$4)^(SUM($F$66:KW$66)+(SUM($F$67:KW$67)))</f>
        <v>0.14963461538461539</v>
      </c>
      <c r="KX68" s="127">
        <f>$B50*(1+$C$4)^(SUM($F$66:KX$66)+(SUM($F$67:KX$67)))</f>
        <v>0.14963461538461539</v>
      </c>
      <c r="KY68" s="127">
        <f>$B50*(1+$C$4)^(SUM($F$66:KY$66)+(SUM($F$67:KY$67)))</f>
        <v>0.14963461538461539</v>
      </c>
      <c r="KZ68" s="127">
        <f>$B50*(1+$C$4)^(SUM($F$66:KZ$66)+(SUM($F$67:KZ$67)))</f>
        <v>0.14963461538461539</v>
      </c>
      <c r="LA68" s="127">
        <f>$B50*(1+$C$4)^(SUM($F$66:LA$66)+(SUM($F$67:LA$67)))</f>
        <v>0.14963461538461539</v>
      </c>
      <c r="LB68" s="127">
        <f>$B50*(1+$C$4)^(SUM($F$66:LB$66)+(SUM($F$67:LB$67)))</f>
        <v>0.14963461538461539</v>
      </c>
      <c r="LC68" s="127">
        <f>$B50*(1+$C$4)^(SUM($F$66:LC$66)+(SUM($F$67:LC$67)))</f>
        <v>0.14963461538461539</v>
      </c>
      <c r="LD68" s="127">
        <f>$B50*(1+$C$4)^(SUM($F$66:LD$66)+(SUM($F$67:LD$67)))</f>
        <v>0.14963461538461539</v>
      </c>
      <c r="LE68" s="127">
        <f>$B50*(1+$C$4)^(SUM($F$66:LE$66)+(SUM($F$67:LE$67)))</f>
        <v>0.14963461538461539</v>
      </c>
      <c r="LF68" s="127">
        <f>$B50*(1+$C$4)^(SUM($F$66:LF$66)+(SUM($F$67:LF$67)))</f>
        <v>0.14963461538461539</v>
      </c>
      <c r="LG68" s="127">
        <f>$B50*(1+$C$4)^(SUM($F$66:LG$66)+(SUM($F$67:LG$67)))</f>
        <v>0.14963461538461539</v>
      </c>
      <c r="LH68" s="127">
        <f>$B50*(1+$C$4)^(SUM($F$66:LH$66)+(SUM($F$67:LH$67)))</f>
        <v>0.14963461538461539</v>
      </c>
      <c r="LI68" s="127">
        <f>$B50*(1+$C$4)^(SUM($F$66:LI$66)+(SUM($F$67:LI$67)))</f>
        <v>0.14963461538461539</v>
      </c>
      <c r="LJ68" s="127">
        <f>$B50*(1+$C$4)^(SUM($F$66:LJ$66)+(SUM($F$67:LJ$67)))</f>
        <v>0.14963461538461539</v>
      </c>
      <c r="LK68" s="127">
        <f>$B50*(1+$C$4)^(SUM($F$66:LK$66)+(SUM($F$67:LK$67)))</f>
        <v>0.14963461538461539</v>
      </c>
      <c r="LL68" s="127">
        <f>$B50*(1+$C$4)^(SUM($F$66:LL$66)+(SUM($F$67:LL$67)))</f>
        <v>0.14963461538461539</v>
      </c>
      <c r="LM68" s="127">
        <f>$B50*(1+$C$4)^(SUM($F$66:LM$66)+(SUM($F$67:LM$67)))</f>
        <v>0.14963461538461539</v>
      </c>
      <c r="LN68" s="127">
        <f>$B50*(1+$C$4)^(SUM($F$66:LN$66)+(SUM($F$67:LN$67)))</f>
        <v>0.14963461538461539</v>
      </c>
      <c r="LO68" s="127">
        <f>$B50*(1+$C$4)^(SUM($F$66:LO$66)+(SUM($F$67:LO$67)))</f>
        <v>0.14963461538461539</v>
      </c>
      <c r="LP68" s="127">
        <f>$B50*(1+$C$4)^(SUM($F$66:LP$66)+(SUM($F$67:LP$67)))</f>
        <v>0.14963461538461539</v>
      </c>
      <c r="LQ68" s="127">
        <f>$B50*(1+$C$4)^(SUM($F$66:LQ$66)+(SUM($F$67:LQ$67)))</f>
        <v>0.14963461538461539</v>
      </c>
      <c r="LR68" s="127">
        <f>$B50*(1+$C$4)^(SUM($F$66:LR$66)+(SUM($F$67:LR$67)))</f>
        <v>0.14963461538461539</v>
      </c>
      <c r="LS68" s="127">
        <f>$B50*(1+$C$4)^(SUM($F$66:LS$66)+(SUM($F$67:LS$67)))</f>
        <v>0.14963461538461539</v>
      </c>
      <c r="LT68" s="127">
        <f>$B50*(1+$C$4)^(SUM($F$66:LT$66)+(SUM($F$67:LT$67)))</f>
        <v>0.14963461538461539</v>
      </c>
      <c r="LU68" s="127">
        <f>$B50*(1+$C$4)^(SUM($F$66:LU$66)+(SUM($F$67:LU$67)))</f>
        <v>0.14963461538461539</v>
      </c>
      <c r="LV68" s="127">
        <f>$B50*(1+$C$4)^(SUM($F$66:LV$66)+(SUM($F$67:LV$67)))</f>
        <v>0.14963461538461539</v>
      </c>
      <c r="LW68" s="127">
        <f>$B50*(1+$C$4)^(SUM($F$66:LW$66)+(SUM($F$67:LW$67)))</f>
        <v>0.14963461538461539</v>
      </c>
      <c r="LX68" s="127">
        <f>$B50*(1+$C$4)^(SUM($F$66:LX$66)+(SUM($F$67:LX$67)))</f>
        <v>0.14963461538461539</v>
      </c>
      <c r="LY68" s="127">
        <f>$B50*(1+$C$4)^(SUM($F$66:LY$66)+(SUM($F$67:LY$67)))</f>
        <v>0.14963461538461539</v>
      </c>
      <c r="LZ68" s="127">
        <f>$B50*(1+$C$4)^(SUM($F$66:LZ$66)+(SUM($F$67:LZ$67)))</f>
        <v>0.14963461538461539</v>
      </c>
      <c r="MA68" s="127">
        <f>$B50*(1+$C$4)^(SUM($F$66:MA$66)+(SUM($F$67:MA$67)))</f>
        <v>0.14963461538461539</v>
      </c>
      <c r="MB68" s="127">
        <f>$B50*(1+$C$4)^(SUM($F$66:MB$66)+(SUM($F$67:MB$67)))</f>
        <v>0.14963461538461539</v>
      </c>
      <c r="MC68" s="127">
        <f>$B50*(1+$C$4)^(SUM($F$66:MC$66)+(SUM($F$67:MC$67)))</f>
        <v>0.14963461538461539</v>
      </c>
      <c r="MD68" s="127">
        <f>$B50*(1+$C$4)^(SUM($F$66:MD$66)+(SUM($F$67:MD$67)))</f>
        <v>0.14963461538461539</v>
      </c>
      <c r="ME68" s="127">
        <f>$B50*(1+$C$4)^(SUM($F$66:ME$66)+(SUM($F$67:ME$67)))</f>
        <v>0.14963461538461539</v>
      </c>
      <c r="MF68" s="127">
        <f>$B50*(1+$C$4)^(SUM($F$66:MF$66)+(SUM($F$67:MF$67)))</f>
        <v>0.14963461538461539</v>
      </c>
      <c r="MG68" s="127">
        <f>$B50*(1+$C$4)^(SUM($F$66:MG$66)+(SUM($F$67:MG$67)))</f>
        <v>0.14963461538461539</v>
      </c>
      <c r="MH68" s="127">
        <f>$B50*(1+$C$4)^(SUM($F$66:MH$66)+(SUM($F$67:MH$67)))</f>
        <v>0.14963461538461539</v>
      </c>
      <c r="MI68" s="127">
        <f>$B50*(1+$C$4)^(SUM($F$66:MI$66)+(SUM($F$67:MI$67)))</f>
        <v>0.14963461538461539</v>
      </c>
      <c r="MJ68" s="127">
        <f>$B50*(1+$C$4)^(SUM($F$66:MJ$66)+(SUM($F$67:MJ$67)))</f>
        <v>0.14963461538461539</v>
      </c>
      <c r="MK68" s="127">
        <f>$B50*(1+$C$4)^(SUM($F$66:MK$66)+(SUM($F$67:MK$67)))</f>
        <v>0.14963461538461539</v>
      </c>
      <c r="ML68" s="127">
        <f>$B50*(1+$C$4)^(SUM($F$66:ML$66)+(SUM($F$67:ML$67)))</f>
        <v>0.14963461538461539</v>
      </c>
      <c r="MM68" s="127">
        <f>$B50*(1+$C$4)^(SUM($F$66:MM$66)+(SUM($F$67:MM$67)))</f>
        <v>0.14963461538461539</v>
      </c>
      <c r="MN68" s="127">
        <f>$B50*(1+$C$4)^(SUM($F$66:MN$66)+(SUM($F$67:MN$67)))</f>
        <v>0.14963461538461539</v>
      </c>
      <c r="MO68" s="127">
        <f>$B50*(1+$C$4)^(SUM($F$66:MO$66)+(SUM($F$67:MO$67)))</f>
        <v>0.14963461538461539</v>
      </c>
      <c r="MP68" s="127">
        <f>$B50*(1+$C$4)^(SUM($F$66:MP$66)+(SUM($F$67:MP$67)))</f>
        <v>0.14963461538461539</v>
      </c>
      <c r="MQ68" s="127">
        <f>$B50*(1+$C$4)^(SUM($F$66:MQ$66)+(SUM($F$67:MQ$67)))</f>
        <v>0.14963461538461539</v>
      </c>
      <c r="MR68" s="127">
        <f>$B50*(1+$C$4)^(SUM($F$66:MR$66)+(SUM($F$67:MR$67)))</f>
        <v>0.14963461538461539</v>
      </c>
      <c r="MS68" s="127">
        <f>$B50*(1+$C$4)^(SUM($F$66:MS$66)+(SUM($F$67:MS$67)))</f>
        <v>0.14963461538461539</v>
      </c>
      <c r="MT68" s="127">
        <f>$B50*(1+$C$4)^(SUM($F$66:MT$66)+(SUM($F$67:MT$67)))</f>
        <v>0.14963461538461539</v>
      </c>
      <c r="MU68" s="127">
        <f>$B50*(1+$C$4)^(SUM($F$66:MU$66)+(SUM($F$67:MU$67)))</f>
        <v>0.14963461538461539</v>
      </c>
      <c r="MV68" s="127">
        <f>$B50*(1+$C$4)^(SUM($F$66:MV$66)+(SUM($F$67:MV$67)))</f>
        <v>0.14963461538461539</v>
      </c>
      <c r="MW68" s="127">
        <f>$B50*(1+$C$4)^(SUM($F$66:MW$66)+(SUM($F$67:MW$67)))</f>
        <v>0.14963461538461539</v>
      </c>
      <c r="MX68" s="127">
        <f>$B50*(1+$C$4)^(SUM($F$66:MX$66)+(SUM($F$67:MX$67)))</f>
        <v>0.14963461538461539</v>
      </c>
      <c r="MY68" s="127">
        <f>$B50*(1+$C$4)^(SUM($F$66:MY$66)+(SUM($F$67:MY$67)))</f>
        <v>0.14963461538461539</v>
      </c>
      <c r="MZ68" s="127">
        <f>$B50*(1+$C$4)^(SUM($F$66:MZ$66)+(SUM($F$67:MZ$67)))</f>
        <v>0.14963461538461539</v>
      </c>
      <c r="NA68" s="127">
        <f>$B50*(1+$C$4)^(SUM($F$66:NA$66)+(SUM($F$67:NA$67)))</f>
        <v>0.14963461538461539</v>
      </c>
      <c r="NB68" s="127">
        <f>$B50*(1+$C$4)^(SUM($F$66:NB$66)+(SUM($F$67:NB$67)))</f>
        <v>0.14963461538461539</v>
      </c>
      <c r="NC68" s="127">
        <f>$B50*(1+$C$4)^(SUM($F$66:NC$66)+(SUM($F$67:NC$67)))</f>
        <v>0.14963461538461539</v>
      </c>
      <c r="ND68" s="127">
        <f>$B50*(1+$C$4)^(SUM($F$66:ND$66)+(SUM($F$67:ND$67)))</f>
        <v>0.14963461538461539</v>
      </c>
      <c r="NE68" s="127">
        <f>$B50*(1+$C$4)^(SUM($F$66:NE$66)+(SUM($F$67:NE$67)))</f>
        <v>0.14963461538461539</v>
      </c>
      <c r="NF68" s="127">
        <f>$B50*(1+$C$4)^(SUM($F$66:NF$66)+(SUM($F$67:NF$67)))</f>
        <v>0.14963461538461539</v>
      </c>
      <c r="NG68" s="127">
        <f>$B50*(1+$C$4)^(SUM($F$66:NG$66)+(SUM($F$67:NG$67)))</f>
        <v>0.14963461538461539</v>
      </c>
      <c r="NH68" s="127">
        <f>$B50*(1+$C$4)^(SUM($F$66:NH$66)+(SUM($F$67:NH$67)))</f>
        <v>0.14963461538461539</v>
      </c>
      <c r="NI68" s="127">
        <f>$B50*(1+$C$4)^(SUM($F$66:NI$66)+(SUM($F$67:NI$67)))</f>
        <v>0.14963461538461539</v>
      </c>
      <c r="NJ68" s="127">
        <f>$B50*(1+$C$4)^(SUM($F$66:NJ$66)+(SUM($F$67:NJ$67)))</f>
        <v>0.14963461538461539</v>
      </c>
      <c r="NK68" s="127">
        <f>$B50*(1+$C$4)^(SUM($F$66:NK$66)+(SUM($F$67:NK$67)))</f>
        <v>0.14963461538461539</v>
      </c>
      <c r="NL68" s="127">
        <f>$B50*(1+$C$4)^(SUM($F$66:NL$66)+(SUM($F$67:NL$67)))</f>
        <v>0.14963461538461539</v>
      </c>
      <c r="NM68" s="127">
        <f>$B50*(1+$C$4)^(SUM($F$66:NM$66)+(SUM($F$67:NM$67)))</f>
        <v>0.14963461538461539</v>
      </c>
      <c r="NN68" s="127">
        <f>$B50*(1+$C$4)^(SUM($F$66:NN$66)+(SUM($F$67:NN$67)))</f>
        <v>0.14963461538461539</v>
      </c>
      <c r="NO68" s="127">
        <f>$B50*(1+$C$4)^(SUM($F$66:NO$66)+(SUM($F$67:NO$67)))</f>
        <v>0.14963461538461539</v>
      </c>
      <c r="NP68" s="127">
        <f>$B50*(1+$C$4)^(SUM($F$66:NP$66)+(SUM($F$67:NP$67)))</f>
        <v>0.14963461538461539</v>
      </c>
      <c r="NQ68" s="127">
        <f>$B50*(1+$C$4)^(SUM($F$66:NQ$66)+(SUM($F$67:NQ$67)))</f>
        <v>0.14963461538461539</v>
      </c>
      <c r="NR68" s="127">
        <f>$B50*(1+$C$4)^(SUM($F$66:NR$66)+(SUM($F$67:NR$67)))</f>
        <v>0.14963461538461539</v>
      </c>
      <c r="NS68" s="127">
        <f>$B50*(1+$C$4)^(SUM($F$66:NS$66)+(SUM($F$67:NS$67)))</f>
        <v>0.14963461538461539</v>
      </c>
      <c r="NT68" s="127">
        <f>$B50*(1+$C$4)^(SUM($F$66:NT$66)+(SUM($F$67:NT$67)))</f>
        <v>0.14963461538461539</v>
      </c>
      <c r="NU68" s="127">
        <f>$B50*(1+$C$4)^(SUM($F$66:NU$66)+(SUM($F$67:NU$67)))</f>
        <v>0.14963461538461539</v>
      </c>
      <c r="NV68" s="127">
        <f>$B50*(1+$C$4)^(SUM($F$66:NV$66)+(SUM($F$67:NV$67)))</f>
        <v>0.14963461538461539</v>
      </c>
      <c r="NW68" s="127">
        <f>$B50*(1+$C$4)^(SUM($F$66:NW$66)+(SUM($F$67:NW$67)))</f>
        <v>0.14963461538461539</v>
      </c>
      <c r="NX68" s="127">
        <f>$B50*(1+$C$4)^(SUM($F$66:NX$66)+(SUM($F$67:NX$67)))</f>
        <v>0.14963461538461539</v>
      </c>
      <c r="NY68" s="127">
        <f>$B50*(1+$C$4)^(SUM($F$66:NY$66)+(SUM($F$67:NY$67)))</f>
        <v>0.14963461538461539</v>
      </c>
      <c r="NZ68" s="127">
        <f>$B50*(1+$C$4)^(SUM($F$66:NZ$66)+(SUM($F$67:NZ$67)))</f>
        <v>0.14963461538461539</v>
      </c>
      <c r="OA68" s="127">
        <f>$B50*(1+$C$4)^(SUM($F$66:OA$66)+(SUM($F$67:OA$67)))</f>
        <v>0.14963461538461539</v>
      </c>
      <c r="OB68" s="127">
        <f>$B50*(1+$C$4)^(SUM($F$66:OB$66)+(SUM($F$67:OB$67)))</f>
        <v>0.14963461538461539</v>
      </c>
      <c r="OC68" s="127">
        <f>$B50*(1+$C$4)^(SUM($F$66:OC$66)+(SUM($F$67:OC$67)))</f>
        <v>0.14963461538461539</v>
      </c>
      <c r="OD68" s="127">
        <f>$B50*(1+$C$4)^(SUM($F$66:OD$66)+(SUM($F$67:OD$67)))</f>
        <v>0.14963461538461539</v>
      </c>
      <c r="OE68" s="127">
        <f>$B50*(1+$C$4)^(SUM($F$66:OE$66)+(SUM($F$67:OE$67)))</f>
        <v>0.14963461538461539</v>
      </c>
      <c r="OF68" s="127">
        <f>$B50*(1+$C$4)^(SUM($F$66:OF$66)+(SUM($F$67:OF$67)))</f>
        <v>0.14963461538461539</v>
      </c>
      <c r="OG68" s="127">
        <f>$B50*(1+$C$4)^(SUM($F$66:OG$66)+(SUM($F$67:OG$67)))</f>
        <v>0.14963461538461539</v>
      </c>
      <c r="OH68" s="127">
        <f>$B50*(1+$C$4)^(SUM($F$66:OH$66)+(SUM($F$67:OH$67)))</f>
        <v>0.14963461538461539</v>
      </c>
      <c r="OI68" s="127">
        <f>$B50*(1+$C$4)^(SUM($F$66:OI$66)+(SUM($F$67:OI$67)))</f>
        <v>0.14963461538461539</v>
      </c>
      <c r="OJ68" s="127">
        <f>$B50*(1+$C$4)^(SUM($F$66:OJ$66)+(SUM($F$67:OJ$67)))</f>
        <v>0.14963461538461539</v>
      </c>
      <c r="OK68" s="127">
        <f>$B50*(1+$C$4)^(SUM($F$66:OK$66)+(SUM($F$67:OK$67)))</f>
        <v>0.14963461538461539</v>
      </c>
      <c r="OL68" s="127">
        <f>$B50*(1+$C$4)^(SUM($F$66:OL$66)+(SUM($F$67:OL$67)))</f>
        <v>0.14963461538461539</v>
      </c>
      <c r="OM68" s="127">
        <f>$B50*(1+$C$4)^(SUM($F$66:OM$66)+(SUM($F$67:OM$67)))</f>
        <v>0.14963461538461539</v>
      </c>
      <c r="ON68" s="127">
        <f>$B50*(1+$C$4)^(SUM($F$66:ON$66)+(SUM($F$67:ON$67)))</f>
        <v>0.14963461538461539</v>
      </c>
      <c r="OO68" s="127">
        <f>$B50*(1+$C$4)^(SUM($F$66:OO$66)+(SUM($F$67:OO$67)))</f>
        <v>0.14963461538461539</v>
      </c>
      <c r="OP68" s="127">
        <f>$B50*(1+$C$4)^(SUM($F$66:OP$66)+(SUM($F$67:OP$67)))</f>
        <v>0.14963461538461539</v>
      </c>
      <c r="OQ68" s="127">
        <f>$B50*(1+$C$4)^(SUM($F$66:OQ$66)+(SUM($F$67:OQ$67)))</f>
        <v>0.14963461538461539</v>
      </c>
      <c r="OR68" s="127">
        <f>$B50*(1+$C$4)^(SUM($F$66:OR$66)+(SUM($F$67:OR$67)))</f>
        <v>0.14963461538461539</v>
      </c>
      <c r="OS68" s="127">
        <f>$B50*(1+$C$4)^(SUM($F$66:OS$66)+(SUM($F$67:OS$67)))</f>
        <v>0.14963461538461539</v>
      </c>
      <c r="OT68" s="127">
        <f>$B50*(1+$C$4)^(SUM($F$66:OT$66)+(SUM($F$67:OT$67)))</f>
        <v>0.14963461538461539</v>
      </c>
      <c r="OU68" s="127">
        <f>$B50*(1+$C$4)^(SUM($F$66:OU$66)+(SUM($F$67:OU$67)))</f>
        <v>0.14963461538461539</v>
      </c>
      <c r="OV68" s="127">
        <f>$B50*(1+$C$4)^(SUM($F$66:OV$66)+(SUM($F$67:OV$67)))</f>
        <v>0.14963461538461539</v>
      </c>
      <c r="OW68" s="127">
        <f>$B50*(1+$C$4)^(SUM($F$66:OW$66)+(SUM($F$67:OW$67)))</f>
        <v>0.14963461538461539</v>
      </c>
      <c r="OX68" s="127">
        <f>$B50*(1+$C$4)^(SUM($F$66:OX$66)+(SUM($F$67:OX$67)))</f>
        <v>0.14963461538461539</v>
      </c>
      <c r="OY68" s="127">
        <f>$B50*(1+$C$4)^(SUM($F$66:OY$66)+(SUM($F$67:OY$67)))</f>
        <v>0.14963461538461539</v>
      </c>
      <c r="OZ68" s="127">
        <f>$B50*(1+$C$4)^(SUM($F$66:OZ$66)+(SUM($F$67:OZ$67)))</f>
        <v>0.14963461538461539</v>
      </c>
      <c r="PA68" s="127">
        <f>$B50*(1+$C$4)^(SUM($F$66:PA$66)+(SUM($F$67:PA$67)))</f>
        <v>0.14963461538461539</v>
      </c>
      <c r="PB68" s="127">
        <f>$B50*(1+$C$4)^(SUM($F$66:PB$66)+(SUM($F$67:PB$67)))</f>
        <v>0.14963461538461539</v>
      </c>
      <c r="PC68" s="127">
        <f>$B50*(1+$C$4)^(SUM($F$66:PC$66)+(SUM($F$67:PC$67)))</f>
        <v>0.14963461538461539</v>
      </c>
      <c r="PD68" s="127">
        <f>$B50*(1+$C$4)^(SUM($F$66:PD$66)+(SUM($F$67:PD$67)))</f>
        <v>0.14963461538461539</v>
      </c>
      <c r="PE68" s="127">
        <f>$B50*(1+$C$4)^(SUM($F$66:PE$66)+(SUM($F$67:PE$67)))</f>
        <v>0.14963461538461539</v>
      </c>
      <c r="PF68" s="127">
        <f>$B50*(1+$C$4)^(SUM($F$66:PF$66)+(SUM($F$67:PF$67)))</f>
        <v>0.14963461538461539</v>
      </c>
      <c r="PG68" s="127">
        <f>$B50*(1+$C$4)^(SUM($F$66:PG$66)+(SUM($F$67:PG$67)))</f>
        <v>0.14963461538461539</v>
      </c>
      <c r="PH68" s="127">
        <f>$B50*(1+$C$4)^(SUM($F$66:PH$66)+(SUM($F$67:PH$67)))</f>
        <v>0.14963461538461539</v>
      </c>
      <c r="PI68" s="127">
        <f>$B50*(1+$C$4)^(SUM($F$66:PI$66)+(SUM($F$67:PI$67)))</f>
        <v>0.14963461538461539</v>
      </c>
      <c r="PJ68" s="127">
        <f>$B50*(1+$C$4)^(SUM($F$66:PJ$66)+(SUM($F$67:PJ$67)))</f>
        <v>0.14963461538461539</v>
      </c>
      <c r="PK68" s="127">
        <f>$B50*(1+$C$4)^(SUM($F$66:PK$66)+(SUM($F$67:PK$67)))</f>
        <v>0.14963461538461539</v>
      </c>
      <c r="PL68" s="127">
        <f>$B50*(1+$C$4)^(SUM($F$66:PL$66)+(SUM($F$67:PL$67)))</f>
        <v>0.14963461538461539</v>
      </c>
      <c r="PM68" s="127">
        <f>$B50*(1+$C$4)^(SUM($F$66:PM$66)+(SUM($F$67:PM$67)))</f>
        <v>0.14963461538461539</v>
      </c>
      <c r="PN68" s="127">
        <f>$B50*(1+$C$4)^(SUM($F$66:PN$66)+(SUM($F$67:PN$67)))</f>
        <v>0.14963461538461539</v>
      </c>
      <c r="PO68" s="127">
        <f>$B50*(1+$C$4)^(SUM($F$66:PO$66)+(SUM($F$67:PO$67)))</f>
        <v>0.14963461538461539</v>
      </c>
      <c r="PP68" s="127">
        <f>$B50*(1+$C$4)^(SUM($F$66:PP$66)+(SUM($F$67:PP$67)))</f>
        <v>0.14963461538461539</v>
      </c>
      <c r="PQ68" s="127">
        <f>$B50*(1+$C$4)^(SUM($F$66:PQ$66)+(SUM($F$67:PQ$67)))</f>
        <v>0.14963461538461539</v>
      </c>
      <c r="PR68" s="127">
        <f>$B50*(1+$C$4)^(SUM($F$66:PR$66)+(SUM($F$67:PR$67)))</f>
        <v>0.14963461538461539</v>
      </c>
      <c r="PS68" s="127">
        <f>$B50*(1+$C$4)^(SUM($F$66:PS$66)+(SUM($F$67:PS$67)))</f>
        <v>0.14963461538461539</v>
      </c>
      <c r="PT68" s="127">
        <f>$B50*(1+$C$4)^(SUM($F$66:PT$66)+(SUM($F$67:PT$67)))</f>
        <v>0.14963461538461539</v>
      </c>
      <c r="PU68" s="127">
        <f>$B50*(1+$C$4)^(SUM($F$66:PU$66)+(SUM($F$67:PU$67)))</f>
        <v>0.14963461538461539</v>
      </c>
      <c r="PV68" s="127">
        <f>$B50*(1+$C$4)^(SUM($F$66:PV$66)+(SUM($F$67:PV$67)))</f>
        <v>0.14963461538461539</v>
      </c>
      <c r="PW68" s="127">
        <f>$B50*(1+$C$4)^(SUM($F$66:PW$66)+(SUM($F$67:PW$67)))</f>
        <v>0.14963461538461539</v>
      </c>
      <c r="PX68" s="127">
        <f>$B50*(1+$C$4)^(SUM($F$66:PX$66)+(SUM($F$67:PX$67)))</f>
        <v>0.14963461538461539</v>
      </c>
      <c r="PY68" s="127">
        <f>$B50*(1+$C$4)^(SUM($F$66:PY$66)+(SUM($F$67:PY$67)))</f>
        <v>0.14963461538461539</v>
      </c>
      <c r="PZ68" s="127">
        <f>$B50*(1+$C$4)^(SUM($F$66:PZ$66)+(SUM($F$67:PZ$67)))</f>
        <v>0.14963461538461539</v>
      </c>
      <c r="QA68" s="127">
        <f>$B50*(1+$C$4)^(SUM($F$66:QA$66)+(SUM($F$67:QA$67)))</f>
        <v>0.14963461538461539</v>
      </c>
      <c r="QB68" s="127">
        <f>$B50*(1+$C$4)^(SUM($F$66:QB$66)+(SUM($F$67:QB$67)))</f>
        <v>0.14963461538461539</v>
      </c>
      <c r="QC68" s="127">
        <f>$B50*(1+$C$4)^(SUM($F$66:QC$66)+(SUM($F$67:QC$67)))</f>
        <v>0.14963461538461539</v>
      </c>
      <c r="QD68" s="127">
        <f>$B50*(1+$C$4)^(SUM($F$66:QD$66)+(SUM($F$67:QD$67)))</f>
        <v>0.14963461538461539</v>
      </c>
      <c r="QE68" s="127">
        <f>$B50*(1+$C$4)^(SUM($F$66:QE$66)+(SUM($F$67:QE$67)))</f>
        <v>0.14963461538461539</v>
      </c>
      <c r="QF68" s="127">
        <f>$B50*(1+$C$4)^(SUM($F$66:QF$66)+(SUM($F$67:QF$67)))</f>
        <v>0.14963461538461539</v>
      </c>
      <c r="QG68" s="127">
        <f>$B50*(1+$C$4)^(SUM($F$66:QG$66)+(SUM($F$67:QG$67)))</f>
        <v>0.14963461538461539</v>
      </c>
      <c r="QH68" s="127">
        <f>$B50*(1+$C$4)^(SUM($F$66:QH$66)+(SUM($F$67:QH$67)))</f>
        <v>0.14963461538461539</v>
      </c>
      <c r="QI68" s="127">
        <f>$B50*(1+$C$4)^(SUM($F$66:QI$66)+(SUM($F$67:QI$67)))</f>
        <v>0.14963461538461539</v>
      </c>
      <c r="QJ68" s="127">
        <f>$B50*(1+$C$4)^(SUM($F$66:QJ$66)+(SUM($F$67:QJ$67)))</f>
        <v>0.14963461538461539</v>
      </c>
      <c r="QK68" s="127">
        <f>$B50*(1+$C$4)^(SUM($F$66:QK$66)+(SUM($F$67:QK$67)))</f>
        <v>0.14963461538461539</v>
      </c>
      <c r="QL68" s="127">
        <f>$B50*(1+$C$4)^(SUM($F$66:QL$66)+(SUM($F$67:QL$67)))</f>
        <v>0.14963461538461539</v>
      </c>
      <c r="QM68" s="127">
        <f>$B50*(1+$C$4)^(SUM($F$66:QM$66)+(SUM($F$67:QM$67)))</f>
        <v>0.14963461538461539</v>
      </c>
      <c r="QN68" s="127">
        <f>$B50*(1+$C$4)^(SUM($F$66:QN$66)+(SUM($F$67:QN$67)))</f>
        <v>0.14963461538461539</v>
      </c>
      <c r="QO68" s="127">
        <f>$B50*(1+$C$4)^(SUM($F$66:QO$66)+(SUM($F$67:QO$67)))</f>
        <v>0.14963461538461539</v>
      </c>
      <c r="QP68" s="127">
        <f>$B50*(1+$C$4)^(SUM($F$66:QP$66)+(SUM($F$67:QP$67)))</f>
        <v>0.14963461538461539</v>
      </c>
      <c r="QQ68" s="127">
        <f>$B50*(1+$C$4)^(SUM($F$66:QQ$66)+(SUM($F$67:QQ$67)))</f>
        <v>0.14963461538461539</v>
      </c>
      <c r="QR68" s="127">
        <f>$B50*(1+$C$4)^(SUM($F$66:QR$66)+(SUM($F$67:QR$67)))</f>
        <v>0.14963461538461539</v>
      </c>
      <c r="QS68" s="127">
        <f>$B50*(1+$C$4)^(SUM($F$66:QS$66)+(SUM($F$67:QS$67)))</f>
        <v>0.14963461538461539</v>
      </c>
      <c r="QT68" s="127">
        <f>$B50*(1+$C$4)^(SUM($F$66:QT$66)+(SUM($F$67:QT$67)))</f>
        <v>0.14963461538461539</v>
      </c>
      <c r="QU68" s="127">
        <f>$B50*(1+$C$4)^(SUM($F$66:QU$66)+(SUM($F$67:QU$67)))</f>
        <v>0.14963461538461539</v>
      </c>
      <c r="QV68" s="127">
        <f>$B50*(1+$C$4)^(SUM($F$66:QV$66)+(SUM($F$67:QV$67)))</f>
        <v>0.14963461538461539</v>
      </c>
      <c r="QW68" s="127">
        <f>$B50*(1+$C$4)^(SUM($F$66:QW$66)+(SUM($F$67:QW$67)))</f>
        <v>0.14963461538461539</v>
      </c>
      <c r="QX68" s="127">
        <f>$B50*(1+$C$4)^(SUM($F$66:QX$66)+(SUM($F$67:QX$67)))</f>
        <v>0.14963461538461539</v>
      </c>
      <c r="QY68" s="127">
        <f>$B50*(1+$C$4)^(SUM($F$66:QY$66)+(SUM($F$67:QY$67)))</f>
        <v>0.14963461538461539</v>
      </c>
      <c r="QZ68" s="127">
        <f>$B50*(1+$C$4)^(SUM($F$66:QZ$66)+(SUM($F$67:QZ$67)))</f>
        <v>0.14963461538461539</v>
      </c>
      <c r="RA68" s="127">
        <f>$B50*(1+$C$4)^(SUM($F$66:RA$66)+(SUM($F$67:RA$67)))</f>
        <v>0.14963461538461539</v>
      </c>
      <c r="RB68" s="127">
        <f>$B50*(1+$C$4)^(SUM($F$66:RB$66)+(SUM($F$67:RB$67)))</f>
        <v>0.14963461538461539</v>
      </c>
      <c r="RC68" s="127">
        <f>$B50*(1+$C$4)^(SUM($F$66:RC$66)+(SUM($F$67:RC$67)))</f>
        <v>0.14963461538461539</v>
      </c>
      <c r="RD68" s="127">
        <f>$B50*(1+$C$4)^(SUM($F$66:RD$66)+(SUM($F$67:RD$67)))</f>
        <v>0.14963461538461539</v>
      </c>
      <c r="RE68" s="127">
        <f>$B50*(1+$C$4)^(SUM($F$66:RE$66)+(SUM($F$67:RE$67)))</f>
        <v>0.14963461538461539</v>
      </c>
      <c r="RF68" s="127">
        <f>$B50*(1+$C$4)^(SUM($F$66:RF$66)+(SUM($F$67:RF$67)))</f>
        <v>0.14963461538461539</v>
      </c>
      <c r="RG68" s="127">
        <f>$B50*(1+$C$4)^(SUM($F$66:RG$66)+(SUM($F$67:RG$67)))</f>
        <v>0.14963461538461539</v>
      </c>
      <c r="RH68" s="127">
        <f>$B50*(1+$C$4)^(SUM($F$66:RH$66)+(SUM($F$67:RH$67)))</f>
        <v>0.14963461538461539</v>
      </c>
      <c r="RI68" s="127">
        <f>$B50*(1+$C$4)^(SUM($F$66:RI$66)+(SUM($F$67:RI$67)))</f>
        <v>0.14963461538461539</v>
      </c>
      <c r="RJ68" s="127">
        <f>$B50*(1+$C$4)^(SUM($F$66:RJ$66)+(SUM($F$67:RJ$67)))</f>
        <v>0.14963461538461539</v>
      </c>
      <c r="RK68" s="127">
        <f>$B50*(1+$C$4)^(SUM($F$66:RK$66)+(SUM($F$67:RK$67)))</f>
        <v>0.14963461538461539</v>
      </c>
      <c r="RL68" s="127">
        <f>$B50*(1+$C$4)^(SUM($F$66:RL$66)+(SUM($F$67:RL$67)))</f>
        <v>0.14963461538461539</v>
      </c>
      <c r="RM68" s="127">
        <f>$B50*(1+$C$4)^(SUM($F$66:RM$66)+(SUM($F$67:RM$67)))</f>
        <v>0.14963461538461539</v>
      </c>
      <c r="RN68" s="127">
        <f>$B50*(1+$C$4)^(SUM($F$66:RN$66)+(SUM($F$67:RN$67)))</f>
        <v>0.14963461538461539</v>
      </c>
      <c r="RO68" s="127">
        <f>$B50*(1+$C$4)^(SUM($F$66:RO$66)+(SUM($F$67:RO$67)))</f>
        <v>0.14963461538461539</v>
      </c>
      <c r="RP68" s="127">
        <f>$B50*(1+$C$4)^(SUM($F$66:RP$66)+(SUM($F$67:RP$67)))</f>
        <v>0.14963461538461539</v>
      </c>
      <c r="RQ68" s="127">
        <f>$B50*(1+$C$4)^(SUM($F$66:RQ$66)+(SUM($F$67:RQ$67)))</f>
        <v>0.14963461538461539</v>
      </c>
      <c r="RR68" s="127">
        <f>$B50*(1+$C$4)^(SUM($F$66:RR$66)+(SUM($F$67:RR$67)))</f>
        <v>0.14963461538461539</v>
      </c>
    </row>
    <row r="69" spans="1:486" s="9" customFormat="1">
      <c r="A69" s="289"/>
      <c r="B69" s="39" t="s">
        <v>230</v>
      </c>
      <c r="E69" s="127">
        <f t="shared" ref="E69:E73" si="27">B51</f>
        <v>0.14763552631578947</v>
      </c>
      <c r="F69" s="127">
        <f>$B51*(1+$C$4)^(SUM($F$66:F$66)+(SUM($F$67:F$67)))</f>
        <v>0.14763552631578947</v>
      </c>
      <c r="G69" s="127">
        <f>$B51*(1+$C$4)^(SUM($F$66:G$66)+(SUM($F$67:G$67)))</f>
        <v>0.14763552631578947</v>
      </c>
      <c r="H69" s="127">
        <f>$B51*(1+$C$4)^(SUM($F$66:H$66)+(SUM($F$67:H$67)))</f>
        <v>0.14763552631578947</v>
      </c>
      <c r="I69" s="127">
        <f>$B51*(1+$C$4)^(SUM($F$66:I$66)+(SUM($F$67:I$67)))</f>
        <v>0.14763552631578947</v>
      </c>
      <c r="J69" s="127">
        <f>$B51*(1+$C$4)^(SUM($F$66:J$66)+(SUM($F$67:J$67)))</f>
        <v>0.14763552631578947</v>
      </c>
      <c r="K69" s="127">
        <f>$B51*(1+$C$4)^(SUM($F$66:K$66)+(SUM($F$67:K$67)))</f>
        <v>0.14763552631578947</v>
      </c>
      <c r="L69" s="127">
        <f>$B51*(1+$C$4)^(SUM($F$66:L$66)+(SUM($F$67:L$67)))</f>
        <v>0.14763552631578947</v>
      </c>
      <c r="M69" s="127">
        <f>$B51*(1+$C$4)^(SUM($F$66:M$66)+(SUM($F$67:M$67)))</f>
        <v>0.14763552631578947</v>
      </c>
      <c r="N69" s="127">
        <f>$B51*(1+$C$4)^(SUM($F$66:N$66)+(SUM($F$67:N$67)))</f>
        <v>0.14763552631578947</v>
      </c>
      <c r="O69" s="127">
        <f>$B51*(1+$C$4)^(SUM($F$66:O$66)+(SUM($F$67:O$67)))</f>
        <v>0.14763552631578947</v>
      </c>
      <c r="P69" s="127">
        <f>$B51*(1+$C$4)^(SUM($F$66:P$66)+(SUM($F$67:P$67)))</f>
        <v>0.14763552631578947</v>
      </c>
      <c r="Q69" s="127">
        <f>$B51*(1+$C$4)^(SUM($F$66:Q$66)+(SUM($F$67:Q$67)))</f>
        <v>0.14763552631578947</v>
      </c>
      <c r="R69" s="127">
        <f>$B51*(1+$C$4)^(SUM($F$66:R$66)+(SUM($F$67:R$67)))</f>
        <v>0.14763552631578947</v>
      </c>
      <c r="S69" s="127">
        <f>$B51*(1+$C$4)^(SUM($F$66:S$66)+(SUM($F$67:S$67)))</f>
        <v>0.14763552631578947</v>
      </c>
      <c r="T69" s="127">
        <f>$B51*(1+$C$4)^(SUM($F$66:T$66)+(SUM($F$67:T$67)))</f>
        <v>0.14763552631578947</v>
      </c>
      <c r="U69" s="127">
        <f>$B51*(1+$C$4)^(SUM($F$66:U$66)+(SUM($F$67:U$67)))</f>
        <v>0.14763552631578947</v>
      </c>
      <c r="V69" s="127">
        <f>$B51*(1+$C$4)^(SUM($F$66:V$66)+(SUM($F$67:V$67)))</f>
        <v>0.14763552631578947</v>
      </c>
      <c r="W69" s="127">
        <f>$B51*(1+$C$4)^(SUM($F$66:W$66)+(SUM($F$67:W$67)))</f>
        <v>0.14763552631578947</v>
      </c>
      <c r="X69" s="127">
        <f>$B51*(1+$C$4)^(SUM($F$66:X$66)+(SUM($F$67:X$67)))</f>
        <v>0.14763552631578947</v>
      </c>
      <c r="Y69" s="127">
        <f>$B51*(1+$C$4)^(SUM($F$66:Y$66)+(SUM($F$67:Y$67)))</f>
        <v>0.14763552631578947</v>
      </c>
      <c r="Z69" s="127">
        <f>$B51*(1+$C$4)^(SUM($F$66:Z$66)+(SUM($F$67:Z$67)))</f>
        <v>0.14763552631578947</v>
      </c>
      <c r="AA69" s="127">
        <f>$B51*(1+$C$4)^(SUM($F$66:AA$66)+(SUM($F$67:AA$67)))</f>
        <v>0.14763552631578947</v>
      </c>
      <c r="AB69" s="127">
        <f>$B51*(1+$C$4)^(SUM($F$66:AB$66)+(SUM($F$67:AB$67)))</f>
        <v>0.14763552631578947</v>
      </c>
      <c r="AC69" s="127">
        <f>$B51*(1+$C$4)^(SUM($F$66:AC$66)+(SUM($F$67:AC$67)))</f>
        <v>0.14763552631578947</v>
      </c>
      <c r="AD69" s="127">
        <f>$B51*(1+$C$4)^(SUM($F$66:AD$66)+(SUM($F$67:AD$67)))</f>
        <v>0.14763552631578947</v>
      </c>
      <c r="AE69" s="127">
        <f>$B51*(1+$C$4)^(SUM($F$66:AE$66)+(SUM($F$67:AE$67)))</f>
        <v>0.14763552631578947</v>
      </c>
      <c r="AF69" s="127">
        <f>$B51*(1+$C$4)^(SUM($F$66:AF$66)+(SUM($F$67:AF$67)))</f>
        <v>0.14763552631578947</v>
      </c>
      <c r="AG69" s="127">
        <f>$B51*(1+$C$4)^(SUM($F$66:AG$66)+(SUM($F$67:AG$67)))</f>
        <v>0.14763552631578947</v>
      </c>
      <c r="AH69" s="127">
        <f>$B51*(1+$C$4)^(SUM($F$66:AH$66)+(SUM($F$67:AH$67)))</f>
        <v>0.14763552631578947</v>
      </c>
      <c r="AI69" s="127">
        <f>$B51*(1+$C$4)^(SUM($F$66:AI$66)+(SUM($F$67:AI$67)))</f>
        <v>0.14763552631578947</v>
      </c>
      <c r="AJ69" s="127">
        <f>$B51*(1+$C$4)^(SUM($F$66:AJ$66)+(SUM($F$67:AJ$67)))</f>
        <v>0.14763552631578947</v>
      </c>
      <c r="AK69" s="127">
        <f>$B51*(1+$C$4)^(SUM($F$66:AK$66)+(SUM($F$67:AK$67)))</f>
        <v>0.14763552631578947</v>
      </c>
      <c r="AL69" s="127">
        <f>$B51*(1+$C$4)^(SUM($F$66:AL$66)+(SUM($F$67:AL$67)))</f>
        <v>0.14763552631578947</v>
      </c>
      <c r="AM69" s="127">
        <f>$B51*(1+$C$4)^(SUM($F$66:AM$66)+(SUM($F$67:AM$67)))</f>
        <v>0.14763552631578947</v>
      </c>
      <c r="AN69" s="127">
        <f>$B51*(1+$C$4)^(SUM($F$66:AN$66)+(SUM($F$67:AN$67)))</f>
        <v>0.14763552631578947</v>
      </c>
      <c r="AO69" s="127">
        <f>$B51*(1+$C$4)^(SUM($F$66:AO$66)+(SUM($F$67:AO$67)))</f>
        <v>0.14763552631578947</v>
      </c>
      <c r="AP69" s="127">
        <f>$B51*(1+$C$4)^(SUM($F$66:AP$66)+(SUM($F$67:AP$67)))</f>
        <v>0.14763552631578947</v>
      </c>
      <c r="AQ69" s="127">
        <f>$B51*(1+$C$4)^(SUM($F$66:AQ$66)+(SUM($F$67:AQ$67)))</f>
        <v>0.14763552631578947</v>
      </c>
      <c r="AR69" s="127">
        <f>$B51*(1+$C$4)^(SUM($F$66:AR$66)+(SUM($F$67:AR$67)))</f>
        <v>0.14763552631578947</v>
      </c>
      <c r="AS69" s="127">
        <f>$B51*(1+$C$4)^(SUM($F$66:AS$66)+(SUM($F$67:AS$67)))</f>
        <v>0.14763552631578947</v>
      </c>
      <c r="AT69" s="127">
        <f>$B51*(1+$C$4)^(SUM($F$66:AT$66)+(SUM($F$67:AT$67)))</f>
        <v>0.14763552631578947</v>
      </c>
      <c r="AU69" s="127">
        <f>$B51*(1+$C$4)^(SUM($F$66:AU$66)+(SUM($F$67:AU$67)))</f>
        <v>0.14763552631578947</v>
      </c>
      <c r="AV69" s="127">
        <f>$B51*(1+$C$4)^(SUM($F$66:AV$66)+(SUM($F$67:AV$67)))</f>
        <v>0.14763552631578947</v>
      </c>
      <c r="AW69" s="127">
        <f>$B51*(1+$C$4)^(SUM($F$66:AW$66)+(SUM($F$67:AW$67)))</f>
        <v>0.14763552631578947</v>
      </c>
      <c r="AX69" s="127">
        <f>$B51*(1+$C$4)^(SUM($F$66:AX$66)+(SUM($F$67:AX$67)))</f>
        <v>0.14763552631578947</v>
      </c>
      <c r="AY69" s="127">
        <f>$B51*(1+$C$4)^(SUM($F$66:AY$66)+(SUM($F$67:AY$67)))</f>
        <v>0.14763552631578947</v>
      </c>
      <c r="AZ69" s="127">
        <f>$B51*(1+$C$4)^(SUM($F$66:AZ$66)+(SUM($F$67:AZ$67)))</f>
        <v>0.14763552631578947</v>
      </c>
      <c r="BA69" s="127">
        <f>$B51*(1+$C$4)^(SUM($F$66:BA$66)+(SUM($F$67:BA$67)))</f>
        <v>0.14763552631578947</v>
      </c>
      <c r="BB69" s="127">
        <f>$B51*(1+$C$4)^(SUM($F$66:BB$66)+(SUM($F$67:BB$67)))</f>
        <v>0.14763552631578947</v>
      </c>
      <c r="BC69" s="127">
        <f>$B51*(1+$C$4)^(SUM($F$66:BC$66)+(SUM($F$67:BC$67)))</f>
        <v>0.14763552631578947</v>
      </c>
      <c r="BD69" s="127">
        <f>$B51*(1+$C$4)^(SUM($F$66:BD$66)+(SUM($F$67:BD$67)))</f>
        <v>0.14763552631578947</v>
      </c>
      <c r="BE69" s="127">
        <f>$B51*(1+$C$4)^(SUM($F$66:BE$66)+(SUM($F$67:BE$67)))</f>
        <v>0.14763552631578947</v>
      </c>
      <c r="BF69" s="127">
        <f>$B51*(1+$C$4)^(SUM($F$66:BF$66)+(SUM($F$67:BF$67)))</f>
        <v>0.14763552631578947</v>
      </c>
      <c r="BG69" s="127">
        <f>$B51*(1+$C$4)^(SUM($F$66:BG$66)+(SUM($F$67:BG$67)))</f>
        <v>0.14763552631578947</v>
      </c>
      <c r="BH69" s="127">
        <f>$B51*(1+$C$4)^(SUM($F$66:BH$66)+(SUM($F$67:BH$67)))</f>
        <v>0.14763552631578947</v>
      </c>
      <c r="BI69" s="127">
        <f>$B51*(1+$C$4)^(SUM($F$66:BI$66)+(SUM($F$67:BI$67)))</f>
        <v>0.14763552631578947</v>
      </c>
      <c r="BJ69" s="127">
        <f>$B51*(1+$C$4)^(SUM($F$66:BJ$66)+(SUM($F$67:BJ$67)))</f>
        <v>0.14763552631578947</v>
      </c>
      <c r="BK69" s="127">
        <f>$B51*(1+$C$4)^(SUM($F$66:BK$66)+(SUM($F$67:BK$67)))</f>
        <v>0.14763552631578947</v>
      </c>
      <c r="BL69" s="127">
        <f>$B51*(1+$C$4)^(SUM($F$66:BL$66)+(SUM($F$67:BL$67)))</f>
        <v>0.14763552631578947</v>
      </c>
      <c r="BM69" s="127">
        <f>$B51*(1+$C$4)^(SUM($F$66:BM$66)+(SUM($F$67:BM$67)))</f>
        <v>0.14763552631578947</v>
      </c>
      <c r="BN69" s="127">
        <f>$B51*(1+$C$4)^(SUM($F$66:BN$66)+(SUM($F$67:BN$67)))</f>
        <v>0.14763552631578947</v>
      </c>
      <c r="BO69" s="127">
        <f>$B51*(1+$C$4)^(SUM($F$66:BO$66)+(SUM($F$67:BO$67)))</f>
        <v>0.14763552631578947</v>
      </c>
      <c r="BP69" s="127">
        <f>$B51*(1+$C$4)^(SUM($F$66:BP$66)+(SUM($F$67:BP$67)))</f>
        <v>0.14763552631578947</v>
      </c>
      <c r="BQ69" s="127">
        <f>$B51*(1+$C$4)^(SUM($F$66:BQ$66)+(SUM($F$67:BQ$67)))</f>
        <v>0.14763552631578947</v>
      </c>
      <c r="BR69" s="127">
        <f>$B51*(1+$C$4)^(SUM($F$66:BR$66)+(SUM($F$67:BR$67)))</f>
        <v>0.14763552631578947</v>
      </c>
      <c r="BS69" s="127">
        <f>$B51*(1+$C$4)^(SUM($F$66:BS$66)+(SUM($F$67:BS$67)))</f>
        <v>0.14763552631578947</v>
      </c>
      <c r="BT69" s="127">
        <f>$B51*(1+$C$4)^(SUM($F$66:BT$66)+(SUM($F$67:BT$67)))</f>
        <v>0.14763552631578947</v>
      </c>
      <c r="BU69" s="127">
        <f>$B51*(1+$C$4)^(SUM($F$66:BU$66)+(SUM($F$67:BU$67)))</f>
        <v>0.14763552631578947</v>
      </c>
      <c r="BV69" s="127">
        <f>$B51*(1+$C$4)^(SUM($F$66:BV$66)+(SUM($F$67:BV$67)))</f>
        <v>0.14763552631578947</v>
      </c>
      <c r="BW69" s="127">
        <f>$B51*(1+$C$4)^(SUM($F$66:BW$66)+(SUM($F$67:BW$67)))</f>
        <v>0.14763552631578947</v>
      </c>
      <c r="BX69" s="127">
        <f>$B51*(1+$C$4)^(SUM($F$66:BX$66)+(SUM($F$67:BX$67)))</f>
        <v>0.14763552631578947</v>
      </c>
      <c r="BY69" s="127">
        <f>$B51*(1+$C$4)^(SUM($F$66:BY$66)+(SUM($F$67:BY$67)))</f>
        <v>0.14763552631578947</v>
      </c>
      <c r="BZ69" s="127">
        <f>$B51*(1+$C$4)^(SUM($F$66:BZ$66)+(SUM($F$67:BZ$67)))</f>
        <v>0.14763552631578947</v>
      </c>
      <c r="CA69" s="127">
        <f>$B51*(1+$C$4)^(SUM($F$66:CA$66)+(SUM($F$67:CA$67)))</f>
        <v>0.14763552631578947</v>
      </c>
      <c r="CB69" s="127">
        <f>$B51*(1+$C$4)^(SUM($F$66:CB$66)+(SUM($F$67:CB$67)))</f>
        <v>0.14763552631578947</v>
      </c>
      <c r="CC69" s="127">
        <f>$B51*(1+$C$4)^(SUM($F$66:CC$66)+(SUM($F$67:CC$67)))</f>
        <v>0.14763552631578947</v>
      </c>
      <c r="CD69" s="127">
        <f>$B51*(1+$C$4)^(SUM($F$66:CD$66)+(SUM($F$67:CD$67)))</f>
        <v>0.14763552631578947</v>
      </c>
      <c r="CE69" s="127">
        <f>$B51*(1+$C$4)^(SUM($F$66:CE$66)+(SUM($F$67:CE$67)))</f>
        <v>0.14763552631578947</v>
      </c>
      <c r="CF69" s="127">
        <f>$B51*(1+$C$4)^(SUM($F$66:CF$66)+(SUM($F$67:CF$67)))</f>
        <v>0.14763552631578947</v>
      </c>
      <c r="CG69" s="127">
        <f>$B51*(1+$C$4)^(SUM($F$66:CG$66)+(SUM($F$67:CG$67)))</f>
        <v>0.14763552631578947</v>
      </c>
      <c r="CH69" s="127">
        <f>$B51*(1+$C$4)^(SUM($F$66:CH$66)+(SUM($F$67:CH$67)))</f>
        <v>0.14763552631578947</v>
      </c>
      <c r="CI69" s="127">
        <f>$B51*(1+$C$4)^(SUM($F$66:CI$66)+(SUM($F$67:CI$67)))</f>
        <v>0.14763552631578947</v>
      </c>
      <c r="CJ69" s="127">
        <f>$B51*(1+$C$4)^(SUM($F$66:CJ$66)+(SUM($F$67:CJ$67)))</f>
        <v>0.14763552631578947</v>
      </c>
      <c r="CK69" s="127">
        <f>$B51*(1+$C$4)^(SUM($F$66:CK$66)+(SUM($F$67:CK$67)))</f>
        <v>0.14763552631578947</v>
      </c>
      <c r="CL69" s="127">
        <f>$B51*(1+$C$4)^(SUM($F$66:CL$66)+(SUM($F$67:CL$67)))</f>
        <v>0.14763552631578947</v>
      </c>
      <c r="CM69" s="127">
        <f>$B51*(1+$C$4)^(SUM($F$66:CM$66)+(SUM($F$67:CM$67)))</f>
        <v>0.14763552631578947</v>
      </c>
      <c r="CN69" s="127">
        <f>$B51*(1+$C$4)^(SUM($F$66:CN$66)+(SUM($F$67:CN$67)))</f>
        <v>0.14763552631578947</v>
      </c>
      <c r="CO69" s="127">
        <f>$B51*(1+$C$4)^(SUM($F$66:CO$66)+(SUM($F$67:CO$67)))</f>
        <v>0.14763552631578947</v>
      </c>
      <c r="CP69" s="127">
        <f>$B51*(1+$C$4)^(SUM($F$66:CP$66)+(SUM($F$67:CP$67)))</f>
        <v>0.14763552631578947</v>
      </c>
      <c r="CQ69" s="127">
        <f>$B51*(1+$C$4)^(SUM($F$66:CQ$66)+(SUM($F$67:CQ$67)))</f>
        <v>0.14763552631578947</v>
      </c>
      <c r="CR69" s="127">
        <f>$B51*(1+$C$4)^(SUM($F$66:CR$66)+(SUM($F$67:CR$67)))</f>
        <v>0.14763552631578947</v>
      </c>
      <c r="CS69" s="127">
        <f>$B51*(1+$C$4)^(SUM($F$66:CS$66)+(SUM($F$67:CS$67)))</f>
        <v>0.14763552631578947</v>
      </c>
      <c r="CT69" s="127">
        <f>$B51*(1+$C$4)^(SUM($F$66:CT$66)+(SUM($F$67:CT$67)))</f>
        <v>0.14763552631578947</v>
      </c>
      <c r="CU69" s="127">
        <f>$B51*(1+$C$4)^(SUM($F$66:CU$66)+(SUM($F$67:CU$67)))</f>
        <v>0.14763552631578947</v>
      </c>
      <c r="CV69" s="127">
        <f>$B51*(1+$C$4)^(SUM($F$66:CV$66)+(SUM($F$67:CV$67)))</f>
        <v>0.14763552631578947</v>
      </c>
      <c r="CW69" s="127">
        <f>$B51*(1+$C$4)^(SUM($F$66:CW$66)+(SUM($F$67:CW$67)))</f>
        <v>0.14763552631578947</v>
      </c>
      <c r="CX69" s="127">
        <f>$B51*(1+$C$4)^(SUM($F$66:CX$66)+(SUM($F$67:CX$67)))</f>
        <v>0.14763552631578947</v>
      </c>
      <c r="CY69" s="127">
        <f>$B51*(1+$C$4)^(SUM($F$66:CY$66)+(SUM($F$67:CY$67)))</f>
        <v>0.14763552631578947</v>
      </c>
      <c r="CZ69" s="127">
        <f>$B51*(1+$C$4)^(SUM($F$66:CZ$66)+(SUM($F$67:CZ$67)))</f>
        <v>0.14763552631578947</v>
      </c>
      <c r="DA69" s="127">
        <f>$B51*(1+$C$4)^(SUM($F$66:DA$66)+(SUM($F$67:DA$67)))</f>
        <v>0.14763552631578947</v>
      </c>
      <c r="DB69" s="127">
        <f>$B51*(1+$C$4)^(SUM($F$66:DB$66)+(SUM($F$67:DB$67)))</f>
        <v>0.14763552631578947</v>
      </c>
      <c r="DC69" s="127">
        <f>$B51*(1+$C$4)^(SUM($F$66:DC$66)+(SUM($F$67:DC$67)))</f>
        <v>0.14763552631578947</v>
      </c>
      <c r="DD69" s="127">
        <f>$B51*(1+$C$4)^(SUM($F$66:DD$66)+(SUM($F$67:DD$67)))</f>
        <v>0.14763552631578947</v>
      </c>
      <c r="DE69" s="127">
        <f>$B51*(1+$C$4)^(SUM($F$66:DE$66)+(SUM($F$67:DE$67)))</f>
        <v>0.14763552631578947</v>
      </c>
      <c r="DF69" s="127">
        <f>$B51*(1+$C$4)^(SUM($F$66:DF$66)+(SUM($F$67:DF$67)))</f>
        <v>0.14763552631578947</v>
      </c>
      <c r="DG69" s="127">
        <f>$B51*(1+$C$4)^(SUM($F$66:DG$66)+(SUM($F$67:DG$67)))</f>
        <v>0.14763552631578947</v>
      </c>
      <c r="DH69" s="127">
        <f>$B51*(1+$C$4)^(SUM($F$66:DH$66)+(SUM($F$67:DH$67)))</f>
        <v>0.14763552631578947</v>
      </c>
      <c r="DI69" s="127">
        <f>$B51*(1+$C$4)^(SUM($F$66:DI$66)+(SUM($F$67:DI$67)))</f>
        <v>0.14763552631578947</v>
      </c>
      <c r="DJ69" s="127">
        <f>$B51*(1+$C$4)^(SUM($F$66:DJ$66)+(SUM($F$67:DJ$67)))</f>
        <v>0.14763552631578947</v>
      </c>
      <c r="DK69" s="127">
        <f>$B51*(1+$C$4)^(SUM($F$66:DK$66)+(SUM($F$67:DK$67)))</f>
        <v>0.14763552631578947</v>
      </c>
      <c r="DL69" s="127">
        <f>$B51*(1+$C$4)^(SUM($F$66:DL$66)+(SUM($F$67:DL$67)))</f>
        <v>0.14763552631578947</v>
      </c>
      <c r="DM69" s="127">
        <f>$B51*(1+$C$4)^(SUM($F$66:DM$66)+(SUM($F$67:DM$67)))</f>
        <v>0.14763552631578947</v>
      </c>
      <c r="DN69" s="127">
        <f>$B51*(1+$C$4)^(SUM($F$66:DN$66)+(SUM($F$67:DN$67)))</f>
        <v>0.14763552631578947</v>
      </c>
      <c r="DO69" s="127">
        <f>$B51*(1+$C$4)^(SUM($F$66:DO$66)+(SUM($F$67:DO$67)))</f>
        <v>0.14763552631578947</v>
      </c>
      <c r="DP69" s="127">
        <f>$B51*(1+$C$4)^(SUM($F$66:DP$66)+(SUM($F$67:DP$67)))</f>
        <v>0.14763552631578947</v>
      </c>
      <c r="DQ69" s="127">
        <f>$B51*(1+$C$4)^(SUM($F$66:DQ$66)+(SUM($F$67:DQ$67)))</f>
        <v>0.14763552631578947</v>
      </c>
      <c r="DR69" s="127">
        <f>$B51*(1+$C$4)^(SUM($F$66:DR$66)+(SUM($F$67:DR$67)))</f>
        <v>0.14763552631578947</v>
      </c>
      <c r="DS69" s="127">
        <f>$B51*(1+$C$4)^(SUM($F$66:DS$66)+(SUM($F$67:DS$67)))</f>
        <v>0.14763552631578947</v>
      </c>
      <c r="DT69" s="127">
        <f>$B51*(1+$C$4)^(SUM($F$66:DT$66)+(SUM($F$67:DT$67)))</f>
        <v>0.14763552631578947</v>
      </c>
      <c r="DU69" s="127">
        <f>$B51*(1+$C$4)^(SUM($F$66:DU$66)+(SUM($F$67:DU$67)))</f>
        <v>0.14763552631578947</v>
      </c>
      <c r="DV69" s="127">
        <f>$B51*(1+$C$4)^(SUM($F$66:DV$66)+(SUM($F$67:DV$67)))</f>
        <v>0.14763552631578947</v>
      </c>
      <c r="DW69" s="127">
        <f>$B51*(1+$C$4)^(SUM($F$66:DW$66)+(SUM($F$67:DW$67)))</f>
        <v>0.14763552631578947</v>
      </c>
      <c r="DX69" s="127">
        <f>$B51*(1+$C$4)^(SUM($F$66:DX$66)+(SUM($F$67:DX$67)))</f>
        <v>0.14763552631578947</v>
      </c>
      <c r="DY69" s="127">
        <f>$B51*(1+$C$4)^(SUM($F$66:DY$66)+(SUM($F$67:DY$67)))</f>
        <v>0.14763552631578947</v>
      </c>
      <c r="DZ69" s="127">
        <f>$B51*(1+$C$4)^(SUM($F$66:DZ$66)+(SUM($F$67:DZ$67)))</f>
        <v>0.14763552631578947</v>
      </c>
      <c r="EA69" s="127">
        <f>$B51*(1+$C$4)^(SUM($F$66:EA$66)+(SUM($F$67:EA$67)))</f>
        <v>0.14763552631578947</v>
      </c>
      <c r="EB69" s="127">
        <f>$B51*(1+$C$4)^(SUM($F$66:EB$66)+(SUM($F$67:EB$67)))</f>
        <v>0.14763552631578947</v>
      </c>
      <c r="EC69" s="127">
        <f>$B51*(1+$C$4)^(SUM($F$66:EC$66)+(SUM($F$67:EC$67)))</f>
        <v>0.14763552631578947</v>
      </c>
      <c r="ED69" s="127">
        <f>$B51*(1+$C$4)^(SUM($F$66:ED$66)+(SUM($F$67:ED$67)))</f>
        <v>0.14763552631578947</v>
      </c>
      <c r="EE69" s="127">
        <f>$B51*(1+$C$4)^(SUM($F$66:EE$66)+(SUM($F$67:EE$67)))</f>
        <v>0.14763552631578947</v>
      </c>
      <c r="EF69" s="127">
        <f>$B51*(1+$C$4)^(SUM($F$66:EF$66)+(SUM($F$67:EF$67)))</f>
        <v>0.14763552631578947</v>
      </c>
      <c r="EG69" s="127">
        <f>$B51*(1+$C$4)^(SUM($F$66:EG$66)+(SUM($F$67:EG$67)))</f>
        <v>0.14763552631578947</v>
      </c>
      <c r="EH69" s="127">
        <f>$B51*(1+$C$4)^(SUM($F$66:EH$66)+(SUM($F$67:EH$67)))</f>
        <v>0.14763552631578947</v>
      </c>
      <c r="EI69" s="127">
        <f>$B51*(1+$C$4)^(SUM($F$66:EI$66)+(SUM($F$67:EI$67)))</f>
        <v>0.14763552631578947</v>
      </c>
      <c r="EJ69" s="127">
        <f>$B51*(1+$C$4)^(SUM($F$66:EJ$66)+(SUM($F$67:EJ$67)))</f>
        <v>0.14763552631578947</v>
      </c>
      <c r="EK69" s="127">
        <f>$B51*(1+$C$4)^(SUM($F$66:EK$66)+(SUM($F$67:EK$67)))</f>
        <v>0.14763552631578947</v>
      </c>
      <c r="EL69" s="127">
        <f>$B51*(1+$C$4)^(SUM($F$66:EL$66)+(SUM($F$67:EL$67)))</f>
        <v>0.14763552631578947</v>
      </c>
      <c r="EM69" s="127">
        <f>$B51*(1+$C$4)^(SUM($F$66:EM$66)+(SUM($F$67:EM$67)))</f>
        <v>0.14763552631578947</v>
      </c>
      <c r="EN69" s="127">
        <f>$B51*(1+$C$4)^(SUM($F$66:EN$66)+(SUM($F$67:EN$67)))</f>
        <v>0.14763552631578947</v>
      </c>
      <c r="EO69" s="127">
        <f>$B51*(1+$C$4)^(SUM($F$66:EO$66)+(SUM($F$67:EO$67)))</f>
        <v>0.14763552631578947</v>
      </c>
      <c r="EP69" s="127">
        <f>$B51*(1+$C$4)^(SUM($F$66:EP$66)+(SUM($F$67:EP$67)))</f>
        <v>0.14763552631578947</v>
      </c>
      <c r="EQ69" s="127">
        <f>$B51*(1+$C$4)^(SUM($F$66:EQ$66)+(SUM($F$67:EQ$67)))</f>
        <v>0.14763552631578947</v>
      </c>
      <c r="ER69" s="127">
        <f>$B51*(1+$C$4)^(SUM($F$66:ER$66)+(SUM($F$67:ER$67)))</f>
        <v>0.14763552631578947</v>
      </c>
      <c r="ES69" s="127">
        <f>$B51*(1+$C$4)^(SUM($F$66:ES$66)+(SUM($F$67:ES$67)))</f>
        <v>0.14763552631578947</v>
      </c>
      <c r="ET69" s="127">
        <f>$B51*(1+$C$4)^(SUM($F$66:ET$66)+(SUM($F$67:ET$67)))</f>
        <v>0.14763552631578947</v>
      </c>
      <c r="EU69" s="127">
        <f>$B51*(1+$C$4)^(SUM($F$66:EU$66)+(SUM($F$67:EU$67)))</f>
        <v>0.14763552631578947</v>
      </c>
      <c r="EV69" s="127">
        <f>$B51*(1+$C$4)^(SUM($F$66:EV$66)+(SUM($F$67:EV$67)))</f>
        <v>0.14763552631578947</v>
      </c>
      <c r="EW69" s="127">
        <f>$B51*(1+$C$4)^(SUM($F$66:EW$66)+(SUM($F$67:EW$67)))</f>
        <v>0.14763552631578947</v>
      </c>
      <c r="EX69" s="127">
        <f>$B51*(1+$C$4)^(SUM($F$66:EX$66)+(SUM($F$67:EX$67)))</f>
        <v>0.14763552631578947</v>
      </c>
      <c r="EY69" s="127">
        <f>$B51*(1+$C$4)^(SUM($F$66:EY$66)+(SUM($F$67:EY$67)))</f>
        <v>0.14763552631578947</v>
      </c>
      <c r="EZ69" s="127">
        <f>$B51*(1+$C$4)^(SUM($F$66:EZ$66)+(SUM($F$67:EZ$67)))</f>
        <v>0.14763552631578947</v>
      </c>
      <c r="FA69" s="127">
        <f>$B51*(1+$C$4)^(SUM($F$66:FA$66)+(SUM($F$67:FA$67)))</f>
        <v>0.14763552631578947</v>
      </c>
      <c r="FB69" s="127">
        <f>$B51*(1+$C$4)^(SUM($F$66:FB$66)+(SUM($F$67:FB$67)))</f>
        <v>0.14763552631578947</v>
      </c>
      <c r="FC69" s="127">
        <f>$B51*(1+$C$4)^(SUM($F$66:FC$66)+(SUM($F$67:FC$67)))</f>
        <v>0.14763552631578947</v>
      </c>
      <c r="FD69" s="127">
        <f>$B51*(1+$C$4)^(SUM($F$66:FD$66)+(SUM($F$67:FD$67)))</f>
        <v>0.14763552631578947</v>
      </c>
      <c r="FE69" s="127">
        <f>$B51*(1+$C$4)^(SUM($F$66:FE$66)+(SUM($F$67:FE$67)))</f>
        <v>0.14763552631578947</v>
      </c>
      <c r="FF69" s="127">
        <f>$B51*(1+$C$4)^(SUM($F$66:FF$66)+(SUM($F$67:FF$67)))</f>
        <v>0.14763552631578947</v>
      </c>
      <c r="FG69" s="127">
        <f>$B51*(1+$C$4)^(SUM($F$66:FG$66)+(SUM($F$67:FG$67)))</f>
        <v>0.14763552631578947</v>
      </c>
      <c r="FH69" s="127">
        <f>$B51*(1+$C$4)^(SUM($F$66:FH$66)+(SUM($F$67:FH$67)))</f>
        <v>0.14763552631578947</v>
      </c>
      <c r="FI69" s="127">
        <f>$B51*(1+$C$4)^(SUM($F$66:FI$66)+(SUM($F$67:FI$67)))</f>
        <v>0.14763552631578947</v>
      </c>
      <c r="FJ69" s="127">
        <f>$B51*(1+$C$4)^(SUM($F$66:FJ$66)+(SUM($F$67:FJ$67)))</f>
        <v>0.14763552631578947</v>
      </c>
      <c r="FK69" s="127">
        <f>$B51*(1+$C$4)^(SUM($F$66:FK$66)+(SUM($F$67:FK$67)))</f>
        <v>0.14763552631578947</v>
      </c>
      <c r="FL69" s="127">
        <f>$B51*(1+$C$4)^(SUM($F$66:FL$66)+(SUM($F$67:FL$67)))</f>
        <v>0.14763552631578947</v>
      </c>
      <c r="FM69" s="127">
        <f>$B51*(1+$C$4)^(SUM($F$66:FM$66)+(SUM($F$67:FM$67)))</f>
        <v>0.14763552631578947</v>
      </c>
      <c r="FN69" s="127">
        <f>$B51*(1+$C$4)^(SUM($F$66:FN$66)+(SUM($F$67:FN$67)))</f>
        <v>0.14763552631578947</v>
      </c>
      <c r="FO69" s="127">
        <f>$B51*(1+$C$4)^(SUM($F$66:FO$66)+(SUM($F$67:FO$67)))</f>
        <v>0.14763552631578947</v>
      </c>
      <c r="FP69" s="127">
        <f>$B51*(1+$C$4)^(SUM($F$66:FP$66)+(SUM($F$67:FP$67)))</f>
        <v>0.14763552631578947</v>
      </c>
      <c r="FQ69" s="127">
        <f>$B51*(1+$C$4)^(SUM($F$66:FQ$66)+(SUM($F$67:FQ$67)))</f>
        <v>0.14763552631578947</v>
      </c>
      <c r="FR69" s="127">
        <f>$B51*(1+$C$4)^(SUM($F$66:FR$66)+(SUM($F$67:FR$67)))</f>
        <v>0.14763552631578947</v>
      </c>
      <c r="FS69" s="127">
        <f>$B51*(1+$C$4)^(SUM($F$66:FS$66)+(SUM($F$67:FS$67)))</f>
        <v>0.14763552631578947</v>
      </c>
      <c r="FT69" s="127">
        <f>$B51*(1+$C$4)^(SUM($F$66:FT$66)+(SUM($F$67:FT$67)))</f>
        <v>0.14763552631578947</v>
      </c>
      <c r="FU69" s="127">
        <f>$B51*(1+$C$4)^(SUM($F$66:FU$66)+(SUM($F$67:FU$67)))</f>
        <v>0.14763552631578947</v>
      </c>
      <c r="FV69" s="127">
        <f>$B51*(1+$C$4)^(SUM($F$66:FV$66)+(SUM($F$67:FV$67)))</f>
        <v>0.14763552631578947</v>
      </c>
      <c r="FW69" s="127">
        <f>$B51*(1+$C$4)^(SUM($F$66:FW$66)+(SUM($F$67:FW$67)))</f>
        <v>0.14763552631578947</v>
      </c>
      <c r="FX69" s="127">
        <f>$B51*(1+$C$4)^(SUM($F$66:FX$66)+(SUM($F$67:FX$67)))</f>
        <v>0.14763552631578947</v>
      </c>
      <c r="FY69" s="127">
        <f>$B51*(1+$C$4)^(SUM($F$66:FY$66)+(SUM($F$67:FY$67)))</f>
        <v>0.14763552631578947</v>
      </c>
      <c r="FZ69" s="127">
        <f>$B51*(1+$C$4)^(SUM($F$66:FZ$66)+(SUM($F$67:FZ$67)))</f>
        <v>0.14763552631578947</v>
      </c>
      <c r="GA69" s="127">
        <f>$B51*(1+$C$4)^(SUM($F$66:GA$66)+(SUM($F$67:GA$67)))</f>
        <v>0.14763552631578947</v>
      </c>
      <c r="GB69" s="127">
        <f>$B51*(1+$C$4)^(SUM($F$66:GB$66)+(SUM($F$67:GB$67)))</f>
        <v>0.14763552631578947</v>
      </c>
      <c r="GC69" s="127">
        <f>$B51*(1+$C$4)^(SUM($F$66:GC$66)+(SUM($F$67:GC$67)))</f>
        <v>0.14763552631578947</v>
      </c>
      <c r="GD69" s="127">
        <f>$B51*(1+$C$4)^(SUM($F$66:GD$66)+(SUM($F$67:GD$67)))</f>
        <v>0.14763552631578947</v>
      </c>
      <c r="GE69" s="127">
        <f>$B51*(1+$C$4)^(SUM($F$66:GE$66)+(SUM($F$67:GE$67)))</f>
        <v>0.14763552631578947</v>
      </c>
      <c r="GF69" s="127">
        <f>$B51*(1+$C$4)^(SUM($F$66:GF$66)+(SUM($F$67:GF$67)))</f>
        <v>0.14763552631578947</v>
      </c>
      <c r="GG69" s="127">
        <f>$B51*(1+$C$4)^(SUM($F$66:GG$66)+(SUM($F$67:GG$67)))</f>
        <v>0.14763552631578947</v>
      </c>
      <c r="GH69" s="127">
        <f>$B51*(1+$C$4)^(SUM($F$66:GH$66)+(SUM($F$67:GH$67)))</f>
        <v>0.14763552631578947</v>
      </c>
      <c r="GI69" s="127">
        <f>$B51*(1+$C$4)^(SUM($F$66:GI$66)+(SUM($F$67:GI$67)))</f>
        <v>0.14763552631578947</v>
      </c>
      <c r="GJ69" s="127">
        <f>$B51*(1+$C$4)^(SUM($F$66:GJ$66)+(SUM($F$67:GJ$67)))</f>
        <v>0.14763552631578947</v>
      </c>
      <c r="GK69" s="127">
        <f>$B51*(1+$C$4)^(SUM($F$66:GK$66)+(SUM($F$67:GK$67)))</f>
        <v>0.14763552631578947</v>
      </c>
      <c r="GL69" s="127">
        <f>$B51*(1+$C$4)^(SUM($F$66:GL$66)+(SUM($F$67:GL$67)))</f>
        <v>0.14763552631578947</v>
      </c>
      <c r="GM69" s="127">
        <f>$B51*(1+$C$4)^(SUM($F$66:GM$66)+(SUM($F$67:GM$67)))</f>
        <v>0.14763552631578947</v>
      </c>
      <c r="GN69" s="127">
        <f>$B51*(1+$C$4)^(SUM($F$66:GN$66)+(SUM($F$67:GN$67)))</f>
        <v>0.14763552631578947</v>
      </c>
      <c r="GO69" s="127">
        <f>$B51*(1+$C$4)^(SUM($F$66:GO$66)+(SUM($F$67:GO$67)))</f>
        <v>0.14763552631578947</v>
      </c>
      <c r="GP69" s="127">
        <f>$B51*(1+$C$4)^(SUM($F$66:GP$66)+(SUM($F$67:GP$67)))</f>
        <v>0.14763552631578947</v>
      </c>
      <c r="GQ69" s="127">
        <f>$B51*(1+$C$4)^(SUM($F$66:GQ$66)+(SUM($F$67:GQ$67)))</f>
        <v>0.14763552631578947</v>
      </c>
      <c r="GR69" s="127">
        <f>$B51*(1+$C$4)^(SUM($F$66:GR$66)+(SUM($F$67:GR$67)))</f>
        <v>0.14763552631578947</v>
      </c>
      <c r="GS69" s="127">
        <f>$B51*(1+$C$4)^(SUM($F$66:GS$66)+(SUM($F$67:GS$67)))</f>
        <v>0.14763552631578947</v>
      </c>
      <c r="GT69" s="127">
        <f>$B51*(1+$C$4)^(SUM($F$66:GT$66)+(SUM($F$67:GT$67)))</f>
        <v>0.14763552631578947</v>
      </c>
      <c r="GU69" s="127">
        <f>$B51*(1+$C$4)^(SUM($F$66:GU$66)+(SUM($F$67:GU$67)))</f>
        <v>0.14763552631578947</v>
      </c>
      <c r="GV69" s="127">
        <f>$B51*(1+$C$4)^(SUM($F$66:GV$66)+(SUM($F$67:GV$67)))</f>
        <v>0.14763552631578947</v>
      </c>
      <c r="GW69" s="127">
        <f>$B51*(1+$C$4)^(SUM($F$66:GW$66)+(SUM($F$67:GW$67)))</f>
        <v>0.14763552631578947</v>
      </c>
      <c r="GX69" s="127">
        <f>$B51*(1+$C$4)^(SUM($F$66:GX$66)+(SUM($F$67:GX$67)))</f>
        <v>0.14763552631578947</v>
      </c>
      <c r="GY69" s="127">
        <f>$B51*(1+$C$4)^(SUM($F$66:GY$66)+(SUM($F$67:GY$67)))</f>
        <v>0.14763552631578947</v>
      </c>
      <c r="GZ69" s="127">
        <f>$B51*(1+$C$4)^(SUM($F$66:GZ$66)+(SUM($F$67:GZ$67)))</f>
        <v>0.14763552631578947</v>
      </c>
      <c r="HA69" s="127">
        <f>$B51*(1+$C$4)^(SUM($F$66:HA$66)+(SUM($F$67:HA$67)))</f>
        <v>0.14763552631578947</v>
      </c>
      <c r="HB69" s="127">
        <f>$B51*(1+$C$4)^(SUM($F$66:HB$66)+(SUM($F$67:HB$67)))</f>
        <v>0.14763552631578947</v>
      </c>
      <c r="HC69" s="127">
        <f>$B51*(1+$C$4)^(SUM($F$66:HC$66)+(SUM($F$67:HC$67)))</f>
        <v>0.14763552631578947</v>
      </c>
      <c r="HD69" s="127">
        <f>$B51*(1+$C$4)^(SUM($F$66:HD$66)+(SUM($F$67:HD$67)))</f>
        <v>0.14763552631578947</v>
      </c>
      <c r="HE69" s="127">
        <f>$B51*(1+$C$4)^(SUM($F$66:HE$66)+(SUM($F$67:HE$67)))</f>
        <v>0.14763552631578947</v>
      </c>
      <c r="HF69" s="127">
        <f>$B51*(1+$C$4)^(SUM($F$66:HF$66)+(SUM($F$67:HF$67)))</f>
        <v>0.14763552631578947</v>
      </c>
      <c r="HG69" s="127">
        <f>$B51*(1+$C$4)^(SUM($F$66:HG$66)+(SUM($F$67:HG$67)))</f>
        <v>0.14763552631578947</v>
      </c>
      <c r="HH69" s="127">
        <f>$B51*(1+$C$4)^(SUM($F$66:HH$66)+(SUM($F$67:HH$67)))</f>
        <v>0.14763552631578947</v>
      </c>
      <c r="HI69" s="127">
        <f>$B51*(1+$C$4)^(SUM($F$66:HI$66)+(SUM($F$67:HI$67)))</f>
        <v>0.14763552631578947</v>
      </c>
      <c r="HJ69" s="127">
        <f>$B51*(1+$C$4)^(SUM($F$66:HJ$66)+(SUM($F$67:HJ$67)))</f>
        <v>0.14763552631578947</v>
      </c>
      <c r="HK69" s="127">
        <f>$B51*(1+$C$4)^(SUM($F$66:HK$66)+(SUM($F$67:HK$67)))</f>
        <v>0.14763552631578947</v>
      </c>
      <c r="HL69" s="127">
        <f>$B51*(1+$C$4)^(SUM($F$66:HL$66)+(SUM($F$67:HL$67)))</f>
        <v>0.14763552631578947</v>
      </c>
      <c r="HM69" s="127">
        <f>$B51*(1+$C$4)^(SUM($F$66:HM$66)+(SUM($F$67:HM$67)))</f>
        <v>0.14763552631578947</v>
      </c>
      <c r="HN69" s="127">
        <f>$B51*(1+$C$4)^(SUM($F$66:HN$66)+(SUM($F$67:HN$67)))</f>
        <v>0.14763552631578947</v>
      </c>
      <c r="HO69" s="127">
        <f>$B51*(1+$C$4)^(SUM($F$66:HO$66)+(SUM($F$67:HO$67)))</f>
        <v>0.14763552631578947</v>
      </c>
      <c r="HP69" s="127">
        <f>$B51*(1+$C$4)^(SUM($F$66:HP$66)+(SUM($F$67:HP$67)))</f>
        <v>0.14763552631578947</v>
      </c>
      <c r="HQ69" s="127">
        <f>$B51*(1+$C$4)^(SUM($F$66:HQ$66)+(SUM($F$67:HQ$67)))</f>
        <v>0.14763552631578947</v>
      </c>
      <c r="HR69" s="127">
        <f>$B51*(1+$C$4)^(SUM($F$66:HR$66)+(SUM($F$67:HR$67)))</f>
        <v>0.14763552631578947</v>
      </c>
      <c r="HS69" s="127">
        <f>$B51*(1+$C$4)^(SUM($F$66:HS$66)+(SUM($F$67:HS$67)))</f>
        <v>0.14763552631578947</v>
      </c>
      <c r="HT69" s="127">
        <f>$B51*(1+$C$4)^(SUM($F$66:HT$66)+(SUM($F$67:HT$67)))</f>
        <v>0.14763552631578947</v>
      </c>
      <c r="HU69" s="127">
        <f>$B51*(1+$C$4)^(SUM($F$66:HU$66)+(SUM($F$67:HU$67)))</f>
        <v>0.14763552631578947</v>
      </c>
      <c r="HV69" s="127">
        <f>$B51*(1+$C$4)^(SUM($F$66:HV$66)+(SUM($F$67:HV$67)))</f>
        <v>0.14763552631578947</v>
      </c>
      <c r="HW69" s="127">
        <f>$B51*(1+$C$4)^(SUM($F$66:HW$66)+(SUM($F$67:HW$67)))</f>
        <v>0.14763552631578947</v>
      </c>
      <c r="HX69" s="127">
        <f>$B51*(1+$C$4)^(SUM($F$66:HX$66)+(SUM($F$67:HX$67)))</f>
        <v>0.14763552631578947</v>
      </c>
      <c r="HY69" s="127">
        <f>$B51*(1+$C$4)^(SUM($F$66:HY$66)+(SUM($F$67:HY$67)))</f>
        <v>0.14763552631578947</v>
      </c>
      <c r="HZ69" s="127">
        <f>$B51*(1+$C$4)^(SUM($F$66:HZ$66)+(SUM($F$67:HZ$67)))</f>
        <v>0.14763552631578947</v>
      </c>
      <c r="IA69" s="127">
        <f>$B51*(1+$C$4)^(SUM($F$66:IA$66)+(SUM($F$67:IA$67)))</f>
        <v>0.14763552631578947</v>
      </c>
      <c r="IB69" s="127">
        <f>$B51*(1+$C$4)^(SUM($F$66:IB$66)+(SUM($F$67:IB$67)))</f>
        <v>0.14763552631578947</v>
      </c>
      <c r="IC69" s="127">
        <f>$B51*(1+$C$4)^(SUM($F$66:IC$66)+(SUM($F$67:IC$67)))</f>
        <v>0.14763552631578947</v>
      </c>
      <c r="ID69" s="127">
        <f>$B51*(1+$C$4)^(SUM($F$66:ID$66)+(SUM($F$67:ID$67)))</f>
        <v>0.14763552631578947</v>
      </c>
      <c r="IE69" s="127">
        <f>$B51*(1+$C$4)^(SUM($F$66:IE$66)+(SUM($F$67:IE$67)))</f>
        <v>0.14763552631578947</v>
      </c>
      <c r="IF69" s="127">
        <f>$B51*(1+$C$4)^(SUM($F$66:IF$66)+(SUM($F$67:IF$67)))</f>
        <v>0.14763552631578947</v>
      </c>
      <c r="IG69" s="127">
        <f>$B51*(1+$C$4)^(SUM($F$66:IG$66)+(SUM($F$67:IG$67)))</f>
        <v>0.14763552631578947</v>
      </c>
      <c r="IH69" s="127">
        <f>$B51*(1+$C$4)^(SUM($F$66:IH$66)+(SUM($F$67:IH$67)))</f>
        <v>0.14763552631578947</v>
      </c>
      <c r="II69" s="127">
        <f>$B51*(1+$C$4)^(SUM($F$66:II$66)+(SUM($F$67:II$67)))</f>
        <v>0.14763552631578947</v>
      </c>
      <c r="IJ69" s="127">
        <f>$B51*(1+$C$4)^(SUM($F$66:IJ$66)+(SUM($F$67:IJ$67)))</f>
        <v>0.14763552631578947</v>
      </c>
      <c r="IK69" s="127">
        <f>$B51*(1+$C$4)^(SUM($F$66:IK$66)+(SUM($F$67:IK$67)))</f>
        <v>0.14763552631578947</v>
      </c>
      <c r="IL69" s="127">
        <f>$B51*(1+$C$4)^(SUM($F$66:IL$66)+(SUM($F$67:IL$67)))</f>
        <v>0.14763552631578947</v>
      </c>
      <c r="IM69" s="127">
        <f>$B51*(1+$C$4)^(SUM($F$66:IM$66)+(SUM($F$67:IM$67)))</f>
        <v>0.14763552631578947</v>
      </c>
      <c r="IN69" s="127">
        <f>$B51*(1+$C$4)^(SUM($F$66:IN$66)+(SUM($F$67:IN$67)))</f>
        <v>0.14763552631578947</v>
      </c>
      <c r="IO69" s="127">
        <f>$B51*(1+$C$4)^(SUM($F$66:IO$66)+(SUM($F$67:IO$67)))</f>
        <v>0.14763552631578947</v>
      </c>
      <c r="IP69" s="127">
        <f>$B51*(1+$C$4)^(SUM($F$66:IP$66)+(SUM($F$67:IP$67)))</f>
        <v>0.14763552631578947</v>
      </c>
      <c r="IQ69" s="127">
        <f>$B51*(1+$C$4)^(SUM($F$66:IQ$66)+(SUM($F$67:IQ$67)))</f>
        <v>0.14763552631578947</v>
      </c>
      <c r="IR69" s="127">
        <f>$B51*(1+$C$4)^(SUM($F$66:IR$66)+(SUM($F$67:IR$67)))</f>
        <v>0.14763552631578947</v>
      </c>
      <c r="IS69" s="127">
        <f>$B51*(1+$C$4)^(SUM($F$66:IS$66)+(SUM($F$67:IS$67)))</f>
        <v>0.14763552631578947</v>
      </c>
      <c r="IT69" s="127">
        <f>$B51*(1+$C$4)^(SUM($F$66:IT$66)+(SUM($F$67:IT$67)))</f>
        <v>0.14763552631578947</v>
      </c>
      <c r="IU69" s="127">
        <f>$B51*(1+$C$4)^(SUM($F$66:IU$66)+(SUM($F$67:IU$67)))</f>
        <v>0.14763552631578947</v>
      </c>
      <c r="IV69" s="127">
        <f>$B51*(1+$C$4)^(SUM($F$66:IV$66)+(SUM($F$67:IV$67)))</f>
        <v>0.14763552631578947</v>
      </c>
      <c r="IW69" s="127">
        <f>$B51*(1+$C$4)^(SUM($F$66:IW$66)+(SUM($F$67:IW$67)))</f>
        <v>0.14763552631578947</v>
      </c>
      <c r="IX69" s="127">
        <f>$B51*(1+$C$4)^(SUM($F$66:IX$66)+(SUM($F$67:IX$67)))</f>
        <v>0.14763552631578947</v>
      </c>
      <c r="IY69" s="127">
        <f>$B51*(1+$C$4)^(SUM($F$66:IY$66)+(SUM($F$67:IY$67)))</f>
        <v>0.14763552631578947</v>
      </c>
      <c r="IZ69" s="127">
        <f>$B51*(1+$C$4)^(SUM($F$66:IZ$66)+(SUM($F$67:IZ$67)))</f>
        <v>0.14763552631578947</v>
      </c>
      <c r="JA69" s="127">
        <f>$B51*(1+$C$4)^(SUM($F$66:JA$66)+(SUM($F$67:JA$67)))</f>
        <v>0.14763552631578947</v>
      </c>
      <c r="JB69" s="127">
        <f>$B51*(1+$C$4)^(SUM($F$66:JB$66)+(SUM($F$67:JB$67)))</f>
        <v>0.14763552631578947</v>
      </c>
      <c r="JC69" s="127">
        <f>$B51*(1+$C$4)^(SUM($F$66:JC$66)+(SUM($F$67:JC$67)))</f>
        <v>0.14763552631578947</v>
      </c>
      <c r="JD69" s="127">
        <f>$B51*(1+$C$4)^(SUM($F$66:JD$66)+(SUM($F$67:JD$67)))</f>
        <v>0.14763552631578947</v>
      </c>
      <c r="JE69" s="127">
        <f>$B51*(1+$C$4)^(SUM($F$66:JE$66)+(SUM($F$67:JE$67)))</f>
        <v>0.14763552631578947</v>
      </c>
      <c r="JF69" s="127">
        <f>$B51*(1+$C$4)^(SUM($F$66:JF$66)+(SUM($F$67:JF$67)))</f>
        <v>0.14763552631578947</v>
      </c>
      <c r="JG69" s="127">
        <f>$B51*(1+$C$4)^(SUM($F$66:JG$66)+(SUM($F$67:JG$67)))</f>
        <v>0.14763552631578947</v>
      </c>
      <c r="JH69" s="127">
        <f>$B51*(1+$C$4)^(SUM($F$66:JH$66)+(SUM($F$67:JH$67)))</f>
        <v>0.14763552631578947</v>
      </c>
      <c r="JI69" s="127">
        <f>$B51*(1+$C$4)^(SUM($F$66:JI$66)+(SUM($F$67:JI$67)))</f>
        <v>0.14763552631578947</v>
      </c>
      <c r="JJ69" s="127">
        <f>$B51*(1+$C$4)^(SUM($F$66:JJ$66)+(SUM($F$67:JJ$67)))</f>
        <v>0.14763552631578947</v>
      </c>
      <c r="JK69" s="127">
        <f>$B51*(1+$C$4)^(SUM($F$66:JK$66)+(SUM($F$67:JK$67)))</f>
        <v>0.14763552631578947</v>
      </c>
      <c r="JL69" s="127">
        <f>$B51*(1+$C$4)^(SUM($F$66:JL$66)+(SUM($F$67:JL$67)))</f>
        <v>0.14763552631578947</v>
      </c>
      <c r="JM69" s="127">
        <f>$B51*(1+$C$4)^(SUM($F$66:JM$66)+(SUM($F$67:JM$67)))</f>
        <v>0.14763552631578947</v>
      </c>
      <c r="JN69" s="127">
        <f>$B51*(1+$C$4)^(SUM($F$66:JN$66)+(SUM($F$67:JN$67)))</f>
        <v>0.14763552631578947</v>
      </c>
      <c r="JO69" s="127">
        <f>$B51*(1+$C$4)^(SUM($F$66:JO$66)+(SUM($F$67:JO$67)))</f>
        <v>0.14763552631578947</v>
      </c>
      <c r="JP69" s="127">
        <f>$B51*(1+$C$4)^(SUM($F$66:JP$66)+(SUM($F$67:JP$67)))</f>
        <v>0.14763552631578947</v>
      </c>
      <c r="JQ69" s="127">
        <f>$B51*(1+$C$4)^(SUM($F$66:JQ$66)+(SUM($F$67:JQ$67)))</f>
        <v>0.14763552631578947</v>
      </c>
      <c r="JR69" s="127">
        <f>$B51*(1+$C$4)^(SUM($F$66:JR$66)+(SUM($F$67:JR$67)))</f>
        <v>0.14763552631578947</v>
      </c>
      <c r="JS69" s="127">
        <f>$B51*(1+$C$4)^(SUM($F$66:JS$66)+(SUM($F$67:JS$67)))</f>
        <v>0.14763552631578947</v>
      </c>
      <c r="JT69" s="127">
        <f>$B51*(1+$C$4)^(SUM($F$66:JT$66)+(SUM($F$67:JT$67)))</f>
        <v>0.14763552631578947</v>
      </c>
      <c r="JU69" s="127">
        <f>$B51*(1+$C$4)^(SUM($F$66:JU$66)+(SUM($F$67:JU$67)))</f>
        <v>0.14763552631578947</v>
      </c>
      <c r="JV69" s="127">
        <f>$B51*(1+$C$4)^(SUM($F$66:JV$66)+(SUM($F$67:JV$67)))</f>
        <v>0.14763552631578947</v>
      </c>
      <c r="JW69" s="127">
        <f>$B51*(1+$C$4)^(SUM($F$66:JW$66)+(SUM($F$67:JW$67)))</f>
        <v>0.14763552631578947</v>
      </c>
      <c r="JX69" s="127">
        <f>$B51*(1+$C$4)^(SUM($F$66:JX$66)+(SUM($F$67:JX$67)))</f>
        <v>0.14763552631578947</v>
      </c>
      <c r="JY69" s="127">
        <f>$B51*(1+$C$4)^(SUM($F$66:JY$66)+(SUM($F$67:JY$67)))</f>
        <v>0.14763552631578947</v>
      </c>
      <c r="JZ69" s="127">
        <f>$B51*(1+$C$4)^(SUM($F$66:JZ$66)+(SUM($F$67:JZ$67)))</f>
        <v>0.14763552631578947</v>
      </c>
      <c r="KA69" s="127">
        <f>$B51*(1+$C$4)^(SUM($F$66:KA$66)+(SUM($F$67:KA$67)))</f>
        <v>0.14763552631578947</v>
      </c>
      <c r="KB69" s="127">
        <f>$B51*(1+$C$4)^(SUM($F$66:KB$66)+(SUM($F$67:KB$67)))</f>
        <v>0.14763552631578947</v>
      </c>
      <c r="KC69" s="127">
        <f>$B51*(1+$C$4)^(SUM($F$66:KC$66)+(SUM($F$67:KC$67)))</f>
        <v>0.14763552631578947</v>
      </c>
      <c r="KD69" s="127">
        <f>$B51*(1+$C$4)^(SUM($F$66:KD$66)+(SUM($F$67:KD$67)))</f>
        <v>0.14763552631578947</v>
      </c>
      <c r="KE69" s="127">
        <f>$B51*(1+$C$4)^(SUM($F$66:KE$66)+(SUM($F$67:KE$67)))</f>
        <v>0.14763552631578947</v>
      </c>
      <c r="KF69" s="127">
        <f>$B51*(1+$C$4)^(SUM($F$66:KF$66)+(SUM($F$67:KF$67)))</f>
        <v>0.14763552631578947</v>
      </c>
      <c r="KG69" s="127">
        <f>$B51*(1+$C$4)^(SUM($F$66:KG$66)+(SUM($F$67:KG$67)))</f>
        <v>0.14763552631578947</v>
      </c>
      <c r="KH69" s="127">
        <f>$B51*(1+$C$4)^(SUM($F$66:KH$66)+(SUM($F$67:KH$67)))</f>
        <v>0.14763552631578947</v>
      </c>
      <c r="KI69" s="127">
        <f>$B51*(1+$C$4)^(SUM($F$66:KI$66)+(SUM($F$67:KI$67)))</f>
        <v>0.14763552631578947</v>
      </c>
      <c r="KJ69" s="127">
        <f>$B51*(1+$C$4)^(SUM($F$66:KJ$66)+(SUM($F$67:KJ$67)))</f>
        <v>0.14763552631578947</v>
      </c>
      <c r="KK69" s="127">
        <f>$B51*(1+$C$4)^(SUM($F$66:KK$66)+(SUM($F$67:KK$67)))</f>
        <v>0.14763552631578947</v>
      </c>
      <c r="KL69" s="127">
        <f>$B51*(1+$C$4)^(SUM($F$66:KL$66)+(SUM($F$67:KL$67)))</f>
        <v>0.14763552631578947</v>
      </c>
      <c r="KM69" s="127">
        <f>$B51*(1+$C$4)^(SUM($F$66:KM$66)+(SUM($F$67:KM$67)))</f>
        <v>0.14763552631578947</v>
      </c>
      <c r="KN69" s="127">
        <f>$B51*(1+$C$4)^(SUM($F$66:KN$66)+(SUM($F$67:KN$67)))</f>
        <v>0.14763552631578947</v>
      </c>
      <c r="KO69" s="127">
        <f>$B51*(1+$C$4)^(SUM($F$66:KO$66)+(SUM($F$67:KO$67)))</f>
        <v>0.14763552631578947</v>
      </c>
      <c r="KP69" s="127">
        <f>$B51*(1+$C$4)^(SUM($F$66:KP$66)+(SUM($F$67:KP$67)))</f>
        <v>0.14763552631578947</v>
      </c>
      <c r="KQ69" s="127">
        <f>$B51*(1+$C$4)^(SUM($F$66:KQ$66)+(SUM($F$67:KQ$67)))</f>
        <v>0.14763552631578947</v>
      </c>
      <c r="KR69" s="127">
        <f>$B51*(1+$C$4)^(SUM($F$66:KR$66)+(SUM($F$67:KR$67)))</f>
        <v>0.14763552631578947</v>
      </c>
      <c r="KS69" s="127">
        <f>$B51*(1+$C$4)^(SUM($F$66:KS$66)+(SUM($F$67:KS$67)))</f>
        <v>0.14763552631578947</v>
      </c>
      <c r="KT69" s="127">
        <f>$B51*(1+$C$4)^(SUM($F$66:KT$66)+(SUM($F$67:KT$67)))</f>
        <v>0.14763552631578947</v>
      </c>
      <c r="KU69" s="127">
        <f>$B51*(1+$C$4)^(SUM($F$66:KU$66)+(SUM($F$67:KU$67)))</f>
        <v>0.14763552631578947</v>
      </c>
      <c r="KV69" s="127">
        <f>$B51*(1+$C$4)^(SUM($F$66:KV$66)+(SUM($F$67:KV$67)))</f>
        <v>0.14763552631578947</v>
      </c>
      <c r="KW69" s="127">
        <f>$B51*(1+$C$4)^(SUM($F$66:KW$66)+(SUM($F$67:KW$67)))</f>
        <v>0.14763552631578947</v>
      </c>
      <c r="KX69" s="127">
        <f>$B51*(1+$C$4)^(SUM($F$66:KX$66)+(SUM($F$67:KX$67)))</f>
        <v>0.14763552631578947</v>
      </c>
      <c r="KY69" s="127">
        <f>$B51*(1+$C$4)^(SUM($F$66:KY$66)+(SUM($F$67:KY$67)))</f>
        <v>0.14763552631578947</v>
      </c>
      <c r="KZ69" s="127">
        <f>$B51*(1+$C$4)^(SUM($F$66:KZ$66)+(SUM($F$67:KZ$67)))</f>
        <v>0.14763552631578947</v>
      </c>
      <c r="LA69" s="127">
        <f>$B51*(1+$C$4)^(SUM($F$66:LA$66)+(SUM($F$67:LA$67)))</f>
        <v>0.14763552631578947</v>
      </c>
      <c r="LB69" s="127">
        <f>$B51*(1+$C$4)^(SUM($F$66:LB$66)+(SUM($F$67:LB$67)))</f>
        <v>0.14763552631578947</v>
      </c>
      <c r="LC69" s="127">
        <f>$B51*(1+$C$4)^(SUM($F$66:LC$66)+(SUM($F$67:LC$67)))</f>
        <v>0.14763552631578947</v>
      </c>
      <c r="LD69" s="127">
        <f>$B51*(1+$C$4)^(SUM($F$66:LD$66)+(SUM($F$67:LD$67)))</f>
        <v>0.14763552631578947</v>
      </c>
      <c r="LE69" s="127">
        <f>$B51*(1+$C$4)^(SUM($F$66:LE$66)+(SUM($F$67:LE$67)))</f>
        <v>0.14763552631578947</v>
      </c>
      <c r="LF69" s="127">
        <f>$B51*(1+$C$4)^(SUM($F$66:LF$66)+(SUM($F$67:LF$67)))</f>
        <v>0.14763552631578947</v>
      </c>
      <c r="LG69" s="127">
        <f>$B51*(1+$C$4)^(SUM($F$66:LG$66)+(SUM($F$67:LG$67)))</f>
        <v>0.14763552631578947</v>
      </c>
      <c r="LH69" s="127">
        <f>$B51*(1+$C$4)^(SUM($F$66:LH$66)+(SUM($F$67:LH$67)))</f>
        <v>0.14763552631578947</v>
      </c>
      <c r="LI69" s="127">
        <f>$B51*(1+$C$4)^(SUM($F$66:LI$66)+(SUM($F$67:LI$67)))</f>
        <v>0.14763552631578947</v>
      </c>
      <c r="LJ69" s="127">
        <f>$B51*(1+$C$4)^(SUM($F$66:LJ$66)+(SUM($F$67:LJ$67)))</f>
        <v>0.14763552631578947</v>
      </c>
      <c r="LK69" s="127">
        <f>$B51*(1+$C$4)^(SUM($F$66:LK$66)+(SUM($F$67:LK$67)))</f>
        <v>0.14763552631578947</v>
      </c>
      <c r="LL69" s="127">
        <f>$B51*(1+$C$4)^(SUM($F$66:LL$66)+(SUM($F$67:LL$67)))</f>
        <v>0.14763552631578947</v>
      </c>
      <c r="LM69" s="127">
        <f>$B51*(1+$C$4)^(SUM($F$66:LM$66)+(SUM($F$67:LM$67)))</f>
        <v>0.14763552631578947</v>
      </c>
      <c r="LN69" s="127">
        <f>$B51*(1+$C$4)^(SUM($F$66:LN$66)+(SUM($F$67:LN$67)))</f>
        <v>0.14763552631578947</v>
      </c>
      <c r="LO69" s="127">
        <f>$B51*(1+$C$4)^(SUM($F$66:LO$66)+(SUM($F$67:LO$67)))</f>
        <v>0.14763552631578947</v>
      </c>
      <c r="LP69" s="127">
        <f>$B51*(1+$C$4)^(SUM($F$66:LP$66)+(SUM($F$67:LP$67)))</f>
        <v>0.14763552631578947</v>
      </c>
      <c r="LQ69" s="127">
        <f>$B51*(1+$C$4)^(SUM($F$66:LQ$66)+(SUM($F$67:LQ$67)))</f>
        <v>0.14763552631578947</v>
      </c>
      <c r="LR69" s="127">
        <f>$B51*(1+$C$4)^(SUM($F$66:LR$66)+(SUM($F$67:LR$67)))</f>
        <v>0.14763552631578947</v>
      </c>
      <c r="LS69" s="127">
        <f>$B51*(1+$C$4)^(SUM($F$66:LS$66)+(SUM($F$67:LS$67)))</f>
        <v>0.14763552631578947</v>
      </c>
      <c r="LT69" s="127">
        <f>$B51*(1+$C$4)^(SUM($F$66:LT$66)+(SUM($F$67:LT$67)))</f>
        <v>0.14763552631578947</v>
      </c>
      <c r="LU69" s="127">
        <f>$B51*(1+$C$4)^(SUM($F$66:LU$66)+(SUM($F$67:LU$67)))</f>
        <v>0.14763552631578947</v>
      </c>
      <c r="LV69" s="127">
        <f>$B51*(1+$C$4)^(SUM($F$66:LV$66)+(SUM($F$67:LV$67)))</f>
        <v>0.14763552631578947</v>
      </c>
      <c r="LW69" s="127">
        <f>$B51*(1+$C$4)^(SUM($F$66:LW$66)+(SUM($F$67:LW$67)))</f>
        <v>0.14763552631578947</v>
      </c>
      <c r="LX69" s="127">
        <f>$B51*(1+$C$4)^(SUM($F$66:LX$66)+(SUM($F$67:LX$67)))</f>
        <v>0.14763552631578947</v>
      </c>
      <c r="LY69" s="127">
        <f>$B51*(1+$C$4)^(SUM($F$66:LY$66)+(SUM($F$67:LY$67)))</f>
        <v>0.14763552631578947</v>
      </c>
      <c r="LZ69" s="127">
        <f>$B51*(1+$C$4)^(SUM($F$66:LZ$66)+(SUM($F$67:LZ$67)))</f>
        <v>0.14763552631578947</v>
      </c>
      <c r="MA69" s="127">
        <f>$B51*(1+$C$4)^(SUM($F$66:MA$66)+(SUM($F$67:MA$67)))</f>
        <v>0.14763552631578947</v>
      </c>
      <c r="MB69" s="127">
        <f>$B51*(1+$C$4)^(SUM($F$66:MB$66)+(SUM($F$67:MB$67)))</f>
        <v>0.14763552631578947</v>
      </c>
      <c r="MC69" s="127">
        <f>$B51*(1+$C$4)^(SUM($F$66:MC$66)+(SUM($F$67:MC$67)))</f>
        <v>0.14763552631578947</v>
      </c>
      <c r="MD69" s="127">
        <f>$B51*(1+$C$4)^(SUM($F$66:MD$66)+(SUM($F$67:MD$67)))</f>
        <v>0.14763552631578947</v>
      </c>
      <c r="ME69" s="127">
        <f>$B51*(1+$C$4)^(SUM($F$66:ME$66)+(SUM($F$67:ME$67)))</f>
        <v>0.14763552631578947</v>
      </c>
      <c r="MF69" s="127">
        <f>$B51*(1+$C$4)^(SUM($F$66:MF$66)+(SUM($F$67:MF$67)))</f>
        <v>0.14763552631578947</v>
      </c>
      <c r="MG69" s="127">
        <f>$B51*(1+$C$4)^(SUM($F$66:MG$66)+(SUM($F$67:MG$67)))</f>
        <v>0.14763552631578947</v>
      </c>
      <c r="MH69" s="127">
        <f>$B51*(1+$C$4)^(SUM($F$66:MH$66)+(SUM($F$67:MH$67)))</f>
        <v>0.14763552631578947</v>
      </c>
      <c r="MI69" s="127">
        <f>$B51*(1+$C$4)^(SUM($F$66:MI$66)+(SUM($F$67:MI$67)))</f>
        <v>0.14763552631578947</v>
      </c>
      <c r="MJ69" s="127">
        <f>$B51*(1+$C$4)^(SUM($F$66:MJ$66)+(SUM($F$67:MJ$67)))</f>
        <v>0.14763552631578947</v>
      </c>
      <c r="MK69" s="127">
        <f>$B51*(1+$C$4)^(SUM($F$66:MK$66)+(SUM($F$67:MK$67)))</f>
        <v>0.14763552631578947</v>
      </c>
      <c r="ML69" s="127">
        <f>$B51*(1+$C$4)^(SUM($F$66:ML$66)+(SUM($F$67:ML$67)))</f>
        <v>0.14763552631578947</v>
      </c>
      <c r="MM69" s="127">
        <f>$B51*(1+$C$4)^(SUM($F$66:MM$66)+(SUM($F$67:MM$67)))</f>
        <v>0.14763552631578947</v>
      </c>
      <c r="MN69" s="127">
        <f>$B51*(1+$C$4)^(SUM($F$66:MN$66)+(SUM($F$67:MN$67)))</f>
        <v>0.14763552631578947</v>
      </c>
      <c r="MO69" s="127">
        <f>$B51*(1+$C$4)^(SUM($F$66:MO$66)+(SUM($F$67:MO$67)))</f>
        <v>0.14763552631578947</v>
      </c>
      <c r="MP69" s="127">
        <f>$B51*(1+$C$4)^(SUM($F$66:MP$66)+(SUM($F$67:MP$67)))</f>
        <v>0.14763552631578947</v>
      </c>
      <c r="MQ69" s="127">
        <f>$B51*(1+$C$4)^(SUM($F$66:MQ$66)+(SUM($F$67:MQ$67)))</f>
        <v>0.14763552631578947</v>
      </c>
      <c r="MR69" s="127">
        <f>$B51*(1+$C$4)^(SUM($F$66:MR$66)+(SUM($F$67:MR$67)))</f>
        <v>0.14763552631578947</v>
      </c>
      <c r="MS69" s="127">
        <f>$B51*(1+$C$4)^(SUM($F$66:MS$66)+(SUM($F$67:MS$67)))</f>
        <v>0.14763552631578947</v>
      </c>
      <c r="MT69" s="127">
        <f>$B51*(1+$C$4)^(SUM($F$66:MT$66)+(SUM($F$67:MT$67)))</f>
        <v>0.14763552631578947</v>
      </c>
      <c r="MU69" s="127">
        <f>$B51*(1+$C$4)^(SUM($F$66:MU$66)+(SUM($F$67:MU$67)))</f>
        <v>0.14763552631578947</v>
      </c>
      <c r="MV69" s="127">
        <f>$B51*(1+$C$4)^(SUM($F$66:MV$66)+(SUM($F$67:MV$67)))</f>
        <v>0.14763552631578947</v>
      </c>
      <c r="MW69" s="127">
        <f>$B51*(1+$C$4)^(SUM($F$66:MW$66)+(SUM($F$67:MW$67)))</f>
        <v>0.14763552631578947</v>
      </c>
      <c r="MX69" s="127">
        <f>$B51*(1+$C$4)^(SUM($F$66:MX$66)+(SUM($F$67:MX$67)))</f>
        <v>0.14763552631578947</v>
      </c>
      <c r="MY69" s="127">
        <f>$B51*(1+$C$4)^(SUM($F$66:MY$66)+(SUM($F$67:MY$67)))</f>
        <v>0.14763552631578947</v>
      </c>
      <c r="MZ69" s="127">
        <f>$B51*(1+$C$4)^(SUM($F$66:MZ$66)+(SUM($F$67:MZ$67)))</f>
        <v>0.14763552631578947</v>
      </c>
      <c r="NA69" s="127">
        <f>$B51*(1+$C$4)^(SUM($F$66:NA$66)+(SUM($F$67:NA$67)))</f>
        <v>0.14763552631578947</v>
      </c>
      <c r="NB69" s="127">
        <f>$B51*(1+$C$4)^(SUM($F$66:NB$66)+(SUM($F$67:NB$67)))</f>
        <v>0.14763552631578947</v>
      </c>
      <c r="NC69" s="127">
        <f>$B51*(1+$C$4)^(SUM($F$66:NC$66)+(SUM($F$67:NC$67)))</f>
        <v>0.14763552631578947</v>
      </c>
      <c r="ND69" s="127">
        <f>$B51*(1+$C$4)^(SUM($F$66:ND$66)+(SUM($F$67:ND$67)))</f>
        <v>0.14763552631578947</v>
      </c>
      <c r="NE69" s="127">
        <f>$B51*(1+$C$4)^(SUM($F$66:NE$66)+(SUM($F$67:NE$67)))</f>
        <v>0.14763552631578947</v>
      </c>
      <c r="NF69" s="127">
        <f>$B51*(1+$C$4)^(SUM($F$66:NF$66)+(SUM($F$67:NF$67)))</f>
        <v>0.14763552631578947</v>
      </c>
      <c r="NG69" s="127">
        <f>$B51*(1+$C$4)^(SUM($F$66:NG$66)+(SUM($F$67:NG$67)))</f>
        <v>0.14763552631578947</v>
      </c>
      <c r="NH69" s="127">
        <f>$B51*(1+$C$4)^(SUM($F$66:NH$66)+(SUM($F$67:NH$67)))</f>
        <v>0.14763552631578947</v>
      </c>
      <c r="NI69" s="127">
        <f>$B51*(1+$C$4)^(SUM($F$66:NI$66)+(SUM($F$67:NI$67)))</f>
        <v>0.14763552631578947</v>
      </c>
      <c r="NJ69" s="127">
        <f>$B51*(1+$C$4)^(SUM($F$66:NJ$66)+(SUM($F$67:NJ$67)))</f>
        <v>0.14763552631578947</v>
      </c>
      <c r="NK69" s="127">
        <f>$B51*(1+$C$4)^(SUM($F$66:NK$66)+(SUM($F$67:NK$67)))</f>
        <v>0.14763552631578947</v>
      </c>
      <c r="NL69" s="127">
        <f>$B51*(1+$C$4)^(SUM($F$66:NL$66)+(SUM($F$67:NL$67)))</f>
        <v>0.14763552631578947</v>
      </c>
      <c r="NM69" s="127">
        <f>$B51*(1+$C$4)^(SUM($F$66:NM$66)+(SUM($F$67:NM$67)))</f>
        <v>0.14763552631578947</v>
      </c>
      <c r="NN69" s="127">
        <f>$B51*(1+$C$4)^(SUM($F$66:NN$66)+(SUM($F$67:NN$67)))</f>
        <v>0.14763552631578947</v>
      </c>
      <c r="NO69" s="127">
        <f>$B51*(1+$C$4)^(SUM($F$66:NO$66)+(SUM($F$67:NO$67)))</f>
        <v>0.14763552631578947</v>
      </c>
      <c r="NP69" s="127">
        <f>$B51*(1+$C$4)^(SUM($F$66:NP$66)+(SUM($F$67:NP$67)))</f>
        <v>0.14763552631578947</v>
      </c>
      <c r="NQ69" s="127">
        <f>$B51*(1+$C$4)^(SUM($F$66:NQ$66)+(SUM($F$67:NQ$67)))</f>
        <v>0.14763552631578947</v>
      </c>
      <c r="NR69" s="127">
        <f>$B51*(1+$C$4)^(SUM($F$66:NR$66)+(SUM($F$67:NR$67)))</f>
        <v>0.14763552631578947</v>
      </c>
      <c r="NS69" s="127">
        <f>$B51*(1+$C$4)^(SUM($F$66:NS$66)+(SUM($F$67:NS$67)))</f>
        <v>0.14763552631578947</v>
      </c>
      <c r="NT69" s="127">
        <f>$B51*(1+$C$4)^(SUM($F$66:NT$66)+(SUM($F$67:NT$67)))</f>
        <v>0.14763552631578947</v>
      </c>
      <c r="NU69" s="127">
        <f>$B51*(1+$C$4)^(SUM($F$66:NU$66)+(SUM($F$67:NU$67)))</f>
        <v>0.14763552631578947</v>
      </c>
      <c r="NV69" s="127">
        <f>$B51*(1+$C$4)^(SUM($F$66:NV$66)+(SUM($F$67:NV$67)))</f>
        <v>0.14763552631578947</v>
      </c>
      <c r="NW69" s="127">
        <f>$B51*(1+$C$4)^(SUM($F$66:NW$66)+(SUM($F$67:NW$67)))</f>
        <v>0.14763552631578947</v>
      </c>
      <c r="NX69" s="127">
        <f>$B51*(1+$C$4)^(SUM($F$66:NX$66)+(SUM($F$67:NX$67)))</f>
        <v>0.14763552631578947</v>
      </c>
      <c r="NY69" s="127">
        <f>$B51*(1+$C$4)^(SUM($F$66:NY$66)+(SUM($F$67:NY$67)))</f>
        <v>0.14763552631578947</v>
      </c>
      <c r="NZ69" s="127">
        <f>$B51*(1+$C$4)^(SUM($F$66:NZ$66)+(SUM($F$67:NZ$67)))</f>
        <v>0.14763552631578947</v>
      </c>
      <c r="OA69" s="127">
        <f>$B51*(1+$C$4)^(SUM($F$66:OA$66)+(SUM($F$67:OA$67)))</f>
        <v>0.14763552631578947</v>
      </c>
      <c r="OB69" s="127">
        <f>$B51*(1+$C$4)^(SUM($F$66:OB$66)+(SUM($F$67:OB$67)))</f>
        <v>0.14763552631578947</v>
      </c>
      <c r="OC69" s="127">
        <f>$B51*(1+$C$4)^(SUM($F$66:OC$66)+(SUM($F$67:OC$67)))</f>
        <v>0.14763552631578947</v>
      </c>
      <c r="OD69" s="127">
        <f>$B51*(1+$C$4)^(SUM($F$66:OD$66)+(SUM($F$67:OD$67)))</f>
        <v>0.14763552631578947</v>
      </c>
      <c r="OE69" s="127">
        <f>$B51*(1+$C$4)^(SUM($F$66:OE$66)+(SUM($F$67:OE$67)))</f>
        <v>0.14763552631578947</v>
      </c>
      <c r="OF69" s="127">
        <f>$B51*(1+$C$4)^(SUM($F$66:OF$66)+(SUM($F$67:OF$67)))</f>
        <v>0.14763552631578947</v>
      </c>
      <c r="OG69" s="127">
        <f>$B51*(1+$C$4)^(SUM($F$66:OG$66)+(SUM($F$67:OG$67)))</f>
        <v>0.14763552631578947</v>
      </c>
      <c r="OH69" s="127">
        <f>$B51*(1+$C$4)^(SUM($F$66:OH$66)+(SUM($F$67:OH$67)))</f>
        <v>0.14763552631578947</v>
      </c>
      <c r="OI69" s="127">
        <f>$B51*(1+$C$4)^(SUM($F$66:OI$66)+(SUM($F$67:OI$67)))</f>
        <v>0.14763552631578947</v>
      </c>
      <c r="OJ69" s="127">
        <f>$B51*(1+$C$4)^(SUM($F$66:OJ$66)+(SUM($F$67:OJ$67)))</f>
        <v>0.14763552631578947</v>
      </c>
      <c r="OK69" s="127">
        <f>$B51*(1+$C$4)^(SUM($F$66:OK$66)+(SUM($F$67:OK$67)))</f>
        <v>0.14763552631578947</v>
      </c>
      <c r="OL69" s="127">
        <f>$B51*(1+$C$4)^(SUM($F$66:OL$66)+(SUM($F$67:OL$67)))</f>
        <v>0.14763552631578947</v>
      </c>
      <c r="OM69" s="127">
        <f>$B51*(1+$C$4)^(SUM($F$66:OM$66)+(SUM($F$67:OM$67)))</f>
        <v>0.14763552631578947</v>
      </c>
      <c r="ON69" s="127">
        <f>$B51*(1+$C$4)^(SUM($F$66:ON$66)+(SUM($F$67:ON$67)))</f>
        <v>0.14763552631578947</v>
      </c>
      <c r="OO69" s="127">
        <f>$B51*(1+$C$4)^(SUM($F$66:OO$66)+(SUM($F$67:OO$67)))</f>
        <v>0.14763552631578947</v>
      </c>
      <c r="OP69" s="127">
        <f>$B51*(1+$C$4)^(SUM($F$66:OP$66)+(SUM($F$67:OP$67)))</f>
        <v>0.14763552631578947</v>
      </c>
      <c r="OQ69" s="127">
        <f>$B51*(1+$C$4)^(SUM($F$66:OQ$66)+(SUM($F$67:OQ$67)))</f>
        <v>0.14763552631578947</v>
      </c>
      <c r="OR69" s="127">
        <f>$B51*(1+$C$4)^(SUM($F$66:OR$66)+(SUM($F$67:OR$67)))</f>
        <v>0.14763552631578947</v>
      </c>
      <c r="OS69" s="127">
        <f>$B51*(1+$C$4)^(SUM($F$66:OS$66)+(SUM($F$67:OS$67)))</f>
        <v>0.14763552631578947</v>
      </c>
      <c r="OT69" s="127">
        <f>$B51*(1+$C$4)^(SUM($F$66:OT$66)+(SUM($F$67:OT$67)))</f>
        <v>0.14763552631578947</v>
      </c>
      <c r="OU69" s="127">
        <f>$B51*(1+$C$4)^(SUM($F$66:OU$66)+(SUM($F$67:OU$67)))</f>
        <v>0.14763552631578947</v>
      </c>
      <c r="OV69" s="127">
        <f>$B51*(1+$C$4)^(SUM($F$66:OV$66)+(SUM($F$67:OV$67)))</f>
        <v>0.14763552631578947</v>
      </c>
      <c r="OW69" s="127">
        <f>$B51*(1+$C$4)^(SUM($F$66:OW$66)+(SUM($F$67:OW$67)))</f>
        <v>0.14763552631578947</v>
      </c>
      <c r="OX69" s="127">
        <f>$B51*(1+$C$4)^(SUM($F$66:OX$66)+(SUM($F$67:OX$67)))</f>
        <v>0.14763552631578947</v>
      </c>
      <c r="OY69" s="127">
        <f>$B51*(1+$C$4)^(SUM($F$66:OY$66)+(SUM($F$67:OY$67)))</f>
        <v>0.14763552631578947</v>
      </c>
      <c r="OZ69" s="127">
        <f>$B51*(1+$C$4)^(SUM($F$66:OZ$66)+(SUM($F$67:OZ$67)))</f>
        <v>0.14763552631578947</v>
      </c>
      <c r="PA69" s="127">
        <f>$B51*(1+$C$4)^(SUM($F$66:PA$66)+(SUM($F$67:PA$67)))</f>
        <v>0.14763552631578947</v>
      </c>
      <c r="PB69" s="127">
        <f>$B51*(1+$C$4)^(SUM($F$66:PB$66)+(SUM($F$67:PB$67)))</f>
        <v>0.14763552631578947</v>
      </c>
      <c r="PC69" s="127">
        <f>$B51*(1+$C$4)^(SUM($F$66:PC$66)+(SUM($F$67:PC$67)))</f>
        <v>0.14763552631578947</v>
      </c>
      <c r="PD69" s="127">
        <f>$B51*(1+$C$4)^(SUM($F$66:PD$66)+(SUM($F$67:PD$67)))</f>
        <v>0.14763552631578947</v>
      </c>
      <c r="PE69" s="127">
        <f>$B51*(1+$C$4)^(SUM($F$66:PE$66)+(SUM($F$67:PE$67)))</f>
        <v>0.14763552631578947</v>
      </c>
      <c r="PF69" s="127">
        <f>$B51*(1+$C$4)^(SUM($F$66:PF$66)+(SUM($F$67:PF$67)))</f>
        <v>0.14763552631578947</v>
      </c>
      <c r="PG69" s="127">
        <f>$B51*(1+$C$4)^(SUM($F$66:PG$66)+(SUM($F$67:PG$67)))</f>
        <v>0.14763552631578947</v>
      </c>
      <c r="PH69" s="127">
        <f>$B51*(1+$C$4)^(SUM($F$66:PH$66)+(SUM($F$67:PH$67)))</f>
        <v>0.14763552631578947</v>
      </c>
      <c r="PI69" s="127">
        <f>$B51*(1+$C$4)^(SUM($F$66:PI$66)+(SUM($F$67:PI$67)))</f>
        <v>0.14763552631578947</v>
      </c>
      <c r="PJ69" s="127">
        <f>$B51*(1+$C$4)^(SUM($F$66:PJ$66)+(SUM($F$67:PJ$67)))</f>
        <v>0.14763552631578947</v>
      </c>
      <c r="PK69" s="127">
        <f>$B51*(1+$C$4)^(SUM($F$66:PK$66)+(SUM($F$67:PK$67)))</f>
        <v>0.14763552631578947</v>
      </c>
      <c r="PL69" s="127">
        <f>$B51*(1+$C$4)^(SUM($F$66:PL$66)+(SUM($F$67:PL$67)))</f>
        <v>0.14763552631578947</v>
      </c>
      <c r="PM69" s="127">
        <f>$B51*(1+$C$4)^(SUM($F$66:PM$66)+(SUM($F$67:PM$67)))</f>
        <v>0.14763552631578947</v>
      </c>
      <c r="PN69" s="127">
        <f>$B51*(1+$C$4)^(SUM($F$66:PN$66)+(SUM($F$67:PN$67)))</f>
        <v>0.14763552631578947</v>
      </c>
      <c r="PO69" s="127">
        <f>$B51*(1+$C$4)^(SUM($F$66:PO$66)+(SUM($F$67:PO$67)))</f>
        <v>0.14763552631578947</v>
      </c>
      <c r="PP69" s="127">
        <f>$B51*(1+$C$4)^(SUM($F$66:PP$66)+(SUM($F$67:PP$67)))</f>
        <v>0.14763552631578947</v>
      </c>
      <c r="PQ69" s="127">
        <f>$B51*(1+$C$4)^(SUM($F$66:PQ$66)+(SUM($F$67:PQ$67)))</f>
        <v>0.14763552631578947</v>
      </c>
      <c r="PR69" s="127">
        <f>$B51*(1+$C$4)^(SUM($F$66:PR$66)+(SUM($F$67:PR$67)))</f>
        <v>0.14763552631578947</v>
      </c>
      <c r="PS69" s="127">
        <f>$B51*(1+$C$4)^(SUM($F$66:PS$66)+(SUM($F$67:PS$67)))</f>
        <v>0.14763552631578947</v>
      </c>
      <c r="PT69" s="127">
        <f>$B51*(1+$C$4)^(SUM($F$66:PT$66)+(SUM($F$67:PT$67)))</f>
        <v>0.14763552631578947</v>
      </c>
      <c r="PU69" s="127">
        <f>$B51*(1+$C$4)^(SUM($F$66:PU$66)+(SUM($F$67:PU$67)))</f>
        <v>0.14763552631578947</v>
      </c>
      <c r="PV69" s="127">
        <f>$B51*(1+$C$4)^(SUM($F$66:PV$66)+(SUM($F$67:PV$67)))</f>
        <v>0.14763552631578947</v>
      </c>
      <c r="PW69" s="127">
        <f>$B51*(1+$C$4)^(SUM($F$66:PW$66)+(SUM($F$67:PW$67)))</f>
        <v>0.14763552631578947</v>
      </c>
      <c r="PX69" s="127">
        <f>$B51*(1+$C$4)^(SUM($F$66:PX$66)+(SUM($F$67:PX$67)))</f>
        <v>0.14763552631578947</v>
      </c>
      <c r="PY69" s="127">
        <f>$B51*(1+$C$4)^(SUM($F$66:PY$66)+(SUM($F$67:PY$67)))</f>
        <v>0.14763552631578947</v>
      </c>
      <c r="PZ69" s="127">
        <f>$B51*(1+$C$4)^(SUM($F$66:PZ$66)+(SUM($F$67:PZ$67)))</f>
        <v>0.14763552631578947</v>
      </c>
      <c r="QA69" s="127">
        <f>$B51*(1+$C$4)^(SUM($F$66:QA$66)+(SUM($F$67:QA$67)))</f>
        <v>0.14763552631578947</v>
      </c>
      <c r="QB69" s="127">
        <f>$B51*(1+$C$4)^(SUM($F$66:QB$66)+(SUM($F$67:QB$67)))</f>
        <v>0.14763552631578947</v>
      </c>
      <c r="QC69" s="127">
        <f>$B51*(1+$C$4)^(SUM($F$66:QC$66)+(SUM($F$67:QC$67)))</f>
        <v>0.14763552631578947</v>
      </c>
      <c r="QD69" s="127">
        <f>$B51*(1+$C$4)^(SUM($F$66:QD$66)+(SUM($F$67:QD$67)))</f>
        <v>0.14763552631578947</v>
      </c>
      <c r="QE69" s="127">
        <f>$B51*(1+$C$4)^(SUM($F$66:QE$66)+(SUM($F$67:QE$67)))</f>
        <v>0.14763552631578947</v>
      </c>
      <c r="QF69" s="127">
        <f>$B51*(1+$C$4)^(SUM($F$66:QF$66)+(SUM($F$67:QF$67)))</f>
        <v>0.14763552631578947</v>
      </c>
      <c r="QG69" s="127">
        <f>$B51*(1+$C$4)^(SUM($F$66:QG$66)+(SUM($F$67:QG$67)))</f>
        <v>0.14763552631578947</v>
      </c>
      <c r="QH69" s="127">
        <f>$B51*(1+$C$4)^(SUM($F$66:QH$66)+(SUM($F$67:QH$67)))</f>
        <v>0.14763552631578947</v>
      </c>
      <c r="QI69" s="127">
        <f>$B51*(1+$C$4)^(SUM($F$66:QI$66)+(SUM($F$67:QI$67)))</f>
        <v>0.14763552631578947</v>
      </c>
      <c r="QJ69" s="127">
        <f>$B51*(1+$C$4)^(SUM($F$66:QJ$66)+(SUM($F$67:QJ$67)))</f>
        <v>0.14763552631578947</v>
      </c>
      <c r="QK69" s="127">
        <f>$B51*(1+$C$4)^(SUM($F$66:QK$66)+(SUM($F$67:QK$67)))</f>
        <v>0.14763552631578947</v>
      </c>
      <c r="QL69" s="127">
        <f>$B51*(1+$C$4)^(SUM($F$66:QL$66)+(SUM($F$67:QL$67)))</f>
        <v>0.14763552631578947</v>
      </c>
      <c r="QM69" s="127">
        <f>$B51*(1+$C$4)^(SUM($F$66:QM$66)+(SUM($F$67:QM$67)))</f>
        <v>0.14763552631578947</v>
      </c>
      <c r="QN69" s="127">
        <f>$B51*(1+$C$4)^(SUM($F$66:QN$66)+(SUM($F$67:QN$67)))</f>
        <v>0.14763552631578947</v>
      </c>
      <c r="QO69" s="127">
        <f>$B51*(1+$C$4)^(SUM($F$66:QO$66)+(SUM($F$67:QO$67)))</f>
        <v>0.14763552631578947</v>
      </c>
      <c r="QP69" s="127">
        <f>$B51*(1+$C$4)^(SUM($F$66:QP$66)+(SUM($F$67:QP$67)))</f>
        <v>0.14763552631578947</v>
      </c>
      <c r="QQ69" s="127">
        <f>$B51*(1+$C$4)^(SUM($F$66:QQ$66)+(SUM($F$67:QQ$67)))</f>
        <v>0.14763552631578947</v>
      </c>
      <c r="QR69" s="127">
        <f>$B51*(1+$C$4)^(SUM($F$66:QR$66)+(SUM($F$67:QR$67)))</f>
        <v>0.14763552631578947</v>
      </c>
      <c r="QS69" s="127">
        <f>$B51*(1+$C$4)^(SUM($F$66:QS$66)+(SUM($F$67:QS$67)))</f>
        <v>0.14763552631578947</v>
      </c>
      <c r="QT69" s="127">
        <f>$B51*(1+$C$4)^(SUM($F$66:QT$66)+(SUM($F$67:QT$67)))</f>
        <v>0.14763552631578947</v>
      </c>
      <c r="QU69" s="127">
        <f>$B51*(1+$C$4)^(SUM($F$66:QU$66)+(SUM($F$67:QU$67)))</f>
        <v>0.14763552631578947</v>
      </c>
      <c r="QV69" s="127">
        <f>$B51*(1+$C$4)^(SUM($F$66:QV$66)+(SUM($F$67:QV$67)))</f>
        <v>0.14763552631578947</v>
      </c>
      <c r="QW69" s="127">
        <f>$B51*(1+$C$4)^(SUM($F$66:QW$66)+(SUM($F$67:QW$67)))</f>
        <v>0.14763552631578947</v>
      </c>
      <c r="QX69" s="127">
        <f>$B51*(1+$C$4)^(SUM($F$66:QX$66)+(SUM($F$67:QX$67)))</f>
        <v>0.14763552631578947</v>
      </c>
      <c r="QY69" s="127">
        <f>$B51*(1+$C$4)^(SUM($F$66:QY$66)+(SUM($F$67:QY$67)))</f>
        <v>0.14763552631578947</v>
      </c>
      <c r="QZ69" s="127">
        <f>$B51*(1+$C$4)^(SUM($F$66:QZ$66)+(SUM($F$67:QZ$67)))</f>
        <v>0.14763552631578947</v>
      </c>
      <c r="RA69" s="127">
        <f>$B51*(1+$C$4)^(SUM($F$66:RA$66)+(SUM($F$67:RA$67)))</f>
        <v>0.14763552631578947</v>
      </c>
      <c r="RB69" s="127">
        <f>$B51*(1+$C$4)^(SUM($F$66:RB$66)+(SUM($F$67:RB$67)))</f>
        <v>0.14763552631578947</v>
      </c>
      <c r="RC69" s="127">
        <f>$B51*(1+$C$4)^(SUM($F$66:RC$66)+(SUM($F$67:RC$67)))</f>
        <v>0.14763552631578947</v>
      </c>
      <c r="RD69" s="127">
        <f>$B51*(1+$C$4)^(SUM($F$66:RD$66)+(SUM($F$67:RD$67)))</f>
        <v>0.14763552631578947</v>
      </c>
      <c r="RE69" s="127">
        <f>$B51*(1+$C$4)^(SUM($F$66:RE$66)+(SUM($F$67:RE$67)))</f>
        <v>0.14763552631578947</v>
      </c>
      <c r="RF69" s="127">
        <f>$B51*(1+$C$4)^(SUM($F$66:RF$66)+(SUM($F$67:RF$67)))</f>
        <v>0.14763552631578947</v>
      </c>
      <c r="RG69" s="127">
        <f>$B51*(1+$C$4)^(SUM($F$66:RG$66)+(SUM($F$67:RG$67)))</f>
        <v>0.14763552631578947</v>
      </c>
      <c r="RH69" s="127">
        <f>$B51*(1+$C$4)^(SUM($F$66:RH$66)+(SUM($F$67:RH$67)))</f>
        <v>0.14763552631578947</v>
      </c>
      <c r="RI69" s="127">
        <f>$B51*(1+$C$4)^(SUM($F$66:RI$66)+(SUM($F$67:RI$67)))</f>
        <v>0.14763552631578947</v>
      </c>
      <c r="RJ69" s="127">
        <f>$B51*(1+$C$4)^(SUM($F$66:RJ$66)+(SUM($F$67:RJ$67)))</f>
        <v>0.14763552631578947</v>
      </c>
      <c r="RK69" s="127">
        <f>$B51*(1+$C$4)^(SUM($F$66:RK$66)+(SUM($F$67:RK$67)))</f>
        <v>0.14763552631578947</v>
      </c>
      <c r="RL69" s="127">
        <f>$B51*(1+$C$4)^(SUM($F$66:RL$66)+(SUM($F$67:RL$67)))</f>
        <v>0.14763552631578947</v>
      </c>
      <c r="RM69" s="127">
        <f>$B51*(1+$C$4)^(SUM($F$66:RM$66)+(SUM($F$67:RM$67)))</f>
        <v>0.14763552631578947</v>
      </c>
      <c r="RN69" s="127">
        <f>$B51*(1+$C$4)^(SUM($F$66:RN$66)+(SUM($F$67:RN$67)))</f>
        <v>0.14763552631578947</v>
      </c>
      <c r="RO69" s="127">
        <f>$B51*(1+$C$4)^(SUM($F$66:RO$66)+(SUM($F$67:RO$67)))</f>
        <v>0.14763552631578947</v>
      </c>
      <c r="RP69" s="127">
        <f>$B51*(1+$C$4)^(SUM($F$66:RP$66)+(SUM($F$67:RP$67)))</f>
        <v>0.14763552631578947</v>
      </c>
      <c r="RQ69" s="127">
        <f>$B51*(1+$C$4)^(SUM($F$66:RQ$66)+(SUM($F$67:RQ$67)))</f>
        <v>0.14763552631578947</v>
      </c>
      <c r="RR69" s="127">
        <f>$B51*(1+$C$4)^(SUM($F$66:RR$66)+(SUM($F$67:RR$67)))</f>
        <v>0.14763552631578947</v>
      </c>
    </row>
    <row r="70" spans="1:486" s="9" customFormat="1">
      <c r="A70" s="289"/>
      <c r="B70" s="39" t="s">
        <v>231</v>
      </c>
      <c r="E70" s="127">
        <f t="shared" si="27"/>
        <v>0.20858791208791205</v>
      </c>
      <c r="F70" s="127">
        <f>$B52*(1+$C$4)^(SUM($F$66:F$66)+(SUM($F$67:F$67)))</f>
        <v>0.20858791208791205</v>
      </c>
      <c r="G70" s="127">
        <f>$B52*(1+$C$4)^(SUM($F$66:G$66)+(SUM($F$67:G$67)))</f>
        <v>0.20858791208791205</v>
      </c>
      <c r="H70" s="127">
        <f>$B52*(1+$C$4)^(SUM($F$66:H$66)+(SUM($F$67:H$67)))</f>
        <v>0.20858791208791205</v>
      </c>
      <c r="I70" s="127">
        <f>$B52*(1+$C$4)^(SUM($F$66:I$66)+(SUM($F$67:I$67)))</f>
        <v>0.20858791208791205</v>
      </c>
      <c r="J70" s="127">
        <f>$B52*(1+$C$4)^(SUM($F$66:J$66)+(SUM($F$67:J$67)))</f>
        <v>0.20858791208791205</v>
      </c>
      <c r="K70" s="127">
        <f>$B52*(1+$C$4)^(SUM($F$66:K$66)+(SUM($F$67:K$67)))</f>
        <v>0.20858791208791205</v>
      </c>
      <c r="L70" s="127">
        <f>$B52*(1+$C$4)^(SUM($F$66:L$66)+(SUM($F$67:L$67)))</f>
        <v>0.20858791208791205</v>
      </c>
      <c r="M70" s="127">
        <f>$B52*(1+$C$4)^(SUM($F$66:M$66)+(SUM($F$67:M$67)))</f>
        <v>0.20858791208791205</v>
      </c>
      <c r="N70" s="127">
        <f>$B52*(1+$C$4)^(SUM($F$66:N$66)+(SUM($F$67:N$67)))</f>
        <v>0.20858791208791205</v>
      </c>
      <c r="O70" s="127">
        <f>$B52*(1+$C$4)^(SUM($F$66:O$66)+(SUM($F$67:O$67)))</f>
        <v>0.20858791208791205</v>
      </c>
      <c r="P70" s="127">
        <f>$B52*(1+$C$4)^(SUM($F$66:P$66)+(SUM($F$67:P$67)))</f>
        <v>0.20858791208791205</v>
      </c>
      <c r="Q70" s="127">
        <f>$B52*(1+$C$4)^(SUM($F$66:Q$66)+(SUM($F$67:Q$67)))</f>
        <v>0.20858791208791205</v>
      </c>
      <c r="R70" s="127">
        <f>$B52*(1+$C$4)^(SUM($F$66:R$66)+(SUM($F$67:R$67)))</f>
        <v>0.20858791208791205</v>
      </c>
      <c r="S70" s="127">
        <f>$B52*(1+$C$4)^(SUM($F$66:S$66)+(SUM($F$67:S$67)))</f>
        <v>0.20858791208791205</v>
      </c>
      <c r="T70" s="127">
        <f>$B52*(1+$C$4)^(SUM($F$66:T$66)+(SUM($F$67:T$67)))</f>
        <v>0.20858791208791205</v>
      </c>
      <c r="U70" s="127">
        <f>$B52*(1+$C$4)^(SUM($F$66:U$66)+(SUM($F$67:U$67)))</f>
        <v>0.20858791208791205</v>
      </c>
      <c r="V70" s="127">
        <f>$B52*(1+$C$4)^(SUM($F$66:V$66)+(SUM($F$67:V$67)))</f>
        <v>0.20858791208791205</v>
      </c>
      <c r="W70" s="127">
        <f>$B52*(1+$C$4)^(SUM($F$66:W$66)+(SUM($F$67:W$67)))</f>
        <v>0.20858791208791205</v>
      </c>
      <c r="X70" s="127">
        <f>$B52*(1+$C$4)^(SUM($F$66:X$66)+(SUM($F$67:X$67)))</f>
        <v>0.20858791208791205</v>
      </c>
      <c r="Y70" s="127">
        <f>$B52*(1+$C$4)^(SUM($F$66:Y$66)+(SUM($F$67:Y$67)))</f>
        <v>0.20858791208791205</v>
      </c>
      <c r="Z70" s="127">
        <f>$B52*(1+$C$4)^(SUM($F$66:Z$66)+(SUM($F$67:Z$67)))</f>
        <v>0.20858791208791205</v>
      </c>
      <c r="AA70" s="127">
        <f>$B52*(1+$C$4)^(SUM($F$66:AA$66)+(SUM($F$67:AA$67)))</f>
        <v>0.20858791208791205</v>
      </c>
      <c r="AB70" s="127">
        <f>$B52*(1+$C$4)^(SUM($F$66:AB$66)+(SUM($F$67:AB$67)))</f>
        <v>0.20858791208791205</v>
      </c>
      <c r="AC70" s="127">
        <f>$B52*(1+$C$4)^(SUM($F$66:AC$66)+(SUM($F$67:AC$67)))</f>
        <v>0.20858791208791205</v>
      </c>
      <c r="AD70" s="127">
        <f>$B52*(1+$C$4)^(SUM($F$66:AD$66)+(SUM($F$67:AD$67)))</f>
        <v>0.20858791208791205</v>
      </c>
      <c r="AE70" s="127">
        <f>$B52*(1+$C$4)^(SUM($F$66:AE$66)+(SUM($F$67:AE$67)))</f>
        <v>0.20858791208791205</v>
      </c>
      <c r="AF70" s="127">
        <f>$B52*(1+$C$4)^(SUM($F$66:AF$66)+(SUM($F$67:AF$67)))</f>
        <v>0.20858791208791205</v>
      </c>
      <c r="AG70" s="127">
        <f>$B52*(1+$C$4)^(SUM($F$66:AG$66)+(SUM($F$67:AG$67)))</f>
        <v>0.20858791208791205</v>
      </c>
      <c r="AH70" s="127">
        <f>$B52*(1+$C$4)^(SUM($F$66:AH$66)+(SUM($F$67:AH$67)))</f>
        <v>0.20858791208791205</v>
      </c>
      <c r="AI70" s="127">
        <f>$B52*(1+$C$4)^(SUM($F$66:AI$66)+(SUM($F$67:AI$67)))</f>
        <v>0.20858791208791205</v>
      </c>
      <c r="AJ70" s="127">
        <f>$B52*(1+$C$4)^(SUM($F$66:AJ$66)+(SUM($F$67:AJ$67)))</f>
        <v>0.20858791208791205</v>
      </c>
      <c r="AK70" s="127">
        <f>$B52*(1+$C$4)^(SUM($F$66:AK$66)+(SUM($F$67:AK$67)))</f>
        <v>0.20858791208791205</v>
      </c>
      <c r="AL70" s="127">
        <f>$B52*(1+$C$4)^(SUM($F$66:AL$66)+(SUM($F$67:AL$67)))</f>
        <v>0.20858791208791205</v>
      </c>
      <c r="AM70" s="127">
        <f>$B52*(1+$C$4)^(SUM($F$66:AM$66)+(SUM($F$67:AM$67)))</f>
        <v>0.20858791208791205</v>
      </c>
      <c r="AN70" s="127">
        <f>$B52*(1+$C$4)^(SUM($F$66:AN$66)+(SUM($F$67:AN$67)))</f>
        <v>0.20858791208791205</v>
      </c>
      <c r="AO70" s="127">
        <f>$B52*(1+$C$4)^(SUM($F$66:AO$66)+(SUM($F$67:AO$67)))</f>
        <v>0.20858791208791205</v>
      </c>
      <c r="AP70" s="127">
        <f>$B52*(1+$C$4)^(SUM($F$66:AP$66)+(SUM($F$67:AP$67)))</f>
        <v>0.20858791208791205</v>
      </c>
      <c r="AQ70" s="127">
        <f>$B52*(1+$C$4)^(SUM($F$66:AQ$66)+(SUM($F$67:AQ$67)))</f>
        <v>0.20858791208791205</v>
      </c>
      <c r="AR70" s="127">
        <f>$B52*(1+$C$4)^(SUM($F$66:AR$66)+(SUM($F$67:AR$67)))</f>
        <v>0.20858791208791205</v>
      </c>
      <c r="AS70" s="127">
        <f>$B52*(1+$C$4)^(SUM($F$66:AS$66)+(SUM($F$67:AS$67)))</f>
        <v>0.20858791208791205</v>
      </c>
      <c r="AT70" s="127">
        <f>$B52*(1+$C$4)^(SUM($F$66:AT$66)+(SUM($F$67:AT$67)))</f>
        <v>0.20858791208791205</v>
      </c>
      <c r="AU70" s="127">
        <f>$B52*(1+$C$4)^(SUM($F$66:AU$66)+(SUM($F$67:AU$67)))</f>
        <v>0.20858791208791205</v>
      </c>
      <c r="AV70" s="127">
        <f>$B52*(1+$C$4)^(SUM($F$66:AV$66)+(SUM($F$67:AV$67)))</f>
        <v>0.20858791208791205</v>
      </c>
      <c r="AW70" s="127">
        <f>$B52*(1+$C$4)^(SUM($F$66:AW$66)+(SUM($F$67:AW$67)))</f>
        <v>0.20858791208791205</v>
      </c>
      <c r="AX70" s="127">
        <f>$B52*(1+$C$4)^(SUM($F$66:AX$66)+(SUM($F$67:AX$67)))</f>
        <v>0.20858791208791205</v>
      </c>
      <c r="AY70" s="127">
        <f>$B52*(1+$C$4)^(SUM($F$66:AY$66)+(SUM($F$67:AY$67)))</f>
        <v>0.20858791208791205</v>
      </c>
      <c r="AZ70" s="127">
        <f>$B52*(1+$C$4)^(SUM($F$66:AZ$66)+(SUM($F$67:AZ$67)))</f>
        <v>0.20858791208791205</v>
      </c>
      <c r="BA70" s="127">
        <f>$B52*(1+$C$4)^(SUM($F$66:BA$66)+(SUM($F$67:BA$67)))</f>
        <v>0.20858791208791205</v>
      </c>
      <c r="BB70" s="127">
        <f>$B52*(1+$C$4)^(SUM($F$66:BB$66)+(SUM($F$67:BB$67)))</f>
        <v>0.20858791208791205</v>
      </c>
      <c r="BC70" s="127">
        <f>$B52*(1+$C$4)^(SUM($F$66:BC$66)+(SUM($F$67:BC$67)))</f>
        <v>0.20858791208791205</v>
      </c>
      <c r="BD70" s="127">
        <f>$B52*(1+$C$4)^(SUM($F$66:BD$66)+(SUM($F$67:BD$67)))</f>
        <v>0.20858791208791205</v>
      </c>
      <c r="BE70" s="127">
        <f>$B52*(1+$C$4)^(SUM($F$66:BE$66)+(SUM($F$67:BE$67)))</f>
        <v>0.20858791208791205</v>
      </c>
      <c r="BF70" s="127">
        <f>$B52*(1+$C$4)^(SUM($F$66:BF$66)+(SUM($F$67:BF$67)))</f>
        <v>0.20858791208791205</v>
      </c>
      <c r="BG70" s="127">
        <f>$B52*(1+$C$4)^(SUM($F$66:BG$66)+(SUM($F$67:BG$67)))</f>
        <v>0.20858791208791205</v>
      </c>
      <c r="BH70" s="127">
        <f>$B52*(1+$C$4)^(SUM($F$66:BH$66)+(SUM($F$67:BH$67)))</f>
        <v>0.20858791208791205</v>
      </c>
      <c r="BI70" s="127">
        <f>$B52*(1+$C$4)^(SUM($F$66:BI$66)+(SUM($F$67:BI$67)))</f>
        <v>0.20858791208791205</v>
      </c>
      <c r="BJ70" s="127">
        <f>$B52*(1+$C$4)^(SUM($F$66:BJ$66)+(SUM($F$67:BJ$67)))</f>
        <v>0.20858791208791205</v>
      </c>
      <c r="BK70" s="127">
        <f>$B52*(1+$C$4)^(SUM($F$66:BK$66)+(SUM($F$67:BK$67)))</f>
        <v>0.20858791208791205</v>
      </c>
      <c r="BL70" s="127">
        <f>$B52*(1+$C$4)^(SUM($F$66:BL$66)+(SUM($F$67:BL$67)))</f>
        <v>0.20858791208791205</v>
      </c>
      <c r="BM70" s="127">
        <f>$B52*(1+$C$4)^(SUM($F$66:BM$66)+(SUM($F$67:BM$67)))</f>
        <v>0.20858791208791205</v>
      </c>
      <c r="BN70" s="127">
        <f>$B52*(1+$C$4)^(SUM($F$66:BN$66)+(SUM($F$67:BN$67)))</f>
        <v>0.20858791208791205</v>
      </c>
      <c r="BO70" s="127">
        <f>$B52*(1+$C$4)^(SUM($F$66:BO$66)+(SUM($F$67:BO$67)))</f>
        <v>0.20858791208791205</v>
      </c>
      <c r="BP70" s="127">
        <f>$B52*(1+$C$4)^(SUM($F$66:BP$66)+(SUM($F$67:BP$67)))</f>
        <v>0.20858791208791205</v>
      </c>
      <c r="BQ70" s="127">
        <f>$B52*(1+$C$4)^(SUM($F$66:BQ$66)+(SUM($F$67:BQ$67)))</f>
        <v>0.20858791208791205</v>
      </c>
      <c r="BR70" s="127">
        <f>$B52*(1+$C$4)^(SUM($F$66:BR$66)+(SUM($F$67:BR$67)))</f>
        <v>0.20858791208791205</v>
      </c>
      <c r="BS70" s="127">
        <f>$B52*(1+$C$4)^(SUM($F$66:BS$66)+(SUM($F$67:BS$67)))</f>
        <v>0.20858791208791205</v>
      </c>
      <c r="BT70" s="127">
        <f>$B52*(1+$C$4)^(SUM($F$66:BT$66)+(SUM($F$67:BT$67)))</f>
        <v>0.20858791208791205</v>
      </c>
      <c r="BU70" s="127">
        <f>$B52*(1+$C$4)^(SUM($F$66:BU$66)+(SUM($F$67:BU$67)))</f>
        <v>0.20858791208791205</v>
      </c>
      <c r="BV70" s="127">
        <f>$B52*(1+$C$4)^(SUM($F$66:BV$66)+(SUM($F$67:BV$67)))</f>
        <v>0.20858791208791205</v>
      </c>
      <c r="BW70" s="127">
        <f>$B52*(1+$C$4)^(SUM($F$66:BW$66)+(SUM($F$67:BW$67)))</f>
        <v>0.20858791208791205</v>
      </c>
      <c r="BX70" s="127">
        <f>$B52*(1+$C$4)^(SUM($F$66:BX$66)+(SUM($F$67:BX$67)))</f>
        <v>0.20858791208791205</v>
      </c>
      <c r="BY70" s="127">
        <f>$B52*(1+$C$4)^(SUM($F$66:BY$66)+(SUM($F$67:BY$67)))</f>
        <v>0.20858791208791205</v>
      </c>
      <c r="BZ70" s="127">
        <f>$B52*(1+$C$4)^(SUM($F$66:BZ$66)+(SUM($F$67:BZ$67)))</f>
        <v>0.20858791208791205</v>
      </c>
      <c r="CA70" s="127">
        <f>$B52*(1+$C$4)^(SUM($F$66:CA$66)+(SUM($F$67:CA$67)))</f>
        <v>0.20858791208791205</v>
      </c>
      <c r="CB70" s="127">
        <f>$B52*(1+$C$4)^(SUM($F$66:CB$66)+(SUM($F$67:CB$67)))</f>
        <v>0.20858791208791205</v>
      </c>
      <c r="CC70" s="127">
        <f>$B52*(1+$C$4)^(SUM($F$66:CC$66)+(SUM($F$67:CC$67)))</f>
        <v>0.20858791208791205</v>
      </c>
      <c r="CD70" s="127">
        <f>$B52*(1+$C$4)^(SUM($F$66:CD$66)+(SUM($F$67:CD$67)))</f>
        <v>0.20858791208791205</v>
      </c>
      <c r="CE70" s="127">
        <f>$B52*(1+$C$4)^(SUM($F$66:CE$66)+(SUM($F$67:CE$67)))</f>
        <v>0.20858791208791205</v>
      </c>
      <c r="CF70" s="127">
        <f>$B52*(1+$C$4)^(SUM($F$66:CF$66)+(SUM($F$67:CF$67)))</f>
        <v>0.20858791208791205</v>
      </c>
      <c r="CG70" s="127">
        <f>$B52*(1+$C$4)^(SUM($F$66:CG$66)+(SUM($F$67:CG$67)))</f>
        <v>0.20858791208791205</v>
      </c>
      <c r="CH70" s="127">
        <f>$B52*(1+$C$4)^(SUM($F$66:CH$66)+(SUM($F$67:CH$67)))</f>
        <v>0.20858791208791205</v>
      </c>
      <c r="CI70" s="127">
        <f>$B52*(1+$C$4)^(SUM($F$66:CI$66)+(SUM($F$67:CI$67)))</f>
        <v>0.20858791208791205</v>
      </c>
      <c r="CJ70" s="127">
        <f>$B52*(1+$C$4)^(SUM($F$66:CJ$66)+(SUM($F$67:CJ$67)))</f>
        <v>0.20858791208791205</v>
      </c>
      <c r="CK70" s="127">
        <f>$B52*(1+$C$4)^(SUM($F$66:CK$66)+(SUM($F$67:CK$67)))</f>
        <v>0.20858791208791205</v>
      </c>
      <c r="CL70" s="127">
        <f>$B52*(1+$C$4)^(SUM($F$66:CL$66)+(SUM($F$67:CL$67)))</f>
        <v>0.20858791208791205</v>
      </c>
      <c r="CM70" s="127">
        <f>$B52*(1+$C$4)^(SUM($F$66:CM$66)+(SUM($F$67:CM$67)))</f>
        <v>0.20858791208791205</v>
      </c>
      <c r="CN70" s="127">
        <f>$B52*(1+$C$4)^(SUM($F$66:CN$66)+(SUM($F$67:CN$67)))</f>
        <v>0.20858791208791205</v>
      </c>
      <c r="CO70" s="127">
        <f>$B52*(1+$C$4)^(SUM($F$66:CO$66)+(SUM($F$67:CO$67)))</f>
        <v>0.20858791208791205</v>
      </c>
      <c r="CP70" s="127">
        <f>$B52*(1+$C$4)^(SUM($F$66:CP$66)+(SUM($F$67:CP$67)))</f>
        <v>0.20858791208791205</v>
      </c>
      <c r="CQ70" s="127">
        <f>$B52*(1+$C$4)^(SUM($F$66:CQ$66)+(SUM($F$67:CQ$67)))</f>
        <v>0.20858791208791205</v>
      </c>
      <c r="CR70" s="127">
        <f>$B52*(1+$C$4)^(SUM($F$66:CR$66)+(SUM($F$67:CR$67)))</f>
        <v>0.20858791208791205</v>
      </c>
      <c r="CS70" s="127">
        <f>$B52*(1+$C$4)^(SUM($F$66:CS$66)+(SUM($F$67:CS$67)))</f>
        <v>0.20858791208791205</v>
      </c>
      <c r="CT70" s="127">
        <f>$B52*(1+$C$4)^(SUM($F$66:CT$66)+(SUM($F$67:CT$67)))</f>
        <v>0.20858791208791205</v>
      </c>
      <c r="CU70" s="127">
        <f>$B52*(1+$C$4)^(SUM($F$66:CU$66)+(SUM($F$67:CU$67)))</f>
        <v>0.20858791208791205</v>
      </c>
      <c r="CV70" s="127">
        <f>$B52*(1+$C$4)^(SUM($F$66:CV$66)+(SUM($F$67:CV$67)))</f>
        <v>0.20858791208791205</v>
      </c>
      <c r="CW70" s="127">
        <f>$B52*(1+$C$4)^(SUM($F$66:CW$66)+(SUM($F$67:CW$67)))</f>
        <v>0.20858791208791205</v>
      </c>
      <c r="CX70" s="127">
        <f>$B52*(1+$C$4)^(SUM($F$66:CX$66)+(SUM($F$67:CX$67)))</f>
        <v>0.20858791208791205</v>
      </c>
      <c r="CY70" s="127">
        <f>$B52*(1+$C$4)^(SUM($F$66:CY$66)+(SUM($F$67:CY$67)))</f>
        <v>0.20858791208791205</v>
      </c>
      <c r="CZ70" s="127">
        <f>$B52*(1+$C$4)^(SUM($F$66:CZ$66)+(SUM($F$67:CZ$67)))</f>
        <v>0.20858791208791205</v>
      </c>
      <c r="DA70" s="127">
        <f>$B52*(1+$C$4)^(SUM($F$66:DA$66)+(SUM($F$67:DA$67)))</f>
        <v>0.20858791208791205</v>
      </c>
      <c r="DB70" s="127">
        <f>$B52*(1+$C$4)^(SUM($F$66:DB$66)+(SUM($F$67:DB$67)))</f>
        <v>0.20858791208791205</v>
      </c>
      <c r="DC70" s="127">
        <f>$B52*(1+$C$4)^(SUM($F$66:DC$66)+(SUM($F$67:DC$67)))</f>
        <v>0.20858791208791205</v>
      </c>
      <c r="DD70" s="127">
        <f>$B52*(1+$C$4)^(SUM($F$66:DD$66)+(SUM($F$67:DD$67)))</f>
        <v>0.20858791208791205</v>
      </c>
      <c r="DE70" s="127">
        <f>$B52*(1+$C$4)^(SUM($F$66:DE$66)+(SUM($F$67:DE$67)))</f>
        <v>0.20858791208791205</v>
      </c>
      <c r="DF70" s="127">
        <f>$B52*(1+$C$4)^(SUM($F$66:DF$66)+(SUM($F$67:DF$67)))</f>
        <v>0.20858791208791205</v>
      </c>
      <c r="DG70" s="127">
        <f>$B52*(1+$C$4)^(SUM($F$66:DG$66)+(SUM($F$67:DG$67)))</f>
        <v>0.20858791208791205</v>
      </c>
      <c r="DH70" s="127">
        <f>$B52*(1+$C$4)^(SUM($F$66:DH$66)+(SUM($F$67:DH$67)))</f>
        <v>0.20858791208791205</v>
      </c>
      <c r="DI70" s="127">
        <f>$B52*(1+$C$4)^(SUM($F$66:DI$66)+(SUM($F$67:DI$67)))</f>
        <v>0.20858791208791205</v>
      </c>
      <c r="DJ70" s="127">
        <f>$B52*(1+$C$4)^(SUM($F$66:DJ$66)+(SUM($F$67:DJ$67)))</f>
        <v>0.20858791208791205</v>
      </c>
      <c r="DK70" s="127">
        <f>$B52*(1+$C$4)^(SUM($F$66:DK$66)+(SUM($F$67:DK$67)))</f>
        <v>0.20858791208791205</v>
      </c>
      <c r="DL70" s="127">
        <f>$B52*(1+$C$4)^(SUM($F$66:DL$66)+(SUM($F$67:DL$67)))</f>
        <v>0.20858791208791205</v>
      </c>
      <c r="DM70" s="127">
        <f>$B52*(1+$C$4)^(SUM($F$66:DM$66)+(SUM($F$67:DM$67)))</f>
        <v>0.20858791208791205</v>
      </c>
      <c r="DN70" s="127">
        <f>$B52*(1+$C$4)^(SUM($F$66:DN$66)+(SUM($F$67:DN$67)))</f>
        <v>0.20858791208791205</v>
      </c>
      <c r="DO70" s="127">
        <f>$B52*(1+$C$4)^(SUM($F$66:DO$66)+(SUM($F$67:DO$67)))</f>
        <v>0.20858791208791205</v>
      </c>
      <c r="DP70" s="127">
        <f>$B52*(1+$C$4)^(SUM($F$66:DP$66)+(SUM($F$67:DP$67)))</f>
        <v>0.20858791208791205</v>
      </c>
      <c r="DQ70" s="127">
        <f>$B52*(1+$C$4)^(SUM($F$66:DQ$66)+(SUM($F$67:DQ$67)))</f>
        <v>0.20858791208791205</v>
      </c>
      <c r="DR70" s="127">
        <f>$B52*(1+$C$4)^(SUM($F$66:DR$66)+(SUM($F$67:DR$67)))</f>
        <v>0.20858791208791205</v>
      </c>
      <c r="DS70" s="127">
        <f>$B52*(1+$C$4)^(SUM($F$66:DS$66)+(SUM($F$67:DS$67)))</f>
        <v>0.20858791208791205</v>
      </c>
      <c r="DT70" s="127">
        <f>$B52*(1+$C$4)^(SUM($F$66:DT$66)+(SUM($F$67:DT$67)))</f>
        <v>0.20858791208791205</v>
      </c>
      <c r="DU70" s="127">
        <f>$B52*(1+$C$4)^(SUM($F$66:DU$66)+(SUM($F$67:DU$67)))</f>
        <v>0.20858791208791205</v>
      </c>
      <c r="DV70" s="127">
        <f>$B52*(1+$C$4)^(SUM($F$66:DV$66)+(SUM($F$67:DV$67)))</f>
        <v>0.20858791208791205</v>
      </c>
      <c r="DW70" s="127">
        <f>$B52*(1+$C$4)^(SUM($F$66:DW$66)+(SUM($F$67:DW$67)))</f>
        <v>0.20858791208791205</v>
      </c>
      <c r="DX70" s="127">
        <f>$B52*(1+$C$4)^(SUM($F$66:DX$66)+(SUM($F$67:DX$67)))</f>
        <v>0.20858791208791205</v>
      </c>
      <c r="DY70" s="127">
        <f>$B52*(1+$C$4)^(SUM($F$66:DY$66)+(SUM($F$67:DY$67)))</f>
        <v>0.20858791208791205</v>
      </c>
      <c r="DZ70" s="127">
        <f>$B52*(1+$C$4)^(SUM($F$66:DZ$66)+(SUM($F$67:DZ$67)))</f>
        <v>0.20858791208791205</v>
      </c>
      <c r="EA70" s="127">
        <f>$B52*(1+$C$4)^(SUM($F$66:EA$66)+(SUM($F$67:EA$67)))</f>
        <v>0.20858791208791205</v>
      </c>
      <c r="EB70" s="127">
        <f>$B52*(1+$C$4)^(SUM($F$66:EB$66)+(SUM($F$67:EB$67)))</f>
        <v>0.20858791208791205</v>
      </c>
      <c r="EC70" s="127">
        <f>$B52*(1+$C$4)^(SUM($F$66:EC$66)+(SUM($F$67:EC$67)))</f>
        <v>0.20858791208791205</v>
      </c>
      <c r="ED70" s="127">
        <f>$B52*(1+$C$4)^(SUM($F$66:ED$66)+(SUM($F$67:ED$67)))</f>
        <v>0.20858791208791205</v>
      </c>
      <c r="EE70" s="127">
        <f>$B52*(1+$C$4)^(SUM($F$66:EE$66)+(SUM($F$67:EE$67)))</f>
        <v>0.20858791208791205</v>
      </c>
      <c r="EF70" s="127">
        <f>$B52*(1+$C$4)^(SUM($F$66:EF$66)+(SUM($F$67:EF$67)))</f>
        <v>0.20858791208791205</v>
      </c>
      <c r="EG70" s="127">
        <f>$B52*(1+$C$4)^(SUM($F$66:EG$66)+(SUM($F$67:EG$67)))</f>
        <v>0.20858791208791205</v>
      </c>
      <c r="EH70" s="127">
        <f>$B52*(1+$C$4)^(SUM($F$66:EH$66)+(SUM($F$67:EH$67)))</f>
        <v>0.20858791208791205</v>
      </c>
      <c r="EI70" s="127">
        <f>$B52*(1+$C$4)^(SUM($F$66:EI$66)+(SUM($F$67:EI$67)))</f>
        <v>0.20858791208791205</v>
      </c>
      <c r="EJ70" s="127">
        <f>$B52*(1+$C$4)^(SUM($F$66:EJ$66)+(SUM($F$67:EJ$67)))</f>
        <v>0.20858791208791205</v>
      </c>
      <c r="EK70" s="127">
        <f>$B52*(1+$C$4)^(SUM($F$66:EK$66)+(SUM($F$67:EK$67)))</f>
        <v>0.20858791208791205</v>
      </c>
      <c r="EL70" s="127">
        <f>$B52*(1+$C$4)^(SUM($F$66:EL$66)+(SUM($F$67:EL$67)))</f>
        <v>0.20858791208791205</v>
      </c>
      <c r="EM70" s="127">
        <f>$B52*(1+$C$4)^(SUM($F$66:EM$66)+(SUM($F$67:EM$67)))</f>
        <v>0.20858791208791205</v>
      </c>
      <c r="EN70" s="127">
        <f>$B52*(1+$C$4)^(SUM($F$66:EN$66)+(SUM($F$67:EN$67)))</f>
        <v>0.20858791208791205</v>
      </c>
      <c r="EO70" s="127">
        <f>$B52*(1+$C$4)^(SUM($F$66:EO$66)+(SUM($F$67:EO$67)))</f>
        <v>0.20858791208791205</v>
      </c>
      <c r="EP70" s="127">
        <f>$B52*(1+$C$4)^(SUM($F$66:EP$66)+(SUM($F$67:EP$67)))</f>
        <v>0.20858791208791205</v>
      </c>
      <c r="EQ70" s="127">
        <f>$B52*(1+$C$4)^(SUM($F$66:EQ$66)+(SUM($F$67:EQ$67)))</f>
        <v>0.20858791208791205</v>
      </c>
      <c r="ER70" s="127">
        <f>$B52*(1+$C$4)^(SUM($F$66:ER$66)+(SUM($F$67:ER$67)))</f>
        <v>0.20858791208791205</v>
      </c>
      <c r="ES70" s="127">
        <f>$B52*(1+$C$4)^(SUM($F$66:ES$66)+(SUM($F$67:ES$67)))</f>
        <v>0.20858791208791205</v>
      </c>
      <c r="ET70" s="127">
        <f>$B52*(1+$C$4)^(SUM($F$66:ET$66)+(SUM($F$67:ET$67)))</f>
        <v>0.20858791208791205</v>
      </c>
      <c r="EU70" s="127">
        <f>$B52*(1+$C$4)^(SUM($F$66:EU$66)+(SUM($F$67:EU$67)))</f>
        <v>0.20858791208791205</v>
      </c>
      <c r="EV70" s="127">
        <f>$B52*(1+$C$4)^(SUM($F$66:EV$66)+(SUM($F$67:EV$67)))</f>
        <v>0.20858791208791205</v>
      </c>
      <c r="EW70" s="127">
        <f>$B52*(1+$C$4)^(SUM($F$66:EW$66)+(SUM($F$67:EW$67)))</f>
        <v>0.20858791208791205</v>
      </c>
      <c r="EX70" s="127">
        <f>$B52*(1+$C$4)^(SUM($F$66:EX$66)+(SUM($F$67:EX$67)))</f>
        <v>0.20858791208791205</v>
      </c>
      <c r="EY70" s="127">
        <f>$B52*(1+$C$4)^(SUM($F$66:EY$66)+(SUM($F$67:EY$67)))</f>
        <v>0.20858791208791205</v>
      </c>
      <c r="EZ70" s="127">
        <f>$B52*(1+$C$4)^(SUM($F$66:EZ$66)+(SUM($F$67:EZ$67)))</f>
        <v>0.20858791208791205</v>
      </c>
      <c r="FA70" s="127">
        <f>$B52*(1+$C$4)^(SUM($F$66:FA$66)+(SUM($F$67:FA$67)))</f>
        <v>0.20858791208791205</v>
      </c>
      <c r="FB70" s="127">
        <f>$B52*(1+$C$4)^(SUM($F$66:FB$66)+(SUM($F$67:FB$67)))</f>
        <v>0.20858791208791205</v>
      </c>
      <c r="FC70" s="127">
        <f>$B52*(1+$C$4)^(SUM($F$66:FC$66)+(SUM($F$67:FC$67)))</f>
        <v>0.20858791208791205</v>
      </c>
      <c r="FD70" s="127">
        <f>$B52*(1+$C$4)^(SUM($F$66:FD$66)+(SUM($F$67:FD$67)))</f>
        <v>0.20858791208791205</v>
      </c>
      <c r="FE70" s="127">
        <f>$B52*(1+$C$4)^(SUM($F$66:FE$66)+(SUM($F$67:FE$67)))</f>
        <v>0.20858791208791205</v>
      </c>
      <c r="FF70" s="127">
        <f>$B52*(1+$C$4)^(SUM($F$66:FF$66)+(SUM($F$67:FF$67)))</f>
        <v>0.20858791208791205</v>
      </c>
      <c r="FG70" s="127">
        <f>$B52*(1+$C$4)^(SUM($F$66:FG$66)+(SUM($F$67:FG$67)))</f>
        <v>0.20858791208791205</v>
      </c>
      <c r="FH70" s="127">
        <f>$B52*(1+$C$4)^(SUM($F$66:FH$66)+(SUM($F$67:FH$67)))</f>
        <v>0.20858791208791205</v>
      </c>
      <c r="FI70" s="127">
        <f>$B52*(1+$C$4)^(SUM($F$66:FI$66)+(SUM($F$67:FI$67)))</f>
        <v>0.20858791208791205</v>
      </c>
      <c r="FJ70" s="127">
        <f>$B52*(1+$C$4)^(SUM($F$66:FJ$66)+(SUM($F$67:FJ$67)))</f>
        <v>0.20858791208791205</v>
      </c>
      <c r="FK70" s="127">
        <f>$B52*(1+$C$4)^(SUM($F$66:FK$66)+(SUM($F$67:FK$67)))</f>
        <v>0.20858791208791205</v>
      </c>
      <c r="FL70" s="127">
        <f>$B52*(1+$C$4)^(SUM($F$66:FL$66)+(SUM($F$67:FL$67)))</f>
        <v>0.20858791208791205</v>
      </c>
      <c r="FM70" s="127">
        <f>$B52*(1+$C$4)^(SUM($F$66:FM$66)+(SUM($F$67:FM$67)))</f>
        <v>0.20858791208791205</v>
      </c>
      <c r="FN70" s="127">
        <f>$B52*(1+$C$4)^(SUM($F$66:FN$66)+(SUM($F$67:FN$67)))</f>
        <v>0.20858791208791205</v>
      </c>
      <c r="FO70" s="127">
        <f>$B52*(1+$C$4)^(SUM($F$66:FO$66)+(SUM($F$67:FO$67)))</f>
        <v>0.20858791208791205</v>
      </c>
      <c r="FP70" s="127">
        <f>$B52*(1+$C$4)^(SUM($F$66:FP$66)+(SUM($F$67:FP$67)))</f>
        <v>0.20858791208791205</v>
      </c>
      <c r="FQ70" s="127">
        <f>$B52*(1+$C$4)^(SUM($F$66:FQ$66)+(SUM($F$67:FQ$67)))</f>
        <v>0.20858791208791205</v>
      </c>
      <c r="FR70" s="127">
        <f>$B52*(1+$C$4)^(SUM($F$66:FR$66)+(SUM($F$67:FR$67)))</f>
        <v>0.20858791208791205</v>
      </c>
      <c r="FS70" s="127">
        <f>$B52*(1+$C$4)^(SUM($F$66:FS$66)+(SUM($F$67:FS$67)))</f>
        <v>0.20858791208791205</v>
      </c>
      <c r="FT70" s="127">
        <f>$B52*(1+$C$4)^(SUM($F$66:FT$66)+(SUM($F$67:FT$67)))</f>
        <v>0.20858791208791205</v>
      </c>
      <c r="FU70" s="127">
        <f>$B52*(1+$C$4)^(SUM($F$66:FU$66)+(SUM($F$67:FU$67)))</f>
        <v>0.20858791208791205</v>
      </c>
      <c r="FV70" s="127">
        <f>$B52*(1+$C$4)^(SUM($F$66:FV$66)+(SUM($F$67:FV$67)))</f>
        <v>0.20858791208791205</v>
      </c>
      <c r="FW70" s="127">
        <f>$B52*(1+$C$4)^(SUM($F$66:FW$66)+(SUM($F$67:FW$67)))</f>
        <v>0.20858791208791205</v>
      </c>
      <c r="FX70" s="127">
        <f>$B52*(1+$C$4)^(SUM($F$66:FX$66)+(SUM($F$67:FX$67)))</f>
        <v>0.20858791208791205</v>
      </c>
      <c r="FY70" s="127">
        <f>$B52*(1+$C$4)^(SUM($F$66:FY$66)+(SUM($F$67:FY$67)))</f>
        <v>0.20858791208791205</v>
      </c>
      <c r="FZ70" s="127">
        <f>$B52*(1+$C$4)^(SUM($F$66:FZ$66)+(SUM($F$67:FZ$67)))</f>
        <v>0.20858791208791205</v>
      </c>
      <c r="GA70" s="127">
        <f>$B52*(1+$C$4)^(SUM($F$66:GA$66)+(SUM($F$67:GA$67)))</f>
        <v>0.20858791208791205</v>
      </c>
      <c r="GB70" s="127">
        <f>$B52*(1+$C$4)^(SUM($F$66:GB$66)+(SUM($F$67:GB$67)))</f>
        <v>0.20858791208791205</v>
      </c>
      <c r="GC70" s="127">
        <f>$B52*(1+$C$4)^(SUM($F$66:GC$66)+(SUM($F$67:GC$67)))</f>
        <v>0.20858791208791205</v>
      </c>
      <c r="GD70" s="127">
        <f>$B52*(1+$C$4)^(SUM($F$66:GD$66)+(SUM($F$67:GD$67)))</f>
        <v>0.20858791208791205</v>
      </c>
      <c r="GE70" s="127">
        <f>$B52*(1+$C$4)^(SUM($F$66:GE$66)+(SUM($F$67:GE$67)))</f>
        <v>0.20858791208791205</v>
      </c>
      <c r="GF70" s="127">
        <f>$B52*(1+$C$4)^(SUM($F$66:GF$66)+(SUM($F$67:GF$67)))</f>
        <v>0.20858791208791205</v>
      </c>
      <c r="GG70" s="127">
        <f>$B52*(1+$C$4)^(SUM($F$66:GG$66)+(SUM($F$67:GG$67)))</f>
        <v>0.20858791208791205</v>
      </c>
      <c r="GH70" s="127">
        <f>$B52*(1+$C$4)^(SUM($F$66:GH$66)+(SUM($F$67:GH$67)))</f>
        <v>0.20858791208791205</v>
      </c>
      <c r="GI70" s="127">
        <f>$B52*(1+$C$4)^(SUM($F$66:GI$66)+(SUM($F$67:GI$67)))</f>
        <v>0.20858791208791205</v>
      </c>
      <c r="GJ70" s="127">
        <f>$B52*(1+$C$4)^(SUM($F$66:GJ$66)+(SUM($F$67:GJ$67)))</f>
        <v>0.20858791208791205</v>
      </c>
      <c r="GK70" s="127">
        <f>$B52*(1+$C$4)^(SUM($F$66:GK$66)+(SUM($F$67:GK$67)))</f>
        <v>0.20858791208791205</v>
      </c>
      <c r="GL70" s="127">
        <f>$B52*(1+$C$4)^(SUM($F$66:GL$66)+(SUM($F$67:GL$67)))</f>
        <v>0.20858791208791205</v>
      </c>
      <c r="GM70" s="127">
        <f>$B52*(1+$C$4)^(SUM($F$66:GM$66)+(SUM($F$67:GM$67)))</f>
        <v>0.20858791208791205</v>
      </c>
      <c r="GN70" s="127">
        <f>$B52*(1+$C$4)^(SUM($F$66:GN$66)+(SUM($F$67:GN$67)))</f>
        <v>0.20858791208791205</v>
      </c>
      <c r="GO70" s="127">
        <f>$B52*(1+$C$4)^(SUM($F$66:GO$66)+(SUM($F$67:GO$67)))</f>
        <v>0.20858791208791205</v>
      </c>
      <c r="GP70" s="127">
        <f>$B52*(1+$C$4)^(SUM($F$66:GP$66)+(SUM($F$67:GP$67)))</f>
        <v>0.20858791208791205</v>
      </c>
      <c r="GQ70" s="127">
        <f>$B52*(1+$C$4)^(SUM($F$66:GQ$66)+(SUM($F$67:GQ$67)))</f>
        <v>0.20858791208791205</v>
      </c>
      <c r="GR70" s="127">
        <f>$B52*(1+$C$4)^(SUM($F$66:GR$66)+(SUM($F$67:GR$67)))</f>
        <v>0.20858791208791205</v>
      </c>
      <c r="GS70" s="127">
        <f>$B52*(1+$C$4)^(SUM($F$66:GS$66)+(SUM($F$67:GS$67)))</f>
        <v>0.20858791208791205</v>
      </c>
      <c r="GT70" s="127">
        <f>$B52*(1+$C$4)^(SUM($F$66:GT$66)+(SUM($F$67:GT$67)))</f>
        <v>0.20858791208791205</v>
      </c>
      <c r="GU70" s="127">
        <f>$B52*(1+$C$4)^(SUM($F$66:GU$66)+(SUM($F$67:GU$67)))</f>
        <v>0.20858791208791205</v>
      </c>
      <c r="GV70" s="127">
        <f>$B52*(1+$C$4)^(SUM($F$66:GV$66)+(SUM($F$67:GV$67)))</f>
        <v>0.20858791208791205</v>
      </c>
      <c r="GW70" s="127">
        <f>$B52*(1+$C$4)^(SUM($F$66:GW$66)+(SUM($F$67:GW$67)))</f>
        <v>0.20858791208791205</v>
      </c>
      <c r="GX70" s="127">
        <f>$B52*(1+$C$4)^(SUM($F$66:GX$66)+(SUM($F$67:GX$67)))</f>
        <v>0.20858791208791205</v>
      </c>
      <c r="GY70" s="127">
        <f>$B52*(1+$C$4)^(SUM($F$66:GY$66)+(SUM($F$67:GY$67)))</f>
        <v>0.20858791208791205</v>
      </c>
      <c r="GZ70" s="127">
        <f>$B52*(1+$C$4)^(SUM($F$66:GZ$66)+(SUM($F$67:GZ$67)))</f>
        <v>0.20858791208791205</v>
      </c>
      <c r="HA70" s="127">
        <f>$B52*(1+$C$4)^(SUM($F$66:HA$66)+(SUM($F$67:HA$67)))</f>
        <v>0.20858791208791205</v>
      </c>
      <c r="HB70" s="127">
        <f>$B52*(1+$C$4)^(SUM($F$66:HB$66)+(SUM($F$67:HB$67)))</f>
        <v>0.20858791208791205</v>
      </c>
      <c r="HC70" s="127">
        <f>$B52*(1+$C$4)^(SUM($F$66:HC$66)+(SUM($F$67:HC$67)))</f>
        <v>0.20858791208791205</v>
      </c>
      <c r="HD70" s="127">
        <f>$B52*(1+$C$4)^(SUM($F$66:HD$66)+(SUM($F$67:HD$67)))</f>
        <v>0.20858791208791205</v>
      </c>
      <c r="HE70" s="127">
        <f>$B52*(1+$C$4)^(SUM($F$66:HE$66)+(SUM($F$67:HE$67)))</f>
        <v>0.20858791208791205</v>
      </c>
      <c r="HF70" s="127">
        <f>$B52*(1+$C$4)^(SUM($F$66:HF$66)+(SUM($F$67:HF$67)))</f>
        <v>0.20858791208791205</v>
      </c>
      <c r="HG70" s="127">
        <f>$B52*(1+$C$4)^(SUM($F$66:HG$66)+(SUM($F$67:HG$67)))</f>
        <v>0.20858791208791205</v>
      </c>
      <c r="HH70" s="127">
        <f>$B52*(1+$C$4)^(SUM($F$66:HH$66)+(SUM($F$67:HH$67)))</f>
        <v>0.20858791208791205</v>
      </c>
      <c r="HI70" s="127">
        <f>$B52*(1+$C$4)^(SUM($F$66:HI$66)+(SUM($F$67:HI$67)))</f>
        <v>0.20858791208791205</v>
      </c>
      <c r="HJ70" s="127">
        <f>$B52*(1+$C$4)^(SUM($F$66:HJ$66)+(SUM($F$67:HJ$67)))</f>
        <v>0.20858791208791205</v>
      </c>
      <c r="HK70" s="127">
        <f>$B52*(1+$C$4)^(SUM($F$66:HK$66)+(SUM($F$67:HK$67)))</f>
        <v>0.20858791208791205</v>
      </c>
      <c r="HL70" s="127">
        <f>$B52*(1+$C$4)^(SUM($F$66:HL$66)+(SUM($F$67:HL$67)))</f>
        <v>0.20858791208791205</v>
      </c>
      <c r="HM70" s="127">
        <f>$B52*(1+$C$4)^(SUM($F$66:HM$66)+(SUM($F$67:HM$67)))</f>
        <v>0.20858791208791205</v>
      </c>
      <c r="HN70" s="127">
        <f>$B52*(1+$C$4)^(SUM($F$66:HN$66)+(SUM($F$67:HN$67)))</f>
        <v>0.20858791208791205</v>
      </c>
      <c r="HO70" s="127">
        <f>$B52*(1+$C$4)^(SUM($F$66:HO$66)+(SUM($F$67:HO$67)))</f>
        <v>0.20858791208791205</v>
      </c>
      <c r="HP70" s="127">
        <f>$B52*(1+$C$4)^(SUM($F$66:HP$66)+(SUM($F$67:HP$67)))</f>
        <v>0.20858791208791205</v>
      </c>
      <c r="HQ70" s="127">
        <f>$B52*(1+$C$4)^(SUM($F$66:HQ$66)+(SUM($F$67:HQ$67)))</f>
        <v>0.20858791208791205</v>
      </c>
      <c r="HR70" s="127">
        <f>$B52*(1+$C$4)^(SUM($F$66:HR$66)+(SUM($F$67:HR$67)))</f>
        <v>0.20858791208791205</v>
      </c>
      <c r="HS70" s="127">
        <f>$B52*(1+$C$4)^(SUM($F$66:HS$66)+(SUM($F$67:HS$67)))</f>
        <v>0.20858791208791205</v>
      </c>
      <c r="HT70" s="127">
        <f>$B52*(1+$C$4)^(SUM($F$66:HT$66)+(SUM($F$67:HT$67)))</f>
        <v>0.20858791208791205</v>
      </c>
      <c r="HU70" s="127">
        <f>$B52*(1+$C$4)^(SUM($F$66:HU$66)+(SUM($F$67:HU$67)))</f>
        <v>0.20858791208791205</v>
      </c>
      <c r="HV70" s="127">
        <f>$B52*(1+$C$4)^(SUM($F$66:HV$66)+(SUM($F$67:HV$67)))</f>
        <v>0.20858791208791205</v>
      </c>
      <c r="HW70" s="127">
        <f>$B52*(1+$C$4)^(SUM($F$66:HW$66)+(SUM($F$67:HW$67)))</f>
        <v>0.20858791208791205</v>
      </c>
      <c r="HX70" s="127">
        <f>$B52*(1+$C$4)^(SUM($F$66:HX$66)+(SUM($F$67:HX$67)))</f>
        <v>0.20858791208791205</v>
      </c>
      <c r="HY70" s="127">
        <f>$B52*(1+$C$4)^(SUM($F$66:HY$66)+(SUM($F$67:HY$67)))</f>
        <v>0.20858791208791205</v>
      </c>
      <c r="HZ70" s="127">
        <f>$B52*(1+$C$4)^(SUM($F$66:HZ$66)+(SUM($F$67:HZ$67)))</f>
        <v>0.20858791208791205</v>
      </c>
      <c r="IA70" s="127">
        <f>$B52*(1+$C$4)^(SUM($F$66:IA$66)+(SUM($F$67:IA$67)))</f>
        <v>0.20858791208791205</v>
      </c>
      <c r="IB70" s="127">
        <f>$B52*(1+$C$4)^(SUM($F$66:IB$66)+(SUM($F$67:IB$67)))</f>
        <v>0.20858791208791205</v>
      </c>
      <c r="IC70" s="127">
        <f>$B52*(1+$C$4)^(SUM($F$66:IC$66)+(SUM($F$67:IC$67)))</f>
        <v>0.20858791208791205</v>
      </c>
      <c r="ID70" s="127">
        <f>$B52*(1+$C$4)^(SUM($F$66:ID$66)+(SUM($F$67:ID$67)))</f>
        <v>0.20858791208791205</v>
      </c>
      <c r="IE70" s="127">
        <f>$B52*(1+$C$4)^(SUM($F$66:IE$66)+(SUM($F$67:IE$67)))</f>
        <v>0.20858791208791205</v>
      </c>
      <c r="IF70" s="127">
        <f>$B52*(1+$C$4)^(SUM($F$66:IF$66)+(SUM($F$67:IF$67)))</f>
        <v>0.20858791208791205</v>
      </c>
      <c r="IG70" s="127">
        <f>$B52*(1+$C$4)^(SUM($F$66:IG$66)+(SUM($F$67:IG$67)))</f>
        <v>0.20858791208791205</v>
      </c>
      <c r="IH70" s="127">
        <f>$B52*(1+$C$4)^(SUM($F$66:IH$66)+(SUM($F$67:IH$67)))</f>
        <v>0.20858791208791205</v>
      </c>
      <c r="II70" s="127">
        <f>$B52*(1+$C$4)^(SUM($F$66:II$66)+(SUM($F$67:II$67)))</f>
        <v>0.20858791208791205</v>
      </c>
      <c r="IJ70" s="127">
        <f>$B52*(1+$C$4)^(SUM($F$66:IJ$66)+(SUM($F$67:IJ$67)))</f>
        <v>0.20858791208791205</v>
      </c>
      <c r="IK70" s="127">
        <f>$B52*(1+$C$4)^(SUM($F$66:IK$66)+(SUM($F$67:IK$67)))</f>
        <v>0.20858791208791205</v>
      </c>
      <c r="IL70" s="127">
        <f>$B52*(1+$C$4)^(SUM($F$66:IL$66)+(SUM($F$67:IL$67)))</f>
        <v>0.20858791208791205</v>
      </c>
      <c r="IM70" s="127">
        <f>$B52*(1+$C$4)^(SUM($F$66:IM$66)+(SUM($F$67:IM$67)))</f>
        <v>0.20858791208791205</v>
      </c>
      <c r="IN70" s="127">
        <f>$B52*(1+$C$4)^(SUM($F$66:IN$66)+(SUM($F$67:IN$67)))</f>
        <v>0.20858791208791205</v>
      </c>
      <c r="IO70" s="127">
        <f>$B52*(1+$C$4)^(SUM($F$66:IO$66)+(SUM($F$67:IO$67)))</f>
        <v>0.20858791208791205</v>
      </c>
      <c r="IP70" s="127">
        <f>$B52*(1+$C$4)^(SUM($F$66:IP$66)+(SUM($F$67:IP$67)))</f>
        <v>0.20858791208791205</v>
      </c>
      <c r="IQ70" s="127">
        <f>$B52*(1+$C$4)^(SUM($F$66:IQ$66)+(SUM($F$67:IQ$67)))</f>
        <v>0.20858791208791205</v>
      </c>
      <c r="IR70" s="127">
        <f>$B52*(1+$C$4)^(SUM($F$66:IR$66)+(SUM($F$67:IR$67)))</f>
        <v>0.20858791208791205</v>
      </c>
      <c r="IS70" s="127">
        <f>$B52*(1+$C$4)^(SUM($F$66:IS$66)+(SUM($F$67:IS$67)))</f>
        <v>0.20858791208791205</v>
      </c>
      <c r="IT70" s="127">
        <f>$B52*(1+$C$4)^(SUM($F$66:IT$66)+(SUM($F$67:IT$67)))</f>
        <v>0.20858791208791205</v>
      </c>
      <c r="IU70" s="127">
        <f>$B52*(1+$C$4)^(SUM($F$66:IU$66)+(SUM($F$67:IU$67)))</f>
        <v>0.20858791208791205</v>
      </c>
      <c r="IV70" s="127">
        <f>$B52*(1+$C$4)^(SUM($F$66:IV$66)+(SUM($F$67:IV$67)))</f>
        <v>0.20858791208791205</v>
      </c>
      <c r="IW70" s="127">
        <f>$B52*(1+$C$4)^(SUM($F$66:IW$66)+(SUM($F$67:IW$67)))</f>
        <v>0.20858791208791205</v>
      </c>
      <c r="IX70" s="127">
        <f>$B52*(1+$C$4)^(SUM($F$66:IX$66)+(SUM($F$67:IX$67)))</f>
        <v>0.20858791208791205</v>
      </c>
      <c r="IY70" s="127">
        <f>$B52*(1+$C$4)^(SUM($F$66:IY$66)+(SUM($F$67:IY$67)))</f>
        <v>0.20858791208791205</v>
      </c>
      <c r="IZ70" s="127">
        <f>$B52*(1+$C$4)^(SUM($F$66:IZ$66)+(SUM($F$67:IZ$67)))</f>
        <v>0.20858791208791205</v>
      </c>
      <c r="JA70" s="127">
        <f>$B52*(1+$C$4)^(SUM($F$66:JA$66)+(SUM($F$67:JA$67)))</f>
        <v>0.20858791208791205</v>
      </c>
      <c r="JB70" s="127">
        <f>$B52*(1+$C$4)^(SUM($F$66:JB$66)+(SUM($F$67:JB$67)))</f>
        <v>0.20858791208791205</v>
      </c>
      <c r="JC70" s="127">
        <f>$B52*(1+$C$4)^(SUM($F$66:JC$66)+(SUM($F$67:JC$67)))</f>
        <v>0.20858791208791205</v>
      </c>
      <c r="JD70" s="127">
        <f>$B52*(1+$C$4)^(SUM($F$66:JD$66)+(SUM($F$67:JD$67)))</f>
        <v>0.20858791208791205</v>
      </c>
      <c r="JE70" s="127">
        <f>$B52*(1+$C$4)^(SUM($F$66:JE$66)+(SUM($F$67:JE$67)))</f>
        <v>0.20858791208791205</v>
      </c>
      <c r="JF70" s="127">
        <f>$B52*(1+$C$4)^(SUM($F$66:JF$66)+(SUM($F$67:JF$67)))</f>
        <v>0.20858791208791205</v>
      </c>
      <c r="JG70" s="127">
        <f>$B52*(1+$C$4)^(SUM($F$66:JG$66)+(SUM($F$67:JG$67)))</f>
        <v>0.20858791208791205</v>
      </c>
      <c r="JH70" s="127">
        <f>$B52*(1+$C$4)^(SUM($F$66:JH$66)+(SUM($F$67:JH$67)))</f>
        <v>0.20858791208791205</v>
      </c>
      <c r="JI70" s="127">
        <f>$B52*(1+$C$4)^(SUM($F$66:JI$66)+(SUM($F$67:JI$67)))</f>
        <v>0.20858791208791205</v>
      </c>
      <c r="JJ70" s="127">
        <f>$B52*(1+$C$4)^(SUM($F$66:JJ$66)+(SUM($F$67:JJ$67)))</f>
        <v>0.20858791208791205</v>
      </c>
      <c r="JK70" s="127">
        <f>$B52*(1+$C$4)^(SUM($F$66:JK$66)+(SUM($F$67:JK$67)))</f>
        <v>0.20858791208791205</v>
      </c>
      <c r="JL70" s="127">
        <f>$B52*(1+$C$4)^(SUM($F$66:JL$66)+(SUM($F$67:JL$67)))</f>
        <v>0.20858791208791205</v>
      </c>
      <c r="JM70" s="127">
        <f>$B52*(1+$C$4)^(SUM($F$66:JM$66)+(SUM($F$67:JM$67)))</f>
        <v>0.20858791208791205</v>
      </c>
      <c r="JN70" s="127">
        <f>$B52*(1+$C$4)^(SUM($F$66:JN$66)+(SUM($F$67:JN$67)))</f>
        <v>0.20858791208791205</v>
      </c>
      <c r="JO70" s="127">
        <f>$B52*(1+$C$4)^(SUM($F$66:JO$66)+(SUM($F$67:JO$67)))</f>
        <v>0.20858791208791205</v>
      </c>
      <c r="JP70" s="127">
        <f>$B52*(1+$C$4)^(SUM($F$66:JP$66)+(SUM($F$67:JP$67)))</f>
        <v>0.20858791208791205</v>
      </c>
      <c r="JQ70" s="127">
        <f>$B52*(1+$C$4)^(SUM($F$66:JQ$66)+(SUM($F$67:JQ$67)))</f>
        <v>0.20858791208791205</v>
      </c>
      <c r="JR70" s="127">
        <f>$B52*(1+$C$4)^(SUM($F$66:JR$66)+(SUM($F$67:JR$67)))</f>
        <v>0.20858791208791205</v>
      </c>
      <c r="JS70" s="127">
        <f>$B52*(1+$C$4)^(SUM($F$66:JS$66)+(SUM($F$67:JS$67)))</f>
        <v>0.20858791208791205</v>
      </c>
      <c r="JT70" s="127">
        <f>$B52*(1+$C$4)^(SUM($F$66:JT$66)+(SUM($F$67:JT$67)))</f>
        <v>0.20858791208791205</v>
      </c>
      <c r="JU70" s="127">
        <f>$B52*(1+$C$4)^(SUM($F$66:JU$66)+(SUM($F$67:JU$67)))</f>
        <v>0.20858791208791205</v>
      </c>
      <c r="JV70" s="127">
        <f>$B52*(1+$C$4)^(SUM($F$66:JV$66)+(SUM($F$67:JV$67)))</f>
        <v>0.20858791208791205</v>
      </c>
      <c r="JW70" s="127">
        <f>$B52*(1+$C$4)^(SUM($F$66:JW$66)+(SUM($F$67:JW$67)))</f>
        <v>0.20858791208791205</v>
      </c>
      <c r="JX70" s="127">
        <f>$B52*(1+$C$4)^(SUM($F$66:JX$66)+(SUM($F$67:JX$67)))</f>
        <v>0.20858791208791205</v>
      </c>
      <c r="JY70" s="127">
        <f>$B52*(1+$C$4)^(SUM($F$66:JY$66)+(SUM($F$67:JY$67)))</f>
        <v>0.20858791208791205</v>
      </c>
      <c r="JZ70" s="127">
        <f>$B52*(1+$C$4)^(SUM($F$66:JZ$66)+(SUM($F$67:JZ$67)))</f>
        <v>0.20858791208791205</v>
      </c>
      <c r="KA70" s="127">
        <f>$B52*(1+$C$4)^(SUM($F$66:KA$66)+(SUM($F$67:KA$67)))</f>
        <v>0.20858791208791205</v>
      </c>
      <c r="KB70" s="127">
        <f>$B52*(1+$C$4)^(SUM($F$66:KB$66)+(SUM($F$67:KB$67)))</f>
        <v>0.20858791208791205</v>
      </c>
      <c r="KC70" s="127">
        <f>$B52*(1+$C$4)^(SUM($F$66:KC$66)+(SUM($F$67:KC$67)))</f>
        <v>0.20858791208791205</v>
      </c>
      <c r="KD70" s="127">
        <f>$B52*(1+$C$4)^(SUM($F$66:KD$66)+(SUM($F$67:KD$67)))</f>
        <v>0.20858791208791205</v>
      </c>
      <c r="KE70" s="127">
        <f>$B52*(1+$C$4)^(SUM($F$66:KE$66)+(SUM($F$67:KE$67)))</f>
        <v>0.20858791208791205</v>
      </c>
      <c r="KF70" s="127">
        <f>$B52*(1+$C$4)^(SUM($F$66:KF$66)+(SUM($F$67:KF$67)))</f>
        <v>0.20858791208791205</v>
      </c>
      <c r="KG70" s="127">
        <f>$B52*(1+$C$4)^(SUM($F$66:KG$66)+(SUM($F$67:KG$67)))</f>
        <v>0.20858791208791205</v>
      </c>
      <c r="KH70" s="127">
        <f>$B52*(1+$C$4)^(SUM($F$66:KH$66)+(SUM($F$67:KH$67)))</f>
        <v>0.20858791208791205</v>
      </c>
      <c r="KI70" s="127">
        <f>$B52*(1+$C$4)^(SUM($F$66:KI$66)+(SUM($F$67:KI$67)))</f>
        <v>0.20858791208791205</v>
      </c>
      <c r="KJ70" s="127">
        <f>$B52*(1+$C$4)^(SUM($F$66:KJ$66)+(SUM($F$67:KJ$67)))</f>
        <v>0.20858791208791205</v>
      </c>
      <c r="KK70" s="127">
        <f>$B52*(1+$C$4)^(SUM($F$66:KK$66)+(SUM($F$67:KK$67)))</f>
        <v>0.20858791208791205</v>
      </c>
      <c r="KL70" s="127">
        <f>$B52*(1+$C$4)^(SUM($F$66:KL$66)+(SUM($F$67:KL$67)))</f>
        <v>0.20858791208791205</v>
      </c>
      <c r="KM70" s="127">
        <f>$B52*(1+$C$4)^(SUM($F$66:KM$66)+(SUM($F$67:KM$67)))</f>
        <v>0.20858791208791205</v>
      </c>
      <c r="KN70" s="127">
        <f>$B52*(1+$C$4)^(SUM($F$66:KN$66)+(SUM($F$67:KN$67)))</f>
        <v>0.20858791208791205</v>
      </c>
      <c r="KO70" s="127">
        <f>$B52*(1+$C$4)^(SUM($F$66:KO$66)+(SUM($F$67:KO$67)))</f>
        <v>0.20858791208791205</v>
      </c>
      <c r="KP70" s="127">
        <f>$B52*(1+$C$4)^(SUM($F$66:KP$66)+(SUM($F$67:KP$67)))</f>
        <v>0.20858791208791205</v>
      </c>
      <c r="KQ70" s="127">
        <f>$B52*(1+$C$4)^(SUM($F$66:KQ$66)+(SUM($F$67:KQ$67)))</f>
        <v>0.20858791208791205</v>
      </c>
      <c r="KR70" s="127">
        <f>$B52*(1+$C$4)^(SUM($F$66:KR$66)+(SUM($F$67:KR$67)))</f>
        <v>0.20858791208791205</v>
      </c>
      <c r="KS70" s="127">
        <f>$B52*(1+$C$4)^(SUM($F$66:KS$66)+(SUM($F$67:KS$67)))</f>
        <v>0.20858791208791205</v>
      </c>
      <c r="KT70" s="127">
        <f>$B52*(1+$C$4)^(SUM($F$66:KT$66)+(SUM($F$67:KT$67)))</f>
        <v>0.20858791208791205</v>
      </c>
      <c r="KU70" s="127">
        <f>$B52*(1+$C$4)^(SUM($F$66:KU$66)+(SUM($F$67:KU$67)))</f>
        <v>0.20858791208791205</v>
      </c>
      <c r="KV70" s="127">
        <f>$B52*(1+$C$4)^(SUM($F$66:KV$66)+(SUM($F$67:KV$67)))</f>
        <v>0.20858791208791205</v>
      </c>
      <c r="KW70" s="127">
        <f>$B52*(1+$C$4)^(SUM($F$66:KW$66)+(SUM($F$67:KW$67)))</f>
        <v>0.20858791208791205</v>
      </c>
      <c r="KX70" s="127">
        <f>$B52*(1+$C$4)^(SUM($F$66:KX$66)+(SUM($F$67:KX$67)))</f>
        <v>0.20858791208791205</v>
      </c>
      <c r="KY70" s="127">
        <f>$B52*(1+$C$4)^(SUM($F$66:KY$66)+(SUM($F$67:KY$67)))</f>
        <v>0.20858791208791205</v>
      </c>
      <c r="KZ70" s="127">
        <f>$B52*(1+$C$4)^(SUM($F$66:KZ$66)+(SUM($F$67:KZ$67)))</f>
        <v>0.20858791208791205</v>
      </c>
      <c r="LA70" s="127">
        <f>$B52*(1+$C$4)^(SUM($F$66:LA$66)+(SUM($F$67:LA$67)))</f>
        <v>0.20858791208791205</v>
      </c>
      <c r="LB70" s="127">
        <f>$B52*(1+$C$4)^(SUM($F$66:LB$66)+(SUM($F$67:LB$67)))</f>
        <v>0.20858791208791205</v>
      </c>
      <c r="LC70" s="127">
        <f>$B52*(1+$C$4)^(SUM($F$66:LC$66)+(SUM($F$67:LC$67)))</f>
        <v>0.20858791208791205</v>
      </c>
      <c r="LD70" s="127">
        <f>$B52*(1+$C$4)^(SUM($F$66:LD$66)+(SUM($F$67:LD$67)))</f>
        <v>0.20858791208791205</v>
      </c>
      <c r="LE70" s="127">
        <f>$B52*(1+$C$4)^(SUM($F$66:LE$66)+(SUM($F$67:LE$67)))</f>
        <v>0.20858791208791205</v>
      </c>
      <c r="LF70" s="127">
        <f>$B52*(1+$C$4)^(SUM($F$66:LF$66)+(SUM($F$67:LF$67)))</f>
        <v>0.20858791208791205</v>
      </c>
      <c r="LG70" s="127">
        <f>$B52*(1+$C$4)^(SUM($F$66:LG$66)+(SUM($F$67:LG$67)))</f>
        <v>0.20858791208791205</v>
      </c>
      <c r="LH70" s="127">
        <f>$B52*(1+$C$4)^(SUM($F$66:LH$66)+(SUM($F$67:LH$67)))</f>
        <v>0.20858791208791205</v>
      </c>
      <c r="LI70" s="127">
        <f>$B52*(1+$C$4)^(SUM($F$66:LI$66)+(SUM($F$67:LI$67)))</f>
        <v>0.20858791208791205</v>
      </c>
      <c r="LJ70" s="127">
        <f>$B52*(1+$C$4)^(SUM($F$66:LJ$66)+(SUM($F$67:LJ$67)))</f>
        <v>0.20858791208791205</v>
      </c>
      <c r="LK70" s="127">
        <f>$B52*(1+$C$4)^(SUM($F$66:LK$66)+(SUM($F$67:LK$67)))</f>
        <v>0.20858791208791205</v>
      </c>
      <c r="LL70" s="127">
        <f>$B52*(1+$C$4)^(SUM($F$66:LL$66)+(SUM($F$67:LL$67)))</f>
        <v>0.20858791208791205</v>
      </c>
      <c r="LM70" s="127">
        <f>$B52*(1+$C$4)^(SUM($F$66:LM$66)+(SUM($F$67:LM$67)))</f>
        <v>0.20858791208791205</v>
      </c>
      <c r="LN70" s="127">
        <f>$B52*(1+$C$4)^(SUM($F$66:LN$66)+(SUM($F$67:LN$67)))</f>
        <v>0.20858791208791205</v>
      </c>
      <c r="LO70" s="127">
        <f>$B52*(1+$C$4)^(SUM($F$66:LO$66)+(SUM($F$67:LO$67)))</f>
        <v>0.20858791208791205</v>
      </c>
      <c r="LP70" s="127">
        <f>$B52*(1+$C$4)^(SUM($F$66:LP$66)+(SUM($F$67:LP$67)))</f>
        <v>0.20858791208791205</v>
      </c>
      <c r="LQ70" s="127">
        <f>$B52*(1+$C$4)^(SUM($F$66:LQ$66)+(SUM($F$67:LQ$67)))</f>
        <v>0.20858791208791205</v>
      </c>
      <c r="LR70" s="127">
        <f>$B52*(1+$C$4)^(SUM($F$66:LR$66)+(SUM($F$67:LR$67)))</f>
        <v>0.20858791208791205</v>
      </c>
      <c r="LS70" s="127">
        <f>$B52*(1+$C$4)^(SUM($F$66:LS$66)+(SUM($F$67:LS$67)))</f>
        <v>0.20858791208791205</v>
      </c>
      <c r="LT70" s="127">
        <f>$B52*(1+$C$4)^(SUM($F$66:LT$66)+(SUM($F$67:LT$67)))</f>
        <v>0.20858791208791205</v>
      </c>
      <c r="LU70" s="127">
        <f>$B52*(1+$C$4)^(SUM($F$66:LU$66)+(SUM($F$67:LU$67)))</f>
        <v>0.20858791208791205</v>
      </c>
      <c r="LV70" s="127">
        <f>$B52*(1+$C$4)^(SUM($F$66:LV$66)+(SUM($F$67:LV$67)))</f>
        <v>0.20858791208791205</v>
      </c>
      <c r="LW70" s="127">
        <f>$B52*(1+$C$4)^(SUM($F$66:LW$66)+(SUM($F$67:LW$67)))</f>
        <v>0.20858791208791205</v>
      </c>
      <c r="LX70" s="127">
        <f>$B52*(1+$C$4)^(SUM($F$66:LX$66)+(SUM($F$67:LX$67)))</f>
        <v>0.20858791208791205</v>
      </c>
      <c r="LY70" s="127">
        <f>$B52*(1+$C$4)^(SUM($F$66:LY$66)+(SUM($F$67:LY$67)))</f>
        <v>0.20858791208791205</v>
      </c>
      <c r="LZ70" s="127">
        <f>$B52*(1+$C$4)^(SUM($F$66:LZ$66)+(SUM($F$67:LZ$67)))</f>
        <v>0.20858791208791205</v>
      </c>
      <c r="MA70" s="127">
        <f>$B52*(1+$C$4)^(SUM($F$66:MA$66)+(SUM($F$67:MA$67)))</f>
        <v>0.20858791208791205</v>
      </c>
      <c r="MB70" s="127">
        <f>$B52*(1+$C$4)^(SUM($F$66:MB$66)+(SUM($F$67:MB$67)))</f>
        <v>0.20858791208791205</v>
      </c>
      <c r="MC70" s="127">
        <f>$B52*(1+$C$4)^(SUM($F$66:MC$66)+(SUM($F$67:MC$67)))</f>
        <v>0.20858791208791205</v>
      </c>
      <c r="MD70" s="127">
        <f>$B52*(1+$C$4)^(SUM($F$66:MD$66)+(SUM($F$67:MD$67)))</f>
        <v>0.20858791208791205</v>
      </c>
      <c r="ME70" s="127">
        <f>$B52*(1+$C$4)^(SUM($F$66:ME$66)+(SUM($F$67:ME$67)))</f>
        <v>0.20858791208791205</v>
      </c>
      <c r="MF70" s="127">
        <f>$B52*(1+$C$4)^(SUM($F$66:MF$66)+(SUM($F$67:MF$67)))</f>
        <v>0.20858791208791205</v>
      </c>
      <c r="MG70" s="127">
        <f>$B52*(1+$C$4)^(SUM($F$66:MG$66)+(SUM($F$67:MG$67)))</f>
        <v>0.20858791208791205</v>
      </c>
      <c r="MH70" s="127">
        <f>$B52*(1+$C$4)^(SUM($F$66:MH$66)+(SUM($F$67:MH$67)))</f>
        <v>0.20858791208791205</v>
      </c>
      <c r="MI70" s="127">
        <f>$B52*(1+$C$4)^(SUM($F$66:MI$66)+(SUM($F$67:MI$67)))</f>
        <v>0.20858791208791205</v>
      </c>
      <c r="MJ70" s="127">
        <f>$B52*(1+$C$4)^(SUM($F$66:MJ$66)+(SUM($F$67:MJ$67)))</f>
        <v>0.20858791208791205</v>
      </c>
      <c r="MK70" s="127">
        <f>$B52*(1+$C$4)^(SUM($F$66:MK$66)+(SUM($F$67:MK$67)))</f>
        <v>0.20858791208791205</v>
      </c>
      <c r="ML70" s="127">
        <f>$B52*(1+$C$4)^(SUM($F$66:ML$66)+(SUM($F$67:ML$67)))</f>
        <v>0.20858791208791205</v>
      </c>
      <c r="MM70" s="127">
        <f>$B52*(1+$C$4)^(SUM($F$66:MM$66)+(SUM($F$67:MM$67)))</f>
        <v>0.20858791208791205</v>
      </c>
      <c r="MN70" s="127">
        <f>$B52*(1+$C$4)^(SUM($F$66:MN$66)+(SUM($F$67:MN$67)))</f>
        <v>0.20858791208791205</v>
      </c>
      <c r="MO70" s="127">
        <f>$B52*(1+$C$4)^(SUM($F$66:MO$66)+(SUM($F$67:MO$67)))</f>
        <v>0.20858791208791205</v>
      </c>
      <c r="MP70" s="127">
        <f>$B52*(1+$C$4)^(SUM($F$66:MP$66)+(SUM($F$67:MP$67)))</f>
        <v>0.20858791208791205</v>
      </c>
      <c r="MQ70" s="127">
        <f>$B52*(1+$C$4)^(SUM($F$66:MQ$66)+(SUM($F$67:MQ$67)))</f>
        <v>0.20858791208791205</v>
      </c>
      <c r="MR70" s="127">
        <f>$B52*(1+$C$4)^(SUM($F$66:MR$66)+(SUM($F$67:MR$67)))</f>
        <v>0.20858791208791205</v>
      </c>
      <c r="MS70" s="127">
        <f>$B52*(1+$C$4)^(SUM($F$66:MS$66)+(SUM($F$67:MS$67)))</f>
        <v>0.20858791208791205</v>
      </c>
      <c r="MT70" s="127">
        <f>$B52*(1+$C$4)^(SUM($F$66:MT$66)+(SUM($F$67:MT$67)))</f>
        <v>0.20858791208791205</v>
      </c>
      <c r="MU70" s="127">
        <f>$B52*(1+$C$4)^(SUM($F$66:MU$66)+(SUM($F$67:MU$67)))</f>
        <v>0.20858791208791205</v>
      </c>
      <c r="MV70" s="127">
        <f>$B52*(1+$C$4)^(SUM($F$66:MV$66)+(SUM($F$67:MV$67)))</f>
        <v>0.20858791208791205</v>
      </c>
      <c r="MW70" s="127">
        <f>$B52*(1+$C$4)^(SUM($F$66:MW$66)+(SUM($F$67:MW$67)))</f>
        <v>0.20858791208791205</v>
      </c>
      <c r="MX70" s="127">
        <f>$B52*(1+$C$4)^(SUM($F$66:MX$66)+(SUM($F$67:MX$67)))</f>
        <v>0.20858791208791205</v>
      </c>
      <c r="MY70" s="127">
        <f>$B52*(1+$C$4)^(SUM($F$66:MY$66)+(SUM($F$67:MY$67)))</f>
        <v>0.20858791208791205</v>
      </c>
      <c r="MZ70" s="127">
        <f>$B52*(1+$C$4)^(SUM($F$66:MZ$66)+(SUM($F$67:MZ$67)))</f>
        <v>0.20858791208791205</v>
      </c>
      <c r="NA70" s="127">
        <f>$B52*(1+$C$4)^(SUM($F$66:NA$66)+(SUM($F$67:NA$67)))</f>
        <v>0.20858791208791205</v>
      </c>
      <c r="NB70" s="127">
        <f>$B52*(1+$C$4)^(SUM($F$66:NB$66)+(SUM($F$67:NB$67)))</f>
        <v>0.20858791208791205</v>
      </c>
      <c r="NC70" s="127">
        <f>$B52*(1+$C$4)^(SUM($F$66:NC$66)+(SUM($F$67:NC$67)))</f>
        <v>0.20858791208791205</v>
      </c>
      <c r="ND70" s="127">
        <f>$B52*(1+$C$4)^(SUM($F$66:ND$66)+(SUM($F$67:ND$67)))</f>
        <v>0.20858791208791205</v>
      </c>
      <c r="NE70" s="127">
        <f>$B52*(1+$C$4)^(SUM($F$66:NE$66)+(SUM($F$67:NE$67)))</f>
        <v>0.20858791208791205</v>
      </c>
      <c r="NF70" s="127">
        <f>$B52*(1+$C$4)^(SUM($F$66:NF$66)+(SUM($F$67:NF$67)))</f>
        <v>0.20858791208791205</v>
      </c>
      <c r="NG70" s="127">
        <f>$B52*(1+$C$4)^(SUM($F$66:NG$66)+(SUM($F$67:NG$67)))</f>
        <v>0.20858791208791205</v>
      </c>
      <c r="NH70" s="127">
        <f>$B52*(1+$C$4)^(SUM($F$66:NH$66)+(SUM($F$67:NH$67)))</f>
        <v>0.20858791208791205</v>
      </c>
      <c r="NI70" s="127">
        <f>$B52*(1+$C$4)^(SUM($F$66:NI$66)+(SUM($F$67:NI$67)))</f>
        <v>0.20858791208791205</v>
      </c>
      <c r="NJ70" s="127">
        <f>$B52*(1+$C$4)^(SUM($F$66:NJ$66)+(SUM($F$67:NJ$67)))</f>
        <v>0.20858791208791205</v>
      </c>
      <c r="NK70" s="127">
        <f>$B52*(1+$C$4)^(SUM($F$66:NK$66)+(SUM($F$67:NK$67)))</f>
        <v>0.20858791208791205</v>
      </c>
      <c r="NL70" s="127">
        <f>$B52*(1+$C$4)^(SUM($F$66:NL$66)+(SUM($F$67:NL$67)))</f>
        <v>0.20858791208791205</v>
      </c>
      <c r="NM70" s="127">
        <f>$B52*(1+$C$4)^(SUM($F$66:NM$66)+(SUM($F$67:NM$67)))</f>
        <v>0.20858791208791205</v>
      </c>
      <c r="NN70" s="127">
        <f>$B52*(1+$C$4)^(SUM($F$66:NN$66)+(SUM($F$67:NN$67)))</f>
        <v>0.20858791208791205</v>
      </c>
      <c r="NO70" s="127">
        <f>$B52*(1+$C$4)^(SUM($F$66:NO$66)+(SUM($F$67:NO$67)))</f>
        <v>0.20858791208791205</v>
      </c>
      <c r="NP70" s="127">
        <f>$B52*(1+$C$4)^(SUM($F$66:NP$66)+(SUM($F$67:NP$67)))</f>
        <v>0.20858791208791205</v>
      </c>
      <c r="NQ70" s="127">
        <f>$B52*(1+$C$4)^(SUM($F$66:NQ$66)+(SUM($F$67:NQ$67)))</f>
        <v>0.20858791208791205</v>
      </c>
      <c r="NR70" s="127">
        <f>$B52*(1+$C$4)^(SUM($F$66:NR$66)+(SUM($F$67:NR$67)))</f>
        <v>0.20858791208791205</v>
      </c>
      <c r="NS70" s="127">
        <f>$B52*(1+$C$4)^(SUM($F$66:NS$66)+(SUM($F$67:NS$67)))</f>
        <v>0.20858791208791205</v>
      </c>
      <c r="NT70" s="127">
        <f>$B52*(1+$C$4)^(SUM($F$66:NT$66)+(SUM($F$67:NT$67)))</f>
        <v>0.20858791208791205</v>
      </c>
      <c r="NU70" s="127">
        <f>$B52*(1+$C$4)^(SUM($F$66:NU$66)+(SUM($F$67:NU$67)))</f>
        <v>0.20858791208791205</v>
      </c>
      <c r="NV70" s="127">
        <f>$B52*(1+$C$4)^(SUM($F$66:NV$66)+(SUM($F$67:NV$67)))</f>
        <v>0.20858791208791205</v>
      </c>
      <c r="NW70" s="127">
        <f>$B52*(1+$C$4)^(SUM($F$66:NW$66)+(SUM($F$67:NW$67)))</f>
        <v>0.20858791208791205</v>
      </c>
      <c r="NX70" s="127">
        <f>$B52*(1+$C$4)^(SUM($F$66:NX$66)+(SUM($F$67:NX$67)))</f>
        <v>0.20858791208791205</v>
      </c>
      <c r="NY70" s="127">
        <f>$B52*(1+$C$4)^(SUM($F$66:NY$66)+(SUM($F$67:NY$67)))</f>
        <v>0.20858791208791205</v>
      </c>
      <c r="NZ70" s="127">
        <f>$B52*(1+$C$4)^(SUM($F$66:NZ$66)+(SUM($F$67:NZ$67)))</f>
        <v>0.20858791208791205</v>
      </c>
      <c r="OA70" s="127">
        <f>$B52*(1+$C$4)^(SUM($F$66:OA$66)+(SUM($F$67:OA$67)))</f>
        <v>0.20858791208791205</v>
      </c>
      <c r="OB70" s="127">
        <f>$B52*(1+$C$4)^(SUM($F$66:OB$66)+(SUM($F$67:OB$67)))</f>
        <v>0.20858791208791205</v>
      </c>
      <c r="OC70" s="127">
        <f>$B52*(1+$C$4)^(SUM($F$66:OC$66)+(SUM($F$67:OC$67)))</f>
        <v>0.20858791208791205</v>
      </c>
      <c r="OD70" s="127">
        <f>$B52*(1+$C$4)^(SUM($F$66:OD$66)+(SUM($F$67:OD$67)))</f>
        <v>0.20858791208791205</v>
      </c>
      <c r="OE70" s="127">
        <f>$B52*(1+$C$4)^(SUM($F$66:OE$66)+(SUM($F$67:OE$67)))</f>
        <v>0.20858791208791205</v>
      </c>
      <c r="OF70" s="127">
        <f>$B52*(1+$C$4)^(SUM($F$66:OF$66)+(SUM($F$67:OF$67)))</f>
        <v>0.20858791208791205</v>
      </c>
      <c r="OG70" s="127">
        <f>$B52*(1+$C$4)^(SUM($F$66:OG$66)+(SUM($F$67:OG$67)))</f>
        <v>0.20858791208791205</v>
      </c>
      <c r="OH70" s="127">
        <f>$B52*(1+$C$4)^(SUM($F$66:OH$66)+(SUM($F$67:OH$67)))</f>
        <v>0.20858791208791205</v>
      </c>
      <c r="OI70" s="127">
        <f>$B52*(1+$C$4)^(SUM($F$66:OI$66)+(SUM($F$67:OI$67)))</f>
        <v>0.20858791208791205</v>
      </c>
      <c r="OJ70" s="127">
        <f>$B52*(1+$C$4)^(SUM($F$66:OJ$66)+(SUM($F$67:OJ$67)))</f>
        <v>0.20858791208791205</v>
      </c>
      <c r="OK70" s="127">
        <f>$B52*(1+$C$4)^(SUM($F$66:OK$66)+(SUM($F$67:OK$67)))</f>
        <v>0.20858791208791205</v>
      </c>
      <c r="OL70" s="127">
        <f>$B52*(1+$C$4)^(SUM($F$66:OL$66)+(SUM($F$67:OL$67)))</f>
        <v>0.20858791208791205</v>
      </c>
      <c r="OM70" s="127">
        <f>$B52*(1+$C$4)^(SUM($F$66:OM$66)+(SUM($F$67:OM$67)))</f>
        <v>0.20858791208791205</v>
      </c>
      <c r="ON70" s="127">
        <f>$B52*(1+$C$4)^(SUM($F$66:ON$66)+(SUM($F$67:ON$67)))</f>
        <v>0.20858791208791205</v>
      </c>
      <c r="OO70" s="127">
        <f>$B52*(1+$C$4)^(SUM($F$66:OO$66)+(SUM($F$67:OO$67)))</f>
        <v>0.20858791208791205</v>
      </c>
      <c r="OP70" s="127">
        <f>$B52*(1+$C$4)^(SUM($F$66:OP$66)+(SUM($F$67:OP$67)))</f>
        <v>0.20858791208791205</v>
      </c>
      <c r="OQ70" s="127">
        <f>$B52*(1+$C$4)^(SUM($F$66:OQ$66)+(SUM($F$67:OQ$67)))</f>
        <v>0.20858791208791205</v>
      </c>
      <c r="OR70" s="127">
        <f>$B52*(1+$C$4)^(SUM($F$66:OR$66)+(SUM($F$67:OR$67)))</f>
        <v>0.20858791208791205</v>
      </c>
      <c r="OS70" s="127">
        <f>$B52*(1+$C$4)^(SUM($F$66:OS$66)+(SUM($F$67:OS$67)))</f>
        <v>0.20858791208791205</v>
      </c>
      <c r="OT70" s="127">
        <f>$B52*(1+$C$4)^(SUM($F$66:OT$66)+(SUM($F$67:OT$67)))</f>
        <v>0.20858791208791205</v>
      </c>
      <c r="OU70" s="127">
        <f>$B52*(1+$C$4)^(SUM($F$66:OU$66)+(SUM($F$67:OU$67)))</f>
        <v>0.20858791208791205</v>
      </c>
      <c r="OV70" s="127">
        <f>$B52*(1+$C$4)^(SUM($F$66:OV$66)+(SUM($F$67:OV$67)))</f>
        <v>0.20858791208791205</v>
      </c>
      <c r="OW70" s="127">
        <f>$B52*(1+$C$4)^(SUM($F$66:OW$66)+(SUM($F$67:OW$67)))</f>
        <v>0.20858791208791205</v>
      </c>
      <c r="OX70" s="127">
        <f>$B52*(1+$C$4)^(SUM($F$66:OX$66)+(SUM($F$67:OX$67)))</f>
        <v>0.20858791208791205</v>
      </c>
      <c r="OY70" s="127">
        <f>$B52*(1+$C$4)^(SUM($F$66:OY$66)+(SUM($F$67:OY$67)))</f>
        <v>0.20858791208791205</v>
      </c>
      <c r="OZ70" s="127">
        <f>$B52*(1+$C$4)^(SUM($F$66:OZ$66)+(SUM($F$67:OZ$67)))</f>
        <v>0.20858791208791205</v>
      </c>
      <c r="PA70" s="127">
        <f>$B52*(1+$C$4)^(SUM($F$66:PA$66)+(SUM($F$67:PA$67)))</f>
        <v>0.20858791208791205</v>
      </c>
      <c r="PB70" s="127">
        <f>$B52*(1+$C$4)^(SUM($F$66:PB$66)+(SUM($F$67:PB$67)))</f>
        <v>0.20858791208791205</v>
      </c>
      <c r="PC70" s="127">
        <f>$B52*(1+$C$4)^(SUM($F$66:PC$66)+(SUM($F$67:PC$67)))</f>
        <v>0.20858791208791205</v>
      </c>
      <c r="PD70" s="127">
        <f>$B52*(1+$C$4)^(SUM($F$66:PD$66)+(SUM($F$67:PD$67)))</f>
        <v>0.20858791208791205</v>
      </c>
      <c r="PE70" s="127">
        <f>$B52*(1+$C$4)^(SUM($F$66:PE$66)+(SUM($F$67:PE$67)))</f>
        <v>0.20858791208791205</v>
      </c>
      <c r="PF70" s="127">
        <f>$B52*(1+$C$4)^(SUM($F$66:PF$66)+(SUM($F$67:PF$67)))</f>
        <v>0.20858791208791205</v>
      </c>
      <c r="PG70" s="127">
        <f>$B52*(1+$C$4)^(SUM($F$66:PG$66)+(SUM($F$67:PG$67)))</f>
        <v>0.20858791208791205</v>
      </c>
      <c r="PH70" s="127">
        <f>$B52*(1+$C$4)^(SUM($F$66:PH$66)+(SUM($F$67:PH$67)))</f>
        <v>0.20858791208791205</v>
      </c>
      <c r="PI70" s="127">
        <f>$B52*(1+$C$4)^(SUM($F$66:PI$66)+(SUM($F$67:PI$67)))</f>
        <v>0.20858791208791205</v>
      </c>
      <c r="PJ70" s="127">
        <f>$B52*(1+$C$4)^(SUM($F$66:PJ$66)+(SUM($F$67:PJ$67)))</f>
        <v>0.20858791208791205</v>
      </c>
      <c r="PK70" s="127">
        <f>$B52*(1+$C$4)^(SUM($F$66:PK$66)+(SUM($F$67:PK$67)))</f>
        <v>0.20858791208791205</v>
      </c>
      <c r="PL70" s="127">
        <f>$B52*(1+$C$4)^(SUM($F$66:PL$66)+(SUM($F$67:PL$67)))</f>
        <v>0.20858791208791205</v>
      </c>
      <c r="PM70" s="127">
        <f>$B52*(1+$C$4)^(SUM($F$66:PM$66)+(SUM($F$67:PM$67)))</f>
        <v>0.20858791208791205</v>
      </c>
      <c r="PN70" s="127">
        <f>$B52*(1+$C$4)^(SUM($F$66:PN$66)+(SUM($F$67:PN$67)))</f>
        <v>0.20858791208791205</v>
      </c>
      <c r="PO70" s="127">
        <f>$B52*(1+$C$4)^(SUM($F$66:PO$66)+(SUM($F$67:PO$67)))</f>
        <v>0.20858791208791205</v>
      </c>
      <c r="PP70" s="127">
        <f>$B52*(1+$C$4)^(SUM($F$66:PP$66)+(SUM($F$67:PP$67)))</f>
        <v>0.20858791208791205</v>
      </c>
      <c r="PQ70" s="127">
        <f>$B52*(1+$C$4)^(SUM($F$66:PQ$66)+(SUM($F$67:PQ$67)))</f>
        <v>0.20858791208791205</v>
      </c>
      <c r="PR70" s="127">
        <f>$B52*(1+$C$4)^(SUM($F$66:PR$66)+(SUM($F$67:PR$67)))</f>
        <v>0.20858791208791205</v>
      </c>
      <c r="PS70" s="127">
        <f>$B52*(1+$C$4)^(SUM($F$66:PS$66)+(SUM($F$67:PS$67)))</f>
        <v>0.20858791208791205</v>
      </c>
      <c r="PT70" s="127">
        <f>$B52*(1+$C$4)^(SUM($F$66:PT$66)+(SUM($F$67:PT$67)))</f>
        <v>0.20858791208791205</v>
      </c>
      <c r="PU70" s="127">
        <f>$B52*(1+$C$4)^(SUM($F$66:PU$66)+(SUM($F$67:PU$67)))</f>
        <v>0.20858791208791205</v>
      </c>
      <c r="PV70" s="127">
        <f>$B52*(1+$C$4)^(SUM($F$66:PV$66)+(SUM($F$67:PV$67)))</f>
        <v>0.20858791208791205</v>
      </c>
      <c r="PW70" s="127">
        <f>$B52*(1+$C$4)^(SUM($F$66:PW$66)+(SUM($F$67:PW$67)))</f>
        <v>0.20858791208791205</v>
      </c>
      <c r="PX70" s="127">
        <f>$B52*(1+$C$4)^(SUM($F$66:PX$66)+(SUM($F$67:PX$67)))</f>
        <v>0.20858791208791205</v>
      </c>
      <c r="PY70" s="127">
        <f>$B52*(1+$C$4)^(SUM($F$66:PY$66)+(SUM($F$67:PY$67)))</f>
        <v>0.20858791208791205</v>
      </c>
      <c r="PZ70" s="127">
        <f>$B52*(1+$C$4)^(SUM($F$66:PZ$66)+(SUM($F$67:PZ$67)))</f>
        <v>0.20858791208791205</v>
      </c>
      <c r="QA70" s="127">
        <f>$B52*(1+$C$4)^(SUM($F$66:QA$66)+(SUM($F$67:QA$67)))</f>
        <v>0.20858791208791205</v>
      </c>
      <c r="QB70" s="127">
        <f>$B52*(1+$C$4)^(SUM($F$66:QB$66)+(SUM($F$67:QB$67)))</f>
        <v>0.20858791208791205</v>
      </c>
      <c r="QC70" s="127">
        <f>$B52*(1+$C$4)^(SUM($F$66:QC$66)+(SUM($F$67:QC$67)))</f>
        <v>0.20858791208791205</v>
      </c>
      <c r="QD70" s="127">
        <f>$B52*(1+$C$4)^(SUM($F$66:QD$66)+(SUM($F$67:QD$67)))</f>
        <v>0.20858791208791205</v>
      </c>
      <c r="QE70" s="127">
        <f>$B52*(1+$C$4)^(SUM($F$66:QE$66)+(SUM($F$67:QE$67)))</f>
        <v>0.20858791208791205</v>
      </c>
      <c r="QF70" s="127">
        <f>$B52*(1+$C$4)^(SUM($F$66:QF$66)+(SUM($F$67:QF$67)))</f>
        <v>0.20858791208791205</v>
      </c>
      <c r="QG70" s="127">
        <f>$B52*(1+$C$4)^(SUM($F$66:QG$66)+(SUM($F$67:QG$67)))</f>
        <v>0.20858791208791205</v>
      </c>
      <c r="QH70" s="127">
        <f>$B52*(1+$C$4)^(SUM($F$66:QH$66)+(SUM($F$67:QH$67)))</f>
        <v>0.20858791208791205</v>
      </c>
      <c r="QI70" s="127">
        <f>$B52*(1+$C$4)^(SUM($F$66:QI$66)+(SUM($F$67:QI$67)))</f>
        <v>0.20858791208791205</v>
      </c>
      <c r="QJ70" s="127">
        <f>$B52*(1+$C$4)^(SUM($F$66:QJ$66)+(SUM($F$67:QJ$67)))</f>
        <v>0.20858791208791205</v>
      </c>
      <c r="QK70" s="127">
        <f>$B52*(1+$C$4)^(SUM($F$66:QK$66)+(SUM($F$67:QK$67)))</f>
        <v>0.20858791208791205</v>
      </c>
      <c r="QL70" s="127">
        <f>$B52*(1+$C$4)^(SUM($F$66:QL$66)+(SUM($F$67:QL$67)))</f>
        <v>0.20858791208791205</v>
      </c>
      <c r="QM70" s="127">
        <f>$B52*(1+$C$4)^(SUM($F$66:QM$66)+(SUM($F$67:QM$67)))</f>
        <v>0.20858791208791205</v>
      </c>
      <c r="QN70" s="127">
        <f>$B52*(1+$C$4)^(SUM($F$66:QN$66)+(SUM($F$67:QN$67)))</f>
        <v>0.20858791208791205</v>
      </c>
      <c r="QO70" s="127">
        <f>$B52*(1+$C$4)^(SUM($F$66:QO$66)+(SUM($F$67:QO$67)))</f>
        <v>0.20858791208791205</v>
      </c>
      <c r="QP70" s="127">
        <f>$B52*(1+$C$4)^(SUM($F$66:QP$66)+(SUM($F$67:QP$67)))</f>
        <v>0.20858791208791205</v>
      </c>
      <c r="QQ70" s="127">
        <f>$B52*(1+$C$4)^(SUM($F$66:QQ$66)+(SUM($F$67:QQ$67)))</f>
        <v>0.20858791208791205</v>
      </c>
      <c r="QR70" s="127">
        <f>$B52*(1+$C$4)^(SUM($F$66:QR$66)+(SUM($F$67:QR$67)))</f>
        <v>0.20858791208791205</v>
      </c>
      <c r="QS70" s="127">
        <f>$B52*(1+$C$4)^(SUM($F$66:QS$66)+(SUM($F$67:QS$67)))</f>
        <v>0.20858791208791205</v>
      </c>
      <c r="QT70" s="127">
        <f>$B52*(1+$C$4)^(SUM($F$66:QT$66)+(SUM($F$67:QT$67)))</f>
        <v>0.20858791208791205</v>
      </c>
      <c r="QU70" s="127">
        <f>$B52*(1+$C$4)^(SUM($F$66:QU$66)+(SUM($F$67:QU$67)))</f>
        <v>0.20858791208791205</v>
      </c>
      <c r="QV70" s="127">
        <f>$B52*(1+$C$4)^(SUM($F$66:QV$66)+(SUM($F$67:QV$67)))</f>
        <v>0.20858791208791205</v>
      </c>
      <c r="QW70" s="127">
        <f>$B52*(1+$C$4)^(SUM($F$66:QW$66)+(SUM($F$67:QW$67)))</f>
        <v>0.20858791208791205</v>
      </c>
      <c r="QX70" s="127">
        <f>$B52*(1+$C$4)^(SUM($F$66:QX$66)+(SUM($F$67:QX$67)))</f>
        <v>0.20858791208791205</v>
      </c>
      <c r="QY70" s="127">
        <f>$B52*(1+$C$4)^(SUM($F$66:QY$66)+(SUM($F$67:QY$67)))</f>
        <v>0.20858791208791205</v>
      </c>
      <c r="QZ70" s="127">
        <f>$B52*(1+$C$4)^(SUM($F$66:QZ$66)+(SUM($F$67:QZ$67)))</f>
        <v>0.20858791208791205</v>
      </c>
      <c r="RA70" s="127">
        <f>$B52*(1+$C$4)^(SUM($F$66:RA$66)+(SUM($F$67:RA$67)))</f>
        <v>0.20858791208791205</v>
      </c>
      <c r="RB70" s="127">
        <f>$B52*(1+$C$4)^(SUM($F$66:RB$66)+(SUM($F$67:RB$67)))</f>
        <v>0.20858791208791205</v>
      </c>
      <c r="RC70" s="127">
        <f>$B52*(1+$C$4)^(SUM($F$66:RC$66)+(SUM($F$67:RC$67)))</f>
        <v>0.20858791208791205</v>
      </c>
      <c r="RD70" s="127">
        <f>$B52*(1+$C$4)^(SUM($F$66:RD$66)+(SUM($F$67:RD$67)))</f>
        <v>0.20858791208791205</v>
      </c>
      <c r="RE70" s="127">
        <f>$B52*(1+$C$4)^(SUM($F$66:RE$66)+(SUM($F$67:RE$67)))</f>
        <v>0.20858791208791205</v>
      </c>
      <c r="RF70" s="127">
        <f>$B52*(1+$C$4)^(SUM($F$66:RF$66)+(SUM($F$67:RF$67)))</f>
        <v>0.20858791208791205</v>
      </c>
      <c r="RG70" s="127">
        <f>$B52*(1+$C$4)^(SUM($F$66:RG$66)+(SUM($F$67:RG$67)))</f>
        <v>0.20858791208791205</v>
      </c>
      <c r="RH70" s="127">
        <f>$B52*(1+$C$4)^(SUM($F$66:RH$66)+(SUM($F$67:RH$67)))</f>
        <v>0.20858791208791205</v>
      </c>
      <c r="RI70" s="127">
        <f>$B52*(1+$C$4)^(SUM($F$66:RI$66)+(SUM($F$67:RI$67)))</f>
        <v>0.20858791208791205</v>
      </c>
      <c r="RJ70" s="127">
        <f>$B52*(1+$C$4)^(SUM($F$66:RJ$66)+(SUM($F$67:RJ$67)))</f>
        <v>0.20858791208791205</v>
      </c>
      <c r="RK70" s="127">
        <f>$B52*(1+$C$4)^(SUM($F$66:RK$66)+(SUM($F$67:RK$67)))</f>
        <v>0.20858791208791205</v>
      </c>
      <c r="RL70" s="127">
        <f>$B52*(1+$C$4)^(SUM($F$66:RL$66)+(SUM($F$67:RL$67)))</f>
        <v>0.20858791208791205</v>
      </c>
      <c r="RM70" s="127">
        <f>$B52*(1+$C$4)^(SUM($F$66:RM$66)+(SUM($F$67:RM$67)))</f>
        <v>0.20858791208791205</v>
      </c>
      <c r="RN70" s="127">
        <f>$B52*(1+$C$4)^(SUM($F$66:RN$66)+(SUM($F$67:RN$67)))</f>
        <v>0.20858791208791205</v>
      </c>
      <c r="RO70" s="127">
        <f>$B52*(1+$C$4)^(SUM($F$66:RO$66)+(SUM($F$67:RO$67)))</f>
        <v>0.20858791208791205</v>
      </c>
      <c r="RP70" s="127">
        <f>$B52*(1+$C$4)^(SUM($F$66:RP$66)+(SUM($F$67:RP$67)))</f>
        <v>0.20858791208791205</v>
      </c>
      <c r="RQ70" s="127">
        <f>$B52*(1+$C$4)^(SUM($F$66:RQ$66)+(SUM($F$67:RQ$67)))</f>
        <v>0.20858791208791205</v>
      </c>
      <c r="RR70" s="127">
        <f>$B52*(1+$C$4)^(SUM($F$66:RR$66)+(SUM($F$67:RR$67)))</f>
        <v>0.20858791208791205</v>
      </c>
    </row>
    <row r="71" spans="1:486" s="9" customFormat="1">
      <c r="A71" s="289"/>
      <c r="B71" s="39" t="s">
        <v>232</v>
      </c>
      <c r="E71" s="127">
        <f t="shared" si="27"/>
        <v>0.18546233694143763</v>
      </c>
      <c r="F71" s="127">
        <f>$B53*(1+$C$4)^(SUM($F$66:F$66)+(SUM($F$67:F$67)))</f>
        <v>0.18546233694143763</v>
      </c>
      <c r="G71" s="127">
        <f>$B53*(1+$C$4)^(SUM($F$66:G$66)+(SUM($F$67:G$67)))</f>
        <v>0.18546233694143763</v>
      </c>
      <c r="H71" s="127">
        <f>$B53*(1+$C$4)^(SUM($F$66:H$66)+(SUM($F$67:H$67)))</f>
        <v>0.18546233694143763</v>
      </c>
      <c r="I71" s="127">
        <f>$B53*(1+$C$4)^(SUM($F$66:I$66)+(SUM($F$67:I$67)))</f>
        <v>0.18546233694143763</v>
      </c>
      <c r="J71" s="127">
        <f>$B53*(1+$C$4)^(SUM($F$66:J$66)+(SUM($F$67:J$67)))</f>
        <v>0.18546233694143763</v>
      </c>
      <c r="K71" s="127">
        <f>$B53*(1+$C$4)^(SUM($F$66:K$66)+(SUM($F$67:K$67)))</f>
        <v>0.18546233694143763</v>
      </c>
      <c r="L71" s="127">
        <f>$B53*(1+$C$4)^(SUM($F$66:L$66)+(SUM($F$67:L$67)))</f>
        <v>0.18546233694143763</v>
      </c>
      <c r="M71" s="127">
        <f>$B53*(1+$C$4)^(SUM($F$66:M$66)+(SUM($F$67:M$67)))</f>
        <v>0.18546233694143763</v>
      </c>
      <c r="N71" s="127">
        <f>$B53*(1+$C$4)^(SUM($F$66:N$66)+(SUM($F$67:N$67)))</f>
        <v>0.18546233694143763</v>
      </c>
      <c r="O71" s="127">
        <f>$B53*(1+$C$4)^(SUM($F$66:O$66)+(SUM($F$67:O$67)))</f>
        <v>0.18546233694143763</v>
      </c>
      <c r="P71" s="127">
        <f>$B53*(1+$C$4)^(SUM($F$66:P$66)+(SUM($F$67:P$67)))</f>
        <v>0.18546233694143763</v>
      </c>
      <c r="Q71" s="127">
        <f>$B53*(1+$C$4)^(SUM($F$66:Q$66)+(SUM($F$67:Q$67)))</f>
        <v>0.18546233694143763</v>
      </c>
      <c r="R71" s="127">
        <f>$B53*(1+$C$4)^(SUM($F$66:R$66)+(SUM($F$67:R$67)))</f>
        <v>0.18546233694143763</v>
      </c>
      <c r="S71" s="127">
        <f>$B53*(1+$C$4)^(SUM($F$66:S$66)+(SUM($F$67:S$67)))</f>
        <v>0.18546233694143763</v>
      </c>
      <c r="T71" s="127">
        <f>$B53*(1+$C$4)^(SUM($F$66:T$66)+(SUM($F$67:T$67)))</f>
        <v>0.18546233694143763</v>
      </c>
      <c r="U71" s="127">
        <f>$B53*(1+$C$4)^(SUM($F$66:U$66)+(SUM($F$67:U$67)))</f>
        <v>0.18546233694143763</v>
      </c>
      <c r="V71" s="127">
        <f>$B53*(1+$C$4)^(SUM($F$66:V$66)+(SUM($F$67:V$67)))</f>
        <v>0.18546233694143763</v>
      </c>
      <c r="W71" s="127">
        <f>$B53*(1+$C$4)^(SUM($F$66:W$66)+(SUM($F$67:W$67)))</f>
        <v>0.18546233694143763</v>
      </c>
      <c r="X71" s="127">
        <f>$B53*(1+$C$4)^(SUM($F$66:X$66)+(SUM($F$67:X$67)))</f>
        <v>0.18546233694143763</v>
      </c>
      <c r="Y71" s="127">
        <f>$B53*(1+$C$4)^(SUM($F$66:Y$66)+(SUM($F$67:Y$67)))</f>
        <v>0.18546233694143763</v>
      </c>
      <c r="Z71" s="127">
        <f>$B53*(1+$C$4)^(SUM($F$66:Z$66)+(SUM($F$67:Z$67)))</f>
        <v>0.18546233694143763</v>
      </c>
      <c r="AA71" s="127">
        <f>$B53*(1+$C$4)^(SUM($F$66:AA$66)+(SUM($F$67:AA$67)))</f>
        <v>0.18546233694143763</v>
      </c>
      <c r="AB71" s="127">
        <f>$B53*(1+$C$4)^(SUM($F$66:AB$66)+(SUM($F$67:AB$67)))</f>
        <v>0.18546233694143763</v>
      </c>
      <c r="AC71" s="127">
        <f>$B53*(1+$C$4)^(SUM($F$66:AC$66)+(SUM($F$67:AC$67)))</f>
        <v>0.18546233694143763</v>
      </c>
      <c r="AD71" s="127">
        <f>$B53*(1+$C$4)^(SUM($F$66:AD$66)+(SUM($F$67:AD$67)))</f>
        <v>0.18546233694143763</v>
      </c>
      <c r="AE71" s="127">
        <f>$B53*(1+$C$4)^(SUM($F$66:AE$66)+(SUM($F$67:AE$67)))</f>
        <v>0.18546233694143763</v>
      </c>
      <c r="AF71" s="127">
        <f>$B53*(1+$C$4)^(SUM($F$66:AF$66)+(SUM($F$67:AF$67)))</f>
        <v>0.18546233694143763</v>
      </c>
      <c r="AG71" s="127">
        <f>$B53*(1+$C$4)^(SUM($F$66:AG$66)+(SUM($F$67:AG$67)))</f>
        <v>0.18546233694143763</v>
      </c>
      <c r="AH71" s="127">
        <f>$B53*(1+$C$4)^(SUM($F$66:AH$66)+(SUM($F$67:AH$67)))</f>
        <v>0.18546233694143763</v>
      </c>
      <c r="AI71" s="127">
        <f>$B53*(1+$C$4)^(SUM($F$66:AI$66)+(SUM($F$67:AI$67)))</f>
        <v>0.18546233694143763</v>
      </c>
      <c r="AJ71" s="127">
        <f>$B53*(1+$C$4)^(SUM($F$66:AJ$66)+(SUM($F$67:AJ$67)))</f>
        <v>0.18546233694143763</v>
      </c>
      <c r="AK71" s="127">
        <f>$B53*(1+$C$4)^(SUM($F$66:AK$66)+(SUM($F$67:AK$67)))</f>
        <v>0.18546233694143763</v>
      </c>
      <c r="AL71" s="127">
        <f>$B53*(1+$C$4)^(SUM($F$66:AL$66)+(SUM($F$67:AL$67)))</f>
        <v>0.18546233694143763</v>
      </c>
      <c r="AM71" s="127">
        <f>$B53*(1+$C$4)^(SUM($F$66:AM$66)+(SUM($F$67:AM$67)))</f>
        <v>0.18546233694143763</v>
      </c>
      <c r="AN71" s="127">
        <f>$B53*(1+$C$4)^(SUM($F$66:AN$66)+(SUM($F$67:AN$67)))</f>
        <v>0.18546233694143763</v>
      </c>
      <c r="AO71" s="127">
        <f>$B53*(1+$C$4)^(SUM($F$66:AO$66)+(SUM($F$67:AO$67)))</f>
        <v>0.18546233694143763</v>
      </c>
      <c r="AP71" s="127">
        <f>$B53*(1+$C$4)^(SUM($F$66:AP$66)+(SUM($F$67:AP$67)))</f>
        <v>0.18546233694143763</v>
      </c>
      <c r="AQ71" s="127">
        <f>$B53*(1+$C$4)^(SUM($F$66:AQ$66)+(SUM($F$67:AQ$67)))</f>
        <v>0.18546233694143763</v>
      </c>
      <c r="AR71" s="127">
        <f>$B53*(1+$C$4)^(SUM($F$66:AR$66)+(SUM($F$67:AR$67)))</f>
        <v>0.18546233694143763</v>
      </c>
      <c r="AS71" s="127">
        <f>$B53*(1+$C$4)^(SUM($F$66:AS$66)+(SUM($F$67:AS$67)))</f>
        <v>0.18546233694143763</v>
      </c>
      <c r="AT71" s="127">
        <f>$B53*(1+$C$4)^(SUM($F$66:AT$66)+(SUM($F$67:AT$67)))</f>
        <v>0.18546233694143763</v>
      </c>
      <c r="AU71" s="127">
        <f>$B53*(1+$C$4)^(SUM($F$66:AU$66)+(SUM($F$67:AU$67)))</f>
        <v>0.18546233694143763</v>
      </c>
      <c r="AV71" s="127">
        <f>$B53*(1+$C$4)^(SUM($F$66:AV$66)+(SUM($F$67:AV$67)))</f>
        <v>0.18546233694143763</v>
      </c>
      <c r="AW71" s="127">
        <f>$B53*(1+$C$4)^(SUM($F$66:AW$66)+(SUM($F$67:AW$67)))</f>
        <v>0.18546233694143763</v>
      </c>
      <c r="AX71" s="127">
        <f>$B53*(1+$C$4)^(SUM($F$66:AX$66)+(SUM($F$67:AX$67)))</f>
        <v>0.18546233694143763</v>
      </c>
      <c r="AY71" s="127">
        <f>$B53*(1+$C$4)^(SUM($F$66:AY$66)+(SUM($F$67:AY$67)))</f>
        <v>0.18546233694143763</v>
      </c>
      <c r="AZ71" s="127">
        <f>$B53*(1+$C$4)^(SUM($F$66:AZ$66)+(SUM($F$67:AZ$67)))</f>
        <v>0.18546233694143763</v>
      </c>
      <c r="BA71" s="127">
        <f>$B53*(1+$C$4)^(SUM($F$66:BA$66)+(SUM($F$67:BA$67)))</f>
        <v>0.18546233694143763</v>
      </c>
      <c r="BB71" s="127">
        <f>$B53*(1+$C$4)^(SUM($F$66:BB$66)+(SUM($F$67:BB$67)))</f>
        <v>0.18546233694143763</v>
      </c>
      <c r="BC71" s="127">
        <f>$B53*(1+$C$4)^(SUM($F$66:BC$66)+(SUM($F$67:BC$67)))</f>
        <v>0.18546233694143763</v>
      </c>
      <c r="BD71" s="127">
        <f>$B53*(1+$C$4)^(SUM($F$66:BD$66)+(SUM($F$67:BD$67)))</f>
        <v>0.18546233694143763</v>
      </c>
      <c r="BE71" s="127">
        <f>$B53*(1+$C$4)^(SUM($F$66:BE$66)+(SUM($F$67:BE$67)))</f>
        <v>0.18546233694143763</v>
      </c>
      <c r="BF71" s="127">
        <f>$B53*(1+$C$4)^(SUM($F$66:BF$66)+(SUM($F$67:BF$67)))</f>
        <v>0.18546233694143763</v>
      </c>
      <c r="BG71" s="127">
        <f>$B53*(1+$C$4)^(SUM($F$66:BG$66)+(SUM($F$67:BG$67)))</f>
        <v>0.18546233694143763</v>
      </c>
      <c r="BH71" s="127">
        <f>$B53*(1+$C$4)^(SUM($F$66:BH$66)+(SUM($F$67:BH$67)))</f>
        <v>0.18546233694143763</v>
      </c>
      <c r="BI71" s="127">
        <f>$B53*(1+$C$4)^(SUM($F$66:BI$66)+(SUM($F$67:BI$67)))</f>
        <v>0.18546233694143763</v>
      </c>
      <c r="BJ71" s="127">
        <f>$B53*(1+$C$4)^(SUM($F$66:BJ$66)+(SUM($F$67:BJ$67)))</f>
        <v>0.18546233694143763</v>
      </c>
      <c r="BK71" s="127">
        <f>$B53*(1+$C$4)^(SUM($F$66:BK$66)+(SUM($F$67:BK$67)))</f>
        <v>0.18546233694143763</v>
      </c>
      <c r="BL71" s="127">
        <f>$B53*(1+$C$4)^(SUM($F$66:BL$66)+(SUM($F$67:BL$67)))</f>
        <v>0.18546233694143763</v>
      </c>
      <c r="BM71" s="127">
        <f>$B53*(1+$C$4)^(SUM($F$66:BM$66)+(SUM($F$67:BM$67)))</f>
        <v>0.18546233694143763</v>
      </c>
      <c r="BN71" s="127">
        <f>$B53*(1+$C$4)^(SUM($F$66:BN$66)+(SUM($F$67:BN$67)))</f>
        <v>0.18546233694143763</v>
      </c>
      <c r="BO71" s="127">
        <f>$B53*(1+$C$4)^(SUM($F$66:BO$66)+(SUM($F$67:BO$67)))</f>
        <v>0.18546233694143763</v>
      </c>
      <c r="BP71" s="127">
        <f>$B53*(1+$C$4)^(SUM($F$66:BP$66)+(SUM($F$67:BP$67)))</f>
        <v>0.18546233694143763</v>
      </c>
      <c r="BQ71" s="127">
        <f>$B53*(1+$C$4)^(SUM($F$66:BQ$66)+(SUM($F$67:BQ$67)))</f>
        <v>0.18546233694143763</v>
      </c>
      <c r="BR71" s="127">
        <f>$B53*(1+$C$4)^(SUM($F$66:BR$66)+(SUM($F$67:BR$67)))</f>
        <v>0.18546233694143763</v>
      </c>
      <c r="BS71" s="127">
        <f>$B53*(1+$C$4)^(SUM($F$66:BS$66)+(SUM($F$67:BS$67)))</f>
        <v>0.18546233694143763</v>
      </c>
      <c r="BT71" s="127">
        <f>$B53*(1+$C$4)^(SUM($F$66:BT$66)+(SUM($F$67:BT$67)))</f>
        <v>0.18546233694143763</v>
      </c>
      <c r="BU71" s="127">
        <f>$B53*(1+$C$4)^(SUM($F$66:BU$66)+(SUM($F$67:BU$67)))</f>
        <v>0.18546233694143763</v>
      </c>
      <c r="BV71" s="127">
        <f>$B53*(1+$C$4)^(SUM($F$66:BV$66)+(SUM($F$67:BV$67)))</f>
        <v>0.18546233694143763</v>
      </c>
      <c r="BW71" s="127">
        <f>$B53*(1+$C$4)^(SUM($F$66:BW$66)+(SUM($F$67:BW$67)))</f>
        <v>0.18546233694143763</v>
      </c>
      <c r="BX71" s="127">
        <f>$B53*(1+$C$4)^(SUM($F$66:BX$66)+(SUM($F$67:BX$67)))</f>
        <v>0.18546233694143763</v>
      </c>
      <c r="BY71" s="127">
        <f>$B53*(1+$C$4)^(SUM($F$66:BY$66)+(SUM($F$67:BY$67)))</f>
        <v>0.18546233694143763</v>
      </c>
      <c r="BZ71" s="127">
        <f>$B53*(1+$C$4)^(SUM($F$66:BZ$66)+(SUM($F$67:BZ$67)))</f>
        <v>0.18546233694143763</v>
      </c>
      <c r="CA71" s="127">
        <f>$B53*(1+$C$4)^(SUM($F$66:CA$66)+(SUM($F$67:CA$67)))</f>
        <v>0.18546233694143763</v>
      </c>
      <c r="CB71" s="127">
        <f>$B53*(1+$C$4)^(SUM($F$66:CB$66)+(SUM($F$67:CB$67)))</f>
        <v>0.18546233694143763</v>
      </c>
      <c r="CC71" s="127">
        <f>$B53*(1+$C$4)^(SUM($F$66:CC$66)+(SUM($F$67:CC$67)))</f>
        <v>0.18546233694143763</v>
      </c>
      <c r="CD71" s="127">
        <f>$B53*(1+$C$4)^(SUM($F$66:CD$66)+(SUM($F$67:CD$67)))</f>
        <v>0.18546233694143763</v>
      </c>
      <c r="CE71" s="127">
        <f>$B53*(1+$C$4)^(SUM($F$66:CE$66)+(SUM($F$67:CE$67)))</f>
        <v>0.18546233694143763</v>
      </c>
      <c r="CF71" s="127">
        <f>$B53*(1+$C$4)^(SUM($F$66:CF$66)+(SUM($F$67:CF$67)))</f>
        <v>0.18546233694143763</v>
      </c>
      <c r="CG71" s="127">
        <f>$B53*(1+$C$4)^(SUM($F$66:CG$66)+(SUM($F$67:CG$67)))</f>
        <v>0.18546233694143763</v>
      </c>
      <c r="CH71" s="127">
        <f>$B53*(1+$C$4)^(SUM($F$66:CH$66)+(SUM($F$67:CH$67)))</f>
        <v>0.18546233694143763</v>
      </c>
      <c r="CI71" s="127">
        <f>$B53*(1+$C$4)^(SUM($F$66:CI$66)+(SUM($F$67:CI$67)))</f>
        <v>0.18546233694143763</v>
      </c>
      <c r="CJ71" s="127">
        <f>$B53*(1+$C$4)^(SUM($F$66:CJ$66)+(SUM($F$67:CJ$67)))</f>
        <v>0.18546233694143763</v>
      </c>
      <c r="CK71" s="127">
        <f>$B53*(1+$C$4)^(SUM($F$66:CK$66)+(SUM($F$67:CK$67)))</f>
        <v>0.18546233694143763</v>
      </c>
      <c r="CL71" s="127">
        <f>$B53*(1+$C$4)^(SUM($F$66:CL$66)+(SUM($F$67:CL$67)))</f>
        <v>0.18546233694143763</v>
      </c>
      <c r="CM71" s="127">
        <f>$B53*(1+$C$4)^(SUM($F$66:CM$66)+(SUM($F$67:CM$67)))</f>
        <v>0.18546233694143763</v>
      </c>
      <c r="CN71" s="127">
        <f>$B53*(1+$C$4)^(SUM($F$66:CN$66)+(SUM($F$67:CN$67)))</f>
        <v>0.18546233694143763</v>
      </c>
      <c r="CO71" s="127">
        <f>$B53*(1+$C$4)^(SUM($F$66:CO$66)+(SUM($F$67:CO$67)))</f>
        <v>0.18546233694143763</v>
      </c>
      <c r="CP71" s="127">
        <f>$B53*(1+$C$4)^(SUM($F$66:CP$66)+(SUM($F$67:CP$67)))</f>
        <v>0.18546233694143763</v>
      </c>
      <c r="CQ71" s="127">
        <f>$B53*(1+$C$4)^(SUM($F$66:CQ$66)+(SUM($F$67:CQ$67)))</f>
        <v>0.18546233694143763</v>
      </c>
      <c r="CR71" s="127">
        <f>$B53*(1+$C$4)^(SUM($F$66:CR$66)+(SUM($F$67:CR$67)))</f>
        <v>0.18546233694143763</v>
      </c>
      <c r="CS71" s="127">
        <f>$B53*(1+$C$4)^(SUM($F$66:CS$66)+(SUM($F$67:CS$67)))</f>
        <v>0.18546233694143763</v>
      </c>
      <c r="CT71" s="127">
        <f>$B53*(1+$C$4)^(SUM($F$66:CT$66)+(SUM($F$67:CT$67)))</f>
        <v>0.18546233694143763</v>
      </c>
      <c r="CU71" s="127">
        <f>$B53*(1+$C$4)^(SUM($F$66:CU$66)+(SUM($F$67:CU$67)))</f>
        <v>0.18546233694143763</v>
      </c>
      <c r="CV71" s="127">
        <f>$B53*(1+$C$4)^(SUM($F$66:CV$66)+(SUM($F$67:CV$67)))</f>
        <v>0.18546233694143763</v>
      </c>
      <c r="CW71" s="127">
        <f>$B53*(1+$C$4)^(SUM($F$66:CW$66)+(SUM($F$67:CW$67)))</f>
        <v>0.18546233694143763</v>
      </c>
      <c r="CX71" s="127">
        <f>$B53*(1+$C$4)^(SUM($F$66:CX$66)+(SUM($F$67:CX$67)))</f>
        <v>0.18546233694143763</v>
      </c>
      <c r="CY71" s="127">
        <f>$B53*(1+$C$4)^(SUM($F$66:CY$66)+(SUM($F$67:CY$67)))</f>
        <v>0.18546233694143763</v>
      </c>
      <c r="CZ71" s="127">
        <f>$B53*(1+$C$4)^(SUM($F$66:CZ$66)+(SUM($F$67:CZ$67)))</f>
        <v>0.18546233694143763</v>
      </c>
      <c r="DA71" s="127">
        <f>$B53*(1+$C$4)^(SUM($F$66:DA$66)+(SUM($F$67:DA$67)))</f>
        <v>0.18546233694143763</v>
      </c>
      <c r="DB71" s="127">
        <f>$B53*(1+$C$4)^(SUM($F$66:DB$66)+(SUM($F$67:DB$67)))</f>
        <v>0.18546233694143763</v>
      </c>
      <c r="DC71" s="127">
        <f>$B53*(1+$C$4)^(SUM($F$66:DC$66)+(SUM($F$67:DC$67)))</f>
        <v>0.18546233694143763</v>
      </c>
      <c r="DD71" s="127">
        <f>$B53*(1+$C$4)^(SUM($F$66:DD$66)+(SUM($F$67:DD$67)))</f>
        <v>0.18546233694143763</v>
      </c>
      <c r="DE71" s="127">
        <f>$B53*(1+$C$4)^(SUM($F$66:DE$66)+(SUM($F$67:DE$67)))</f>
        <v>0.18546233694143763</v>
      </c>
      <c r="DF71" s="127">
        <f>$B53*(1+$C$4)^(SUM($F$66:DF$66)+(SUM($F$67:DF$67)))</f>
        <v>0.18546233694143763</v>
      </c>
      <c r="DG71" s="127">
        <f>$B53*(1+$C$4)^(SUM($F$66:DG$66)+(SUM($F$67:DG$67)))</f>
        <v>0.18546233694143763</v>
      </c>
      <c r="DH71" s="127">
        <f>$B53*(1+$C$4)^(SUM($F$66:DH$66)+(SUM($F$67:DH$67)))</f>
        <v>0.18546233694143763</v>
      </c>
      <c r="DI71" s="127">
        <f>$B53*(1+$C$4)^(SUM($F$66:DI$66)+(SUM($F$67:DI$67)))</f>
        <v>0.18546233694143763</v>
      </c>
      <c r="DJ71" s="127">
        <f>$B53*(1+$C$4)^(SUM($F$66:DJ$66)+(SUM($F$67:DJ$67)))</f>
        <v>0.18546233694143763</v>
      </c>
      <c r="DK71" s="127">
        <f>$B53*(1+$C$4)^(SUM($F$66:DK$66)+(SUM($F$67:DK$67)))</f>
        <v>0.18546233694143763</v>
      </c>
      <c r="DL71" s="127">
        <f>$B53*(1+$C$4)^(SUM($F$66:DL$66)+(SUM($F$67:DL$67)))</f>
        <v>0.18546233694143763</v>
      </c>
      <c r="DM71" s="127">
        <f>$B53*(1+$C$4)^(SUM($F$66:DM$66)+(SUM($F$67:DM$67)))</f>
        <v>0.18546233694143763</v>
      </c>
      <c r="DN71" s="127">
        <f>$B53*(1+$C$4)^(SUM($F$66:DN$66)+(SUM($F$67:DN$67)))</f>
        <v>0.18546233694143763</v>
      </c>
      <c r="DO71" s="127">
        <f>$B53*(1+$C$4)^(SUM($F$66:DO$66)+(SUM($F$67:DO$67)))</f>
        <v>0.18546233694143763</v>
      </c>
      <c r="DP71" s="127">
        <f>$B53*(1+$C$4)^(SUM($F$66:DP$66)+(SUM($F$67:DP$67)))</f>
        <v>0.18546233694143763</v>
      </c>
      <c r="DQ71" s="127">
        <f>$B53*(1+$C$4)^(SUM($F$66:DQ$66)+(SUM($F$67:DQ$67)))</f>
        <v>0.18546233694143763</v>
      </c>
      <c r="DR71" s="127">
        <f>$B53*(1+$C$4)^(SUM($F$66:DR$66)+(SUM($F$67:DR$67)))</f>
        <v>0.18546233694143763</v>
      </c>
      <c r="DS71" s="127">
        <f>$B53*(1+$C$4)^(SUM($F$66:DS$66)+(SUM($F$67:DS$67)))</f>
        <v>0.18546233694143763</v>
      </c>
      <c r="DT71" s="127">
        <f>$B53*(1+$C$4)^(SUM($F$66:DT$66)+(SUM($F$67:DT$67)))</f>
        <v>0.18546233694143763</v>
      </c>
      <c r="DU71" s="127">
        <f>$B53*(1+$C$4)^(SUM($F$66:DU$66)+(SUM($F$67:DU$67)))</f>
        <v>0.18546233694143763</v>
      </c>
      <c r="DV71" s="127">
        <f>$B53*(1+$C$4)^(SUM($F$66:DV$66)+(SUM($F$67:DV$67)))</f>
        <v>0.18546233694143763</v>
      </c>
      <c r="DW71" s="127">
        <f>$B53*(1+$C$4)^(SUM($F$66:DW$66)+(SUM($F$67:DW$67)))</f>
        <v>0.18546233694143763</v>
      </c>
      <c r="DX71" s="127">
        <f>$B53*(1+$C$4)^(SUM($F$66:DX$66)+(SUM($F$67:DX$67)))</f>
        <v>0.18546233694143763</v>
      </c>
      <c r="DY71" s="127">
        <f>$B53*(1+$C$4)^(SUM($F$66:DY$66)+(SUM($F$67:DY$67)))</f>
        <v>0.18546233694143763</v>
      </c>
      <c r="DZ71" s="127">
        <f>$B53*(1+$C$4)^(SUM($F$66:DZ$66)+(SUM($F$67:DZ$67)))</f>
        <v>0.18546233694143763</v>
      </c>
      <c r="EA71" s="127">
        <f>$B53*(1+$C$4)^(SUM($F$66:EA$66)+(SUM($F$67:EA$67)))</f>
        <v>0.18546233694143763</v>
      </c>
      <c r="EB71" s="127">
        <f>$B53*(1+$C$4)^(SUM($F$66:EB$66)+(SUM($F$67:EB$67)))</f>
        <v>0.18546233694143763</v>
      </c>
      <c r="EC71" s="127">
        <f>$B53*(1+$C$4)^(SUM($F$66:EC$66)+(SUM($F$67:EC$67)))</f>
        <v>0.18546233694143763</v>
      </c>
      <c r="ED71" s="127">
        <f>$B53*(1+$C$4)^(SUM($F$66:ED$66)+(SUM($F$67:ED$67)))</f>
        <v>0.18546233694143763</v>
      </c>
      <c r="EE71" s="127">
        <f>$B53*(1+$C$4)^(SUM($F$66:EE$66)+(SUM($F$67:EE$67)))</f>
        <v>0.18546233694143763</v>
      </c>
      <c r="EF71" s="127">
        <f>$B53*(1+$C$4)^(SUM($F$66:EF$66)+(SUM($F$67:EF$67)))</f>
        <v>0.18546233694143763</v>
      </c>
      <c r="EG71" s="127">
        <f>$B53*(1+$C$4)^(SUM($F$66:EG$66)+(SUM($F$67:EG$67)))</f>
        <v>0.18546233694143763</v>
      </c>
      <c r="EH71" s="127">
        <f>$B53*(1+$C$4)^(SUM($F$66:EH$66)+(SUM($F$67:EH$67)))</f>
        <v>0.18546233694143763</v>
      </c>
      <c r="EI71" s="127">
        <f>$B53*(1+$C$4)^(SUM($F$66:EI$66)+(SUM($F$67:EI$67)))</f>
        <v>0.18546233694143763</v>
      </c>
      <c r="EJ71" s="127">
        <f>$B53*(1+$C$4)^(SUM($F$66:EJ$66)+(SUM($F$67:EJ$67)))</f>
        <v>0.18546233694143763</v>
      </c>
      <c r="EK71" s="127">
        <f>$B53*(1+$C$4)^(SUM($F$66:EK$66)+(SUM($F$67:EK$67)))</f>
        <v>0.18546233694143763</v>
      </c>
      <c r="EL71" s="127">
        <f>$B53*(1+$C$4)^(SUM($F$66:EL$66)+(SUM($F$67:EL$67)))</f>
        <v>0.18546233694143763</v>
      </c>
      <c r="EM71" s="127">
        <f>$B53*(1+$C$4)^(SUM($F$66:EM$66)+(SUM($F$67:EM$67)))</f>
        <v>0.18546233694143763</v>
      </c>
      <c r="EN71" s="127">
        <f>$B53*(1+$C$4)^(SUM($F$66:EN$66)+(SUM($F$67:EN$67)))</f>
        <v>0.18546233694143763</v>
      </c>
      <c r="EO71" s="127">
        <f>$B53*(1+$C$4)^(SUM($F$66:EO$66)+(SUM($F$67:EO$67)))</f>
        <v>0.18546233694143763</v>
      </c>
      <c r="EP71" s="127">
        <f>$B53*(1+$C$4)^(SUM($F$66:EP$66)+(SUM($F$67:EP$67)))</f>
        <v>0.18546233694143763</v>
      </c>
      <c r="EQ71" s="127">
        <f>$B53*(1+$C$4)^(SUM($F$66:EQ$66)+(SUM($F$67:EQ$67)))</f>
        <v>0.18546233694143763</v>
      </c>
      <c r="ER71" s="127">
        <f>$B53*(1+$C$4)^(SUM($F$66:ER$66)+(SUM($F$67:ER$67)))</f>
        <v>0.18546233694143763</v>
      </c>
      <c r="ES71" s="127">
        <f>$B53*(1+$C$4)^(SUM($F$66:ES$66)+(SUM($F$67:ES$67)))</f>
        <v>0.18546233694143763</v>
      </c>
      <c r="ET71" s="127">
        <f>$B53*(1+$C$4)^(SUM($F$66:ET$66)+(SUM($F$67:ET$67)))</f>
        <v>0.18546233694143763</v>
      </c>
      <c r="EU71" s="127">
        <f>$B53*(1+$C$4)^(SUM($F$66:EU$66)+(SUM($F$67:EU$67)))</f>
        <v>0.18546233694143763</v>
      </c>
      <c r="EV71" s="127">
        <f>$B53*(1+$C$4)^(SUM($F$66:EV$66)+(SUM($F$67:EV$67)))</f>
        <v>0.18546233694143763</v>
      </c>
      <c r="EW71" s="127">
        <f>$B53*(1+$C$4)^(SUM($F$66:EW$66)+(SUM($F$67:EW$67)))</f>
        <v>0.18546233694143763</v>
      </c>
      <c r="EX71" s="127">
        <f>$B53*(1+$C$4)^(SUM($F$66:EX$66)+(SUM($F$67:EX$67)))</f>
        <v>0.18546233694143763</v>
      </c>
      <c r="EY71" s="127">
        <f>$B53*(1+$C$4)^(SUM($F$66:EY$66)+(SUM($F$67:EY$67)))</f>
        <v>0.18546233694143763</v>
      </c>
      <c r="EZ71" s="127">
        <f>$B53*(1+$C$4)^(SUM($F$66:EZ$66)+(SUM($F$67:EZ$67)))</f>
        <v>0.18546233694143763</v>
      </c>
      <c r="FA71" s="127">
        <f>$B53*(1+$C$4)^(SUM($F$66:FA$66)+(SUM($F$67:FA$67)))</f>
        <v>0.18546233694143763</v>
      </c>
      <c r="FB71" s="127">
        <f>$B53*(1+$C$4)^(SUM($F$66:FB$66)+(SUM($F$67:FB$67)))</f>
        <v>0.18546233694143763</v>
      </c>
      <c r="FC71" s="127">
        <f>$B53*(1+$C$4)^(SUM($F$66:FC$66)+(SUM($F$67:FC$67)))</f>
        <v>0.18546233694143763</v>
      </c>
      <c r="FD71" s="127">
        <f>$B53*(1+$C$4)^(SUM($F$66:FD$66)+(SUM($F$67:FD$67)))</f>
        <v>0.18546233694143763</v>
      </c>
      <c r="FE71" s="127">
        <f>$B53*(1+$C$4)^(SUM($F$66:FE$66)+(SUM($F$67:FE$67)))</f>
        <v>0.18546233694143763</v>
      </c>
      <c r="FF71" s="127">
        <f>$B53*(1+$C$4)^(SUM($F$66:FF$66)+(SUM($F$67:FF$67)))</f>
        <v>0.18546233694143763</v>
      </c>
      <c r="FG71" s="127">
        <f>$B53*(1+$C$4)^(SUM($F$66:FG$66)+(SUM($F$67:FG$67)))</f>
        <v>0.18546233694143763</v>
      </c>
      <c r="FH71" s="127">
        <f>$B53*(1+$C$4)^(SUM($F$66:FH$66)+(SUM($F$67:FH$67)))</f>
        <v>0.18546233694143763</v>
      </c>
      <c r="FI71" s="127">
        <f>$B53*(1+$C$4)^(SUM($F$66:FI$66)+(SUM($F$67:FI$67)))</f>
        <v>0.18546233694143763</v>
      </c>
      <c r="FJ71" s="127">
        <f>$B53*(1+$C$4)^(SUM($F$66:FJ$66)+(SUM($F$67:FJ$67)))</f>
        <v>0.18546233694143763</v>
      </c>
      <c r="FK71" s="127">
        <f>$B53*(1+$C$4)^(SUM($F$66:FK$66)+(SUM($F$67:FK$67)))</f>
        <v>0.18546233694143763</v>
      </c>
      <c r="FL71" s="127">
        <f>$B53*(1+$C$4)^(SUM($F$66:FL$66)+(SUM($F$67:FL$67)))</f>
        <v>0.18546233694143763</v>
      </c>
      <c r="FM71" s="127">
        <f>$B53*(1+$C$4)^(SUM($F$66:FM$66)+(SUM($F$67:FM$67)))</f>
        <v>0.18546233694143763</v>
      </c>
      <c r="FN71" s="127">
        <f>$B53*(1+$C$4)^(SUM($F$66:FN$66)+(SUM($F$67:FN$67)))</f>
        <v>0.18546233694143763</v>
      </c>
      <c r="FO71" s="127">
        <f>$B53*(1+$C$4)^(SUM($F$66:FO$66)+(SUM($F$67:FO$67)))</f>
        <v>0.18546233694143763</v>
      </c>
      <c r="FP71" s="127">
        <f>$B53*(1+$C$4)^(SUM($F$66:FP$66)+(SUM($F$67:FP$67)))</f>
        <v>0.18546233694143763</v>
      </c>
      <c r="FQ71" s="127">
        <f>$B53*(1+$C$4)^(SUM($F$66:FQ$66)+(SUM($F$67:FQ$67)))</f>
        <v>0.18546233694143763</v>
      </c>
      <c r="FR71" s="127">
        <f>$B53*(1+$C$4)^(SUM($F$66:FR$66)+(SUM($F$67:FR$67)))</f>
        <v>0.18546233694143763</v>
      </c>
      <c r="FS71" s="127">
        <f>$B53*(1+$C$4)^(SUM($F$66:FS$66)+(SUM($F$67:FS$67)))</f>
        <v>0.18546233694143763</v>
      </c>
      <c r="FT71" s="127">
        <f>$B53*(1+$C$4)^(SUM($F$66:FT$66)+(SUM($F$67:FT$67)))</f>
        <v>0.18546233694143763</v>
      </c>
      <c r="FU71" s="127">
        <f>$B53*(1+$C$4)^(SUM($F$66:FU$66)+(SUM($F$67:FU$67)))</f>
        <v>0.18546233694143763</v>
      </c>
      <c r="FV71" s="127">
        <f>$B53*(1+$C$4)^(SUM($F$66:FV$66)+(SUM($F$67:FV$67)))</f>
        <v>0.18546233694143763</v>
      </c>
      <c r="FW71" s="127">
        <f>$B53*(1+$C$4)^(SUM($F$66:FW$66)+(SUM($F$67:FW$67)))</f>
        <v>0.18546233694143763</v>
      </c>
      <c r="FX71" s="127">
        <f>$B53*(1+$C$4)^(SUM($F$66:FX$66)+(SUM($F$67:FX$67)))</f>
        <v>0.18546233694143763</v>
      </c>
      <c r="FY71" s="127">
        <f>$B53*(1+$C$4)^(SUM($F$66:FY$66)+(SUM($F$67:FY$67)))</f>
        <v>0.18546233694143763</v>
      </c>
      <c r="FZ71" s="127">
        <f>$B53*(1+$C$4)^(SUM($F$66:FZ$66)+(SUM($F$67:FZ$67)))</f>
        <v>0.18546233694143763</v>
      </c>
      <c r="GA71" s="127">
        <f>$B53*(1+$C$4)^(SUM($F$66:GA$66)+(SUM($F$67:GA$67)))</f>
        <v>0.18546233694143763</v>
      </c>
      <c r="GB71" s="127">
        <f>$B53*(1+$C$4)^(SUM($F$66:GB$66)+(SUM($F$67:GB$67)))</f>
        <v>0.18546233694143763</v>
      </c>
      <c r="GC71" s="127">
        <f>$B53*(1+$C$4)^(SUM($F$66:GC$66)+(SUM($F$67:GC$67)))</f>
        <v>0.18546233694143763</v>
      </c>
      <c r="GD71" s="127">
        <f>$B53*(1+$C$4)^(SUM($F$66:GD$66)+(SUM($F$67:GD$67)))</f>
        <v>0.18546233694143763</v>
      </c>
      <c r="GE71" s="127">
        <f>$B53*(1+$C$4)^(SUM($F$66:GE$66)+(SUM($F$67:GE$67)))</f>
        <v>0.18546233694143763</v>
      </c>
      <c r="GF71" s="127">
        <f>$B53*(1+$C$4)^(SUM($F$66:GF$66)+(SUM($F$67:GF$67)))</f>
        <v>0.18546233694143763</v>
      </c>
      <c r="GG71" s="127">
        <f>$B53*(1+$C$4)^(SUM($F$66:GG$66)+(SUM($F$67:GG$67)))</f>
        <v>0.18546233694143763</v>
      </c>
      <c r="GH71" s="127">
        <f>$B53*(1+$C$4)^(SUM($F$66:GH$66)+(SUM($F$67:GH$67)))</f>
        <v>0.18546233694143763</v>
      </c>
      <c r="GI71" s="127">
        <f>$B53*(1+$C$4)^(SUM($F$66:GI$66)+(SUM($F$67:GI$67)))</f>
        <v>0.18546233694143763</v>
      </c>
      <c r="GJ71" s="127">
        <f>$B53*(1+$C$4)^(SUM($F$66:GJ$66)+(SUM($F$67:GJ$67)))</f>
        <v>0.18546233694143763</v>
      </c>
      <c r="GK71" s="127">
        <f>$B53*(1+$C$4)^(SUM($F$66:GK$66)+(SUM($F$67:GK$67)))</f>
        <v>0.18546233694143763</v>
      </c>
      <c r="GL71" s="127">
        <f>$B53*(1+$C$4)^(SUM($F$66:GL$66)+(SUM($F$67:GL$67)))</f>
        <v>0.18546233694143763</v>
      </c>
      <c r="GM71" s="127">
        <f>$B53*(1+$C$4)^(SUM($F$66:GM$66)+(SUM($F$67:GM$67)))</f>
        <v>0.18546233694143763</v>
      </c>
      <c r="GN71" s="127">
        <f>$B53*(1+$C$4)^(SUM($F$66:GN$66)+(SUM($F$67:GN$67)))</f>
        <v>0.18546233694143763</v>
      </c>
      <c r="GO71" s="127">
        <f>$B53*(1+$C$4)^(SUM($F$66:GO$66)+(SUM($F$67:GO$67)))</f>
        <v>0.18546233694143763</v>
      </c>
      <c r="GP71" s="127">
        <f>$B53*(1+$C$4)^(SUM($F$66:GP$66)+(SUM($F$67:GP$67)))</f>
        <v>0.18546233694143763</v>
      </c>
      <c r="GQ71" s="127">
        <f>$B53*(1+$C$4)^(SUM($F$66:GQ$66)+(SUM($F$67:GQ$67)))</f>
        <v>0.18546233694143763</v>
      </c>
      <c r="GR71" s="127">
        <f>$B53*(1+$C$4)^(SUM($F$66:GR$66)+(SUM($F$67:GR$67)))</f>
        <v>0.18546233694143763</v>
      </c>
      <c r="GS71" s="127">
        <f>$B53*(1+$C$4)^(SUM($F$66:GS$66)+(SUM($F$67:GS$67)))</f>
        <v>0.18546233694143763</v>
      </c>
      <c r="GT71" s="127">
        <f>$B53*(1+$C$4)^(SUM($F$66:GT$66)+(SUM($F$67:GT$67)))</f>
        <v>0.18546233694143763</v>
      </c>
      <c r="GU71" s="127">
        <f>$B53*(1+$C$4)^(SUM($F$66:GU$66)+(SUM($F$67:GU$67)))</f>
        <v>0.18546233694143763</v>
      </c>
      <c r="GV71" s="127">
        <f>$B53*(1+$C$4)^(SUM($F$66:GV$66)+(SUM($F$67:GV$67)))</f>
        <v>0.18546233694143763</v>
      </c>
      <c r="GW71" s="127">
        <f>$B53*(1+$C$4)^(SUM($F$66:GW$66)+(SUM($F$67:GW$67)))</f>
        <v>0.18546233694143763</v>
      </c>
      <c r="GX71" s="127">
        <f>$B53*(1+$C$4)^(SUM($F$66:GX$66)+(SUM($F$67:GX$67)))</f>
        <v>0.18546233694143763</v>
      </c>
      <c r="GY71" s="127">
        <f>$B53*(1+$C$4)^(SUM($F$66:GY$66)+(SUM($F$67:GY$67)))</f>
        <v>0.18546233694143763</v>
      </c>
      <c r="GZ71" s="127">
        <f>$B53*(1+$C$4)^(SUM($F$66:GZ$66)+(SUM($F$67:GZ$67)))</f>
        <v>0.18546233694143763</v>
      </c>
      <c r="HA71" s="127">
        <f>$B53*(1+$C$4)^(SUM($F$66:HA$66)+(SUM($F$67:HA$67)))</f>
        <v>0.18546233694143763</v>
      </c>
      <c r="HB71" s="127">
        <f>$B53*(1+$C$4)^(SUM($F$66:HB$66)+(SUM($F$67:HB$67)))</f>
        <v>0.18546233694143763</v>
      </c>
      <c r="HC71" s="127">
        <f>$B53*(1+$C$4)^(SUM($F$66:HC$66)+(SUM($F$67:HC$67)))</f>
        <v>0.18546233694143763</v>
      </c>
      <c r="HD71" s="127">
        <f>$B53*(1+$C$4)^(SUM($F$66:HD$66)+(SUM($F$67:HD$67)))</f>
        <v>0.18546233694143763</v>
      </c>
      <c r="HE71" s="127">
        <f>$B53*(1+$C$4)^(SUM($F$66:HE$66)+(SUM($F$67:HE$67)))</f>
        <v>0.18546233694143763</v>
      </c>
      <c r="HF71" s="127">
        <f>$B53*(1+$C$4)^(SUM($F$66:HF$66)+(SUM($F$67:HF$67)))</f>
        <v>0.18546233694143763</v>
      </c>
      <c r="HG71" s="127">
        <f>$B53*(1+$C$4)^(SUM($F$66:HG$66)+(SUM($F$67:HG$67)))</f>
        <v>0.18546233694143763</v>
      </c>
      <c r="HH71" s="127">
        <f>$B53*(1+$C$4)^(SUM($F$66:HH$66)+(SUM($F$67:HH$67)))</f>
        <v>0.18546233694143763</v>
      </c>
      <c r="HI71" s="127">
        <f>$B53*(1+$C$4)^(SUM($F$66:HI$66)+(SUM($F$67:HI$67)))</f>
        <v>0.18546233694143763</v>
      </c>
      <c r="HJ71" s="127">
        <f>$B53*(1+$C$4)^(SUM($F$66:HJ$66)+(SUM($F$67:HJ$67)))</f>
        <v>0.18546233694143763</v>
      </c>
      <c r="HK71" s="127">
        <f>$B53*(1+$C$4)^(SUM($F$66:HK$66)+(SUM($F$67:HK$67)))</f>
        <v>0.18546233694143763</v>
      </c>
      <c r="HL71" s="127">
        <f>$B53*(1+$C$4)^(SUM($F$66:HL$66)+(SUM($F$67:HL$67)))</f>
        <v>0.18546233694143763</v>
      </c>
      <c r="HM71" s="127">
        <f>$B53*(1+$C$4)^(SUM($F$66:HM$66)+(SUM($F$67:HM$67)))</f>
        <v>0.18546233694143763</v>
      </c>
      <c r="HN71" s="127">
        <f>$B53*(1+$C$4)^(SUM($F$66:HN$66)+(SUM($F$67:HN$67)))</f>
        <v>0.18546233694143763</v>
      </c>
      <c r="HO71" s="127">
        <f>$B53*(1+$C$4)^(SUM($F$66:HO$66)+(SUM($F$67:HO$67)))</f>
        <v>0.18546233694143763</v>
      </c>
      <c r="HP71" s="127">
        <f>$B53*(1+$C$4)^(SUM($F$66:HP$66)+(SUM($F$67:HP$67)))</f>
        <v>0.18546233694143763</v>
      </c>
      <c r="HQ71" s="127">
        <f>$B53*(1+$C$4)^(SUM($F$66:HQ$66)+(SUM($F$67:HQ$67)))</f>
        <v>0.18546233694143763</v>
      </c>
      <c r="HR71" s="127">
        <f>$B53*(1+$C$4)^(SUM($F$66:HR$66)+(SUM($F$67:HR$67)))</f>
        <v>0.18546233694143763</v>
      </c>
      <c r="HS71" s="127">
        <f>$B53*(1+$C$4)^(SUM($F$66:HS$66)+(SUM($F$67:HS$67)))</f>
        <v>0.18546233694143763</v>
      </c>
      <c r="HT71" s="127">
        <f>$B53*(1+$C$4)^(SUM($F$66:HT$66)+(SUM($F$67:HT$67)))</f>
        <v>0.18546233694143763</v>
      </c>
      <c r="HU71" s="127">
        <f>$B53*(1+$C$4)^(SUM($F$66:HU$66)+(SUM($F$67:HU$67)))</f>
        <v>0.18546233694143763</v>
      </c>
      <c r="HV71" s="127">
        <f>$B53*(1+$C$4)^(SUM($F$66:HV$66)+(SUM($F$67:HV$67)))</f>
        <v>0.18546233694143763</v>
      </c>
      <c r="HW71" s="127">
        <f>$B53*(1+$C$4)^(SUM($F$66:HW$66)+(SUM($F$67:HW$67)))</f>
        <v>0.18546233694143763</v>
      </c>
      <c r="HX71" s="127">
        <f>$B53*(1+$C$4)^(SUM($F$66:HX$66)+(SUM($F$67:HX$67)))</f>
        <v>0.18546233694143763</v>
      </c>
      <c r="HY71" s="127">
        <f>$B53*(1+$C$4)^(SUM($F$66:HY$66)+(SUM($F$67:HY$67)))</f>
        <v>0.18546233694143763</v>
      </c>
      <c r="HZ71" s="127">
        <f>$B53*(1+$C$4)^(SUM($F$66:HZ$66)+(SUM($F$67:HZ$67)))</f>
        <v>0.18546233694143763</v>
      </c>
      <c r="IA71" s="127">
        <f>$B53*(1+$C$4)^(SUM($F$66:IA$66)+(SUM($F$67:IA$67)))</f>
        <v>0.18546233694143763</v>
      </c>
      <c r="IB71" s="127">
        <f>$B53*(1+$C$4)^(SUM($F$66:IB$66)+(SUM($F$67:IB$67)))</f>
        <v>0.18546233694143763</v>
      </c>
      <c r="IC71" s="127">
        <f>$B53*(1+$C$4)^(SUM($F$66:IC$66)+(SUM($F$67:IC$67)))</f>
        <v>0.18546233694143763</v>
      </c>
      <c r="ID71" s="127">
        <f>$B53*(1+$C$4)^(SUM($F$66:ID$66)+(SUM($F$67:ID$67)))</f>
        <v>0.18546233694143763</v>
      </c>
      <c r="IE71" s="127">
        <f>$B53*(1+$C$4)^(SUM($F$66:IE$66)+(SUM($F$67:IE$67)))</f>
        <v>0.18546233694143763</v>
      </c>
      <c r="IF71" s="127">
        <f>$B53*(1+$C$4)^(SUM($F$66:IF$66)+(SUM($F$67:IF$67)))</f>
        <v>0.18546233694143763</v>
      </c>
      <c r="IG71" s="127">
        <f>$B53*(1+$C$4)^(SUM($F$66:IG$66)+(SUM($F$67:IG$67)))</f>
        <v>0.18546233694143763</v>
      </c>
      <c r="IH71" s="127">
        <f>$B53*(1+$C$4)^(SUM($F$66:IH$66)+(SUM($F$67:IH$67)))</f>
        <v>0.18546233694143763</v>
      </c>
      <c r="II71" s="127">
        <f>$B53*(1+$C$4)^(SUM($F$66:II$66)+(SUM($F$67:II$67)))</f>
        <v>0.18546233694143763</v>
      </c>
      <c r="IJ71" s="127">
        <f>$B53*(1+$C$4)^(SUM($F$66:IJ$66)+(SUM($F$67:IJ$67)))</f>
        <v>0.18546233694143763</v>
      </c>
      <c r="IK71" s="127">
        <f>$B53*(1+$C$4)^(SUM($F$66:IK$66)+(SUM($F$67:IK$67)))</f>
        <v>0.18546233694143763</v>
      </c>
      <c r="IL71" s="127">
        <f>$B53*(1+$C$4)^(SUM($F$66:IL$66)+(SUM($F$67:IL$67)))</f>
        <v>0.18546233694143763</v>
      </c>
      <c r="IM71" s="127">
        <f>$B53*(1+$C$4)^(SUM($F$66:IM$66)+(SUM($F$67:IM$67)))</f>
        <v>0.18546233694143763</v>
      </c>
      <c r="IN71" s="127">
        <f>$B53*(1+$C$4)^(SUM($F$66:IN$66)+(SUM($F$67:IN$67)))</f>
        <v>0.18546233694143763</v>
      </c>
      <c r="IO71" s="127">
        <f>$B53*(1+$C$4)^(SUM($F$66:IO$66)+(SUM($F$67:IO$67)))</f>
        <v>0.18546233694143763</v>
      </c>
      <c r="IP71" s="127">
        <f>$B53*(1+$C$4)^(SUM($F$66:IP$66)+(SUM($F$67:IP$67)))</f>
        <v>0.18546233694143763</v>
      </c>
      <c r="IQ71" s="127">
        <f>$B53*(1+$C$4)^(SUM($F$66:IQ$66)+(SUM($F$67:IQ$67)))</f>
        <v>0.18546233694143763</v>
      </c>
      <c r="IR71" s="127">
        <f>$B53*(1+$C$4)^(SUM($F$66:IR$66)+(SUM($F$67:IR$67)))</f>
        <v>0.18546233694143763</v>
      </c>
      <c r="IS71" s="127">
        <f>$B53*(1+$C$4)^(SUM($F$66:IS$66)+(SUM($F$67:IS$67)))</f>
        <v>0.18546233694143763</v>
      </c>
      <c r="IT71" s="127">
        <f>$B53*(1+$C$4)^(SUM($F$66:IT$66)+(SUM($F$67:IT$67)))</f>
        <v>0.18546233694143763</v>
      </c>
      <c r="IU71" s="127">
        <f>$B53*(1+$C$4)^(SUM($F$66:IU$66)+(SUM($F$67:IU$67)))</f>
        <v>0.18546233694143763</v>
      </c>
      <c r="IV71" s="127">
        <f>$B53*(1+$C$4)^(SUM($F$66:IV$66)+(SUM($F$67:IV$67)))</f>
        <v>0.18546233694143763</v>
      </c>
      <c r="IW71" s="127">
        <f>$B53*(1+$C$4)^(SUM($F$66:IW$66)+(SUM($F$67:IW$67)))</f>
        <v>0.18546233694143763</v>
      </c>
      <c r="IX71" s="127">
        <f>$B53*(1+$C$4)^(SUM($F$66:IX$66)+(SUM($F$67:IX$67)))</f>
        <v>0.18546233694143763</v>
      </c>
      <c r="IY71" s="127">
        <f>$B53*(1+$C$4)^(SUM($F$66:IY$66)+(SUM($F$67:IY$67)))</f>
        <v>0.18546233694143763</v>
      </c>
      <c r="IZ71" s="127">
        <f>$B53*(1+$C$4)^(SUM($F$66:IZ$66)+(SUM($F$67:IZ$67)))</f>
        <v>0.18546233694143763</v>
      </c>
      <c r="JA71" s="127">
        <f>$B53*(1+$C$4)^(SUM($F$66:JA$66)+(SUM($F$67:JA$67)))</f>
        <v>0.18546233694143763</v>
      </c>
      <c r="JB71" s="127">
        <f>$B53*(1+$C$4)^(SUM($F$66:JB$66)+(SUM($F$67:JB$67)))</f>
        <v>0.18546233694143763</v>
      </c>
      <c r="JC71" s="127">
        <f>$B53*(1+$C$4)^(SUM($F$66:JC$66)+(SUM($F$67:JC$67)))</f>
        <v>0.18546233694143763</v>
      </c>
      <c r="JD71" s="127">
        <f>$B53*(1+$C$4)^(SUM($F$66:JD$66)+(SUM($F$67:JD$67)))</f>
        <v>0.18546233694143763</v>
      </c>
      <c r="JE71" s="127">
        <f>$B53*(1+$C$4)^(SUM($F$66:JE$66)+(SUM($F$67:JE$67)))</f>
        <v>0.18546233694143763</v>
      </c>
      <c r="JF71" s="127">
        <f>$B53*(1+$C$4)^(SUM($F$66:JF$66)+(SUM($F$67:JF$67)))</f>
        <v>0.18546233694143763</v>
      </c>
      <c r="JG71" s="127">
        <f>$B53*(1+$C$4)^(SUM($F$66:JG$66)+(SUM($F$67:JG$67)))</f>
        <v>0.18546233694143763</v>
      </c>
      <c r="JH71" s="127">
        <f>$B53*(1+$C$4)^(SUM($F$66:JH$66)+(SUM($F$67:JH$67)))</f>
        <v>0.18546233694143763</v>
      </c>
      <c r="JI71" s="127">
        <f>$B53*(1+$C$4)^(SUM($F$66:JI$66)+(SUM($F$67:JI$67)))</f>
        <v>0.18546233694143763</v>
      </c>
      <c r="JJ71" s="127">
        <f>$B53*(1+$C$4)^(SUM($F$66:JJ$66)+(SUM($F$67:JJ$67)))</f>
        <v>0.18546233694143763</v>
      </c>
      <c r="JK71" s="127">
        <f>$B53*(1+$C$4)^(SUM($F$66:JK$66)+(SUM($F$67:JK$67)))</f>
        <v>0.18546233694143763</v>
      </c>
      <c r="JL71" s="127">
        <f>$B53*(1+$C$4)^(SUM($F$66:JL$66)+(SUM($F$67:JL$67)))</f>
        <v>0.18546233694143763</v>
      </c>
      <c r="JM71" s="127">
        <f>$B53*(1+$C$4)^(SUM($F$66:JM$66)+(SUM($F$67:JM$67)))</f>
        <v>0.18546233694143763</v>
      </c>
      <c r="JN71" s="127">
        <f>$B53*(1+$C$4)^(SUM($F$66:JN$66)+(SUM($F$67:JN$67)))</f>
        <v>0.18546233694143763</v>
      </c>
      <c r="JO71" s="127">
        <f>$B53*(1+$C$4)^(SUM($F$66:JO$66)+(SUM($F$67:JO$67)))</f>
        <v>0.18546233694143763</v>
      </c>
      <c r="JP71" s="127">
        <f>$B53*(1+$C$4)^(SUM($F$66:JP$66)+(SUM($F$67:JP$67)))</f>
        <v>0.18546233694143763</v>
      </c>
      <c r="JQ71" s="127">
        <f>$B53*(1+$C$4)^(SUM($F$66:JQ$66)+(SUM($F$67:JQ$67)))</f>
        <v>0.18546233694143763</v>
      </c>
      <c r="JR71" s="127">
        <f>$B53*(1+$C$4)^(SUM($F$66:JR$66)+(SUM($F$67:JR$67)))</f>
        <v>0.18546233694143763</v>
      </c>
      <c r="JS71" s="127">
        <f>$B53*(1+$C$4)^(SUM($F$66:JS$66)+(SUM($F$67:JS$67)))</f>
        <v>0.18546233694143763</v>
      </c>
      <c r="JT71" s="127">
        <f>$B53*(1+$C$4)^(SUM($F$66:JT$66)+(SUM($F$67:JT$67)))</f>
        <v>0.18546233694143763</v>
      </c>
      <c r="JU71" s="127">
        <f>$B53*(1+$C$4)^(SUM($F$66:JU$66)+(SUM($F$67:JU$67)))</f>
        <v>0.18546233694143763</v>
      </c>
      <c r="JV71" s="127">
        <f>$B53*(1+$C$4)^(SUM($F$66:JV$66)+(SUM($F$67:JV$67)))</f>
        <v>0.18546233694143763</v>
      </c>
      <c r="JW71" s="127">
        <f>$B53*(1+$C$4)^(SUM($F$66:JW$66)+(SUM($F$67:JW$67)))</f>
        <v>0.18546233694143763</v>
      </c>
      <c r="JX71" s="127">
        <f>$B53*(1+$C$4)^(SUM($F$66:JX$66)+(SUM($F$67:JX$67)))</f>
        <v>0.18546233694143763</v>
      </c>
      <c r="JY71" s="127">
        <f>$B53*(1+$C$4)^(SUM($F$66:JY$66)+(SUM($F$67:JY$67)))</f>
        <v>0.18546233694143763</v>
      </c>
      <c r="JZ71" s="127">
        <f>$B53*(1+$C$4)^(SUM($F$66:JZ$66)+(SUM($F$67:JZ$67)))</f>
        <v>0.18546233694143763</v>
      </c>
      <c r="KA71" s="127">
        <f>$B53*(1+$C$4)^(SUM($F$66:KA$66)+(SUM($F$67:KA$67)))</f>
        <v>0.18546233694143763</v>
      </c>
      <c r="KB71" s="127">
        <f>$B53*(1+$C$4)^(SUM($F$66:KB$66)+(SUM($F$67:KB$67)))</f>
        <v>0.18546233694143763</v>
      </c>
      <c r="KC71" s="127">
        <f>$B53*(1+$C$4)^(SUM($F$66:KC$66)+(SUM($F$67:KC$67)))</f>
        <v>0.18546233694143763</v>
      </c>
      <c r="KD71" s="127">
        <f>$B53*(1+$C$4)^(SUM($F$66:KD$66)+(SUM($F$67:KD$67)))</f>
        <v>0.18546233694143763</v>
      </c>
      <c r="KE71" s="127">
        <f>$B53*(1+$C$4)^(SUM($F$66:KE$66)+(SUM($F$67:KE$67)))</f>
        <v>0.18546233694143763</v>
      </c>
      <c r="KF71" s="127">
        <f>$B53*(1+$C$4)^(SUM($F$66:KF$66)+(SUM($F$67:KF$67)))</f>
        <v>0.18546233694143763</v>
      </c>
      <c r="KG71" s="127">
        <f>$B53*(1+$C$4)^(SUM($F$66:KG$66)+(SUM($F$67:KG$67)))</f>
        <v>0.18546233694143763</v>
      </c>
      <c r="KH71" s="127">
        <f>$B53*(1+$C$4)^(SUM($F$66:KH$66)+(SUM($F$67:KH$67)))</f>
        <v>0.18546233694143763</v>
      </c>
      <c r="KI71" s="127">
        <f>$B53*(1+$C$4)^(SUM($F$66:KI$66)+(SUM($F$67:KI$67)))</f>
        <v>0.18546233694143763</v>
      </c>
      <c r="KJ71" s="127">
        <f>$B53*(1+$C$4)^(SUM($F$66:KJ$66)+(SUM($F$67:KJ$67)))</f>
        <v>0.18546233694143763</v>
      </c>
      <c r="KK71" s="127">
        <f>$B53*(1+$C$4)^(SUM($F$66:KK$66)+(SUM($F$67:KK$67)))</f>
        <v>0.18546233694143763</v>
      </c>
      <c r="KL71" s="127">
        <f>$B53*(1+$C$4)^(SUM($F$66:KL$66)+(SUM($F$67:KL$67)))</f>
        <v>0.18546233694143763</v>
      </c>
      <c r="KM71" s="127">
        <f>$B53*(1+$C$4)^(SUM($F$66:KM$66)+(SUM($F$67:KM$67)))</f>
        <v>0.18546233694143763</v>
      </c>
      <c r="KN71" s="127">
        <f>$B53*(1+$C$4)^(SUM($F$66:KN$66)+(SUM($F$67:KN$67)))</f>
        <v>0.18546233694143763</v>
      </c>
      <c r="KO71" s="127">
        <f>$B53*(1+$C$4)^(SUM($F$66:KO$66)+(SUM($F$67:KO$67)))</f>
        <v>0.18546233694143763</v>
      </c>
      <c r="KP71" s="127">
        <f>$B53*(1+$C$4)^(SUM($F$66:KP$66)+(SUM($F$67:KP$67)))</f>
        <v>0.18546233694143763</v>
      </c>
      <c r="KQ71" s="127">
        <f>$B53*(1+$C$4)^(SUM($F$66:KQ$66)+(SUM($F$67:KQ$67)))</f>
        <v>0.18546233694143763</v>
      </c>
      <c r="KR71" s="127">
        <f>$B53*(1+$C$4)^(SUM($F$66:KR$66)+(SUM($F$67:KR$67)))</f>
        <v>0.18546233694143763</v>
      </c>
      <c r="KS71" s="127">
        <f>$B53*(1+$C$4)^(SUM($F$66:KS$66)+(SUM($F$67:KS$67)))</f>
        <v>0.18546233694143763</v>
      </c>
      <c r="KT71" s="127">
        <f>$B53*(1+$C$4)^(SUM($F$66:KT$66)+(SUM($F$67:KT$67)))</f>
        <v>0.18546233694143763</v>
      </c>
      <c r="KU71" s="127">
        <f>$B53*(1+$C$4)^(SUM($F$66:KU$66)+(SUM($F$67:KU$67)))</f>
        <v>0.18546233694143763</v>
      </c>
      <c r="KV71" s="127">
        <f>$B53*(1+$C$4)^(SUM($F$66:KV$66)+(SUM($F$67:KV$67)))</f>
        <v>0.18546233694143763</v>
      </c>
      <c r="KW71" s="127">
        <f>$B53*(1+$C$4)^(SUM($F$66:KW$66)+(SUM($F$67:KW$67)))</f>
        <v>0.18546233694143763</v>
      </c>
      <c r="KX71" s="127">
        <f>$B53*(1+$C$4)^(SUM($F$66:KX$66)+(SUM($F$67:KX$67)))</f>
        <v>0.18546233694143763</v>
      </c>
      <c r="KY71" s="127">
        <f>$B53*(1+$C$4)^(SUM($F$66:KY$66)+(SUM($F$67:KY$67)))</f>
        <v>0.18546233694143763</v>
      </c>
      <c r="KZ71" s="127">
        <f>$B53*(1+$C$4)^(SUM($F$66:KZ$66)+(SUM($F$67:KZ$67)))</f>
        <v>0.18546233694143763</v>
      </c>
      <c r="LA71" s="127">
        <f>$B53*(1+$C$4)^(SUM($F$66:LA$66)+(SUM($F$67:LA$67)))</f>
        <v>0.18546233694143763</v>
      </c>
      <c r="LB71" s="127">
        <f>$B53*(1+$C$4)^(SUM($F$66:LB$66)+(SUM($F$67:LB$67)))</f>
        <v>0.18546233694143763</v>
      </c>
      <c r="LC71" s="127">
        <f>$B53*(1+$C$4)^(SUM($F$66:LC$66)+(SUM($F$67:LC$67)))</f>
        <v>0.18546233694143763</v>
      </c>
      <c r="LD71" s="127">
        <f>$B53*(1+$C$4)^(SUM($F$66:LD$66)+(SUM($F$67:LD$67)))</f>
        <v>0.18546233694143763</v>
      </c>
      <c r="LE71" s="127">
        <f>$B53*(1+$C$4)^(SUM($F$66:LE$66)+(SUM($F$67:LE$67)))</f>
        <v>0.18546233694143763</v>
      </c>
      <c r="LF71" s="127">
        <f>$B53*(1+$C$4)^(SUM($F$66:LF$66)+(SUM($F$67:LF$67)))</f>
        <v>0.18546233694143763</v>
      </c>
      <c r="LG71" s="127">
        <f>$B53*(1+$C$4)^(SUM($F$66:LG$66)+(SUM($F$67:LG$67)))</f>
        <v>0.18546233694143763</v>
      </c>
      <c r="LH71" s="127">
        <f>$B53*(1+$C$4)^(SUM($F$66:LH$66)+(SUM($F$67:LH$67)))</f>
        <v>0.18546233694143763</v>
      </c>
      <c r="LI71" s="127">
        <f>$B53*(1+$C$4)^(SUM($F$66:LI$66)+(SUM($F$67:LI$67)))</f>
        <v>0.18546233694143763</v>
      </c>
      <c r="LJ71" s="127">
        <f>$B53*(1+$C$4)^(SUM($F$66:LJ$66)+(SUM($F$67:LJ$67)))</f>
        <v>0.18546233694143763</v>
      </c>
      <c r="LK71" s="127">
        <f>$B53*(1+$C$4)^(SUM($F$66:LK$66)+(SUM($F$67:LK$67)))</f>
        <v>0.18546233694143763</v>
      </c>
      <c r="LL71" s="127">
        <f>$B53*(1+$C$4)^(SUM($F$66:LL$66)+(SUM($F$67:LL$67)))</f>
        <v>0.18546233694143763</v>
      </c>
      <c r="LM71" s="127">
        <f>$B53*(1+$C$4)^(SUM($F$66:LM$66)+(SUM($F$67:LM$67)))</f>
        <v>0.18546233694143763</v>
      </c>
      <c r="LN71" s="127">
        <f>$B53*(1+$C$4)^(SUM($F$66:LN$66)+(SUM($F$67:LN$67)))</f>
        <v>0.18546233694143763</v>
      </c>
      <c r="LO71" s="127">
        <f>$B53*(1+$C$4)^(SUM($F$66:LO$66)+(SUM($F$67:LO$67)))</f>
        <v>0.18546233694143763</v>
      </c>
      <c r="LP71" s="127">
        <f>$B53*(1+$C$4)^(SUM($F$66:LP$66)+(SUM($F$67:LP$67)))</f>
        <v>0.18546233694143763</v>
      </c>
      <c r="LQ71" s="127">
        <f>$B53*(1+$C$4)^(SUM($F$66:LQ$66)+(SUM($F$67:LQ$67)))</f>
        <v>0.18546233694143763</v>
      </c>
      <c r="LR71" s="127">
        <f>$B53*(1+$C$4)^(SUM($F$66:LR$66)+(SUM($F$67:LR$67)))</f>
        <v>0.18546233694143763</v>
      </c>
      <c r="LS71" s="127">
        <f>$B53*(1+$C$4)^(SUM($F$66:LS$66)+(SUM($F$67:LS$67)))</f>
        <v>0.18546233694143763</v>
      </c>
      <c r="LT71" s="127">
        <f>$B53*(1+$C$4)^(SUM($F$66:LT$66)+(SUM($F$67:LT$67)))</f>
        <v>0.18546233694143763</v>
      </c>
      <c r="LU71" s="127">
        <f>$B53*(1+$C$4)^(SUM($F$66:LU$66)+(SUM($F$67:LU$67)))</f>
        <v>0.18546233694143763</v>
      </c>
      <c r="LV71" s="127">
        <f>$B53*(1+$C$4)^(SUM($F$66:LV$66)+(SUM($F$67:LV$67)))</f>
        <v>0.18546233694143763</v>
      </c>
      <c r="LW71" s="127">
        <f>$B53*(1+$C$4)^(SUM($F$66:LW$66)+(SUM($F$67:LW$67)))</f>
        <v>0.18546233694143763</v>
      </c>
      <c r="LX71" s="127">
        <f>$B53*(1+$C$4)^(SUM($F$66:LX$66)+(SUM($F$67:LX$67)))</f>
        <v>0.18546233694143763</v>
      </c>
      <c r="LY71" s="127">
        <f>$B53*(1+$C$4)^(SUM($F$66:LY$66)+(SUM($F$67:LY$67)))</f>
        <v>0.18546233694143763</v>
      </c>
      <c r="LZ71" s="127">
        <f>$B53*(1+$C$4)^(SUM($F$66:LZ$66)+(SUM($F$67:LZ$67)))</f>
        <v>0.18546233694143763</v>
      </c>
      <c r="MA71" s="127">
        <f>$B53*(1+$C$4)^(SUM($F$66:MA$66)+(SUM($F$67:MA$67)))</f>
        <v>0.18546233694143763</v>
      </c>
      <c r="MB71" s="127">
        <f>$B53*(1+$C$4)^(SUM($F$66:MB$66)+(SUM($F$67:MB$67)))</f>
        <v>0.18546233694143763</v>
      </c>
      <c r="MC71" s="127">
        <f>$B53*(1+$C$4)^(SUM($F$66:MC$66)+(SUM($F$67:MC$67)))</f>
        <v>0.18546233694143763</v>
      </c>
      <c r="MD71" s="127">
        <f>$B53*(1+$C$4)^(SUM($F$66:MD$66)+(SUM($F$67:MD$67)))</f>
        <v>0.18546233694143763</v>
      </c>
      <c r="ME71" s="127">
        <f>$B53*(1+$C$4)^(SUM($F$66:ME$66)+(SUM($F$67:ME$67)))</f>
        <v>0.18546233694143763</v>
      </c>
      <c r="MF71" s="127">
        <f>$B53*(1+$C$4)^(SUM($F$66:MF$66)+(SUM($F$67:MF$67)))</f>
        <v>0.18546233694143763</v>
      </c>
      <c r="MG71" s="127">
        <f>$B53*(1+$C$4)^(SUM($F$66:MG$66)+(SUM($F$67:MG$67)))</f>
        <v>0.18546233694143763</v>
      </c>
      <c r="MH71" s="127">
        <f>$B53*(1+$C$4)^(SUM($F$66:MH$66)+(SUM($F$67:MH$67)))</f>
        <v>0.18546233694143763</v>
      </c>
      <c r="MI71" s="127">
        <f>$B53*(1+$C$4)^(SUM($F$66:MI$66)+(SUM($F$67:MI$67)))</f>
        <v>0.18546233694143763</v>
      </c>
      <c r="MJ71" s="127">
        <f>$B53*(1+$C$4)^(SUM($F$66:MJ$66)+(SUM($F$67:MJ$67)))</f>
        <v>0.18546233694143763</v>
      </c>
      <c r="MK71" s="127">
        <f>$B53*(1+$C$4)^(SUM($F$66:MK$66)+(SUM($F$67:MK$67)))</f>
        <v>0.18546233694143763</v>
      </c>
      <c r="ML71" s="127">
        <f>$B53*(1+$C$4)^(SUM($F$66:ML$66)+(SUM($F$67:ML$67)))</f>
        <v>0.18546233694143763</v>
      </c>
      <c r="MM71" s="127">
        <f>$B53*(1+$C$4)^(SUM($F$66:MM$66)+(SUM($F$67:MM$67)))</f>
        <v>0.18546233694143763</v>
      </c>
      <c r="MN71" s="127">
        <f>$B53*(1+$C$4)^(SUM($F$66:MN$66)+(SUM($F$67:MN$67)))</f>
        <v>0.18546233694143763</v>
      </c>
      <c r="MO71" s="127">
        <f>$B53*(1+$C$4)^(SUM($F$66:MO$66)+(SUM($F$67:MO$67)))</f>
        <v>0.18546233694143763</v>
      </c>
      <c r="MP71" s="127">
        <f>$B53*(1+$C$4)^(SUM($F$66:MP$66)+(SUM($F$67:MP$67)))</f>
        <v>0.18546233694143763</v>
      </c>
      <c r="MQ71" s="127">
        <f>$B53*(1+$C$4)^(SUM($F$66:MQ$66)+(SUM($F$67:MQ$67)))</f>
        <v>0.18546233694143763</v>
      </c>
      <c r="MR71" s="127">
        <f>$B53*(1+$C$4)^(SUM($F$66:MR$66)+(SUM($F$67:MR$67)))</f>
        <v>0.18546233694143763</v>
      </c>
      <c r="MS71" s="127">
        <f>$B53*(1+$C$4)^(SUM($F$66:MS$66)+(SUM($F$67:MS$67)))</f>
        <v>0.18546233694143763</v>
      </c>
      <c r="MT71" s="127">
        <f>$B53*(1+$C$4)^(SUM($F$66:MT$66)+(SUM($F$67:MT$67)))</f>
        <v>0.18546233694143763</v>
      </c>
      <c r="MU71" s="127">
        <f>$B53*(1+$C$4)^(SUM($F$66:MU$66)+(SUM($F$67:MU$67)))</f>
        <v>0.18546233694143763</v>
      </c>
      <c r="MV71" s="127">
        <f>$B53*(1+$C$4)^(SUM($F$66:MV$66)+(SUM($F$67:MV$67)))</f>
        <v>0.18546233694143763</v>
      </c>
      <c r="MW71" s="127">
        <f>$B53*(1+$C$4)^(SUM($F$66:MW$66)+(SUM($F$67:MW$67)))</f>
        <v>0.18546233694143763</v>
      </c>
      <c r="MX71" s="127">
        <f>$B53*(1+$C$4)^(SUM($F$66:MX$66)+(SUM($F$67:MX$67)))</f>
        <v>0.18546233694143763</v>
      </c>
      <c r="MY71" s="127">
        <f>$B53*(1+$C$4)^(SUM($F$66:MY$66)+(SUM($F$67:MY$67)))</f>
        <v>0.18546233694143763</v>
      </c>
      <c r="MZ71" s="127">
        <f>$B53*(1+$C$4)^(SUM($F$66:MZ$66)+(SUM($F$67:MZ$67)))</f>
        <v>0.18546233694143763</v>
      </c>
      <c r="NA71" s="127">
        <f>$B53*(1+$C$4)^(SUM($F$66:NA$66)+(SUM($F$67:NA$67)))</f>
        <v>0.18546233694143763</v>
      </c>
      <c r="NB71" s="127">
        <f>$B53*(1+$C$4)^(SUM($F$66:NB$66)+(SUM($F$67:NB$67)))</f>
        <v>0.18546233694143763</v>
      </c>
      <c r="NC71" s="127">
        <f>$B53*(1+$C$4)^(SUM($F$66:NC$66)+(SUM($F$67:NC$67)))</f>
        <v>0.18546233694143763</v>
      </c>
      <c r="ND71" s="127">
        <f>$B53*(1+$C$4)^(SUM($F$66:ND$66)+(SUM($F$67:ND$67)))</f>
        <v>0.18546233694143763</v>
      </c>
      <c r="NE71" s="127">
        <f>$B53*(1+$C$4)^(SUM($F$66:NE$66)+(SUM($F$67:NE$67)))</f>
        <v>0.18546233694143763</v>
      </c>
      <c r="NF71" s="127">
        <f>$B53*(1+$C$4)^(SUM($F$66:NF$66)+(SUM($F$67:NF$67)))</f>
        <v>0.18546233694143763</v>
      </c>
      <c r="NG71" s="127">
        <f>$B53*(1+$C$4)^(SUM($F$66:NG$66)+(SUM($F$67:NG$67)))</f>
        <v>0.18546233694143763</v>
      </c>
      <c r="NH71" s="127">
        <f>$B53*(1+$C$4)^(SUM($F$66:NH$66)+(SUM($F$67:NH$67)))</f>
        <v>0.18546233694143763</v>
      </c>
      <c r="NI71" s="127">
        <f>$B53*(1+$C$4)^(SUM($F$66:NI$66)+(SUM($F$67:NI$67)))</f>
        <v>0.18546233694143763</v>
      </c>
      <c r="NJ71" s="127">
        <f>$B53*(1+$C$4)^(SUM($F$66:NJ$66)+(SUM($F$67:NJ$67)))</f>
        <v>0.18546233694143763</v>
      </c>
      <c r="NK71" s="127">
        <f>$B53*(1+$C$4)^(SUM($F$66:NK$66)+(SUM($F$67:NK$67)))</f>
        <v>0.18546233694143763</v>
      </c>
      <c r="NL71" s="127">
        <f>$B53*(1+$C$4)^(SUM($F$66:NL$66)+(SUM($F$67:NL$67)))</f>
        <v>0.18546233694143763</v>
      </c>
      <c r="NM71" s="127">
        <f>$B53*(1+$C$4)^(SUM($F$66:NM$66)+(SUM($F$67:NM$67)))</f>
        <v>0.18546233694143763</v>
      </c>
      <c r="NN71" s="127">
        <f>$B53*(1+$C$4)^(SUM($F$66:NN$66)+(SUM($F$67:NN$67)))</f>
        <v>0.18546233694143763</v>
      </c>
      <c r="NO71" s="127">
        <f>$B53*(1+$C$4)^(SUM($F$66:NO$66)+(SUM($F$67:NO$67)))</f>
        <v>0.18546233694143763</v>
      </c>
      <c r="NP71" s="127">
        <f>$B53*(1+$C$4)^(SUM($F$66:NP$66)+(SUM($F$67:NP$67)))</f>
        <v>0.18546233694143763</v>
      </c>
      <c r="NQ71" s="127">
        <f>$B53*(1+$C$4)^(SUM($F$66:NQ$66)+(SUM($F$67:NQ$67)))</f>
        <v>0.18546233694143763</v>
      </c>
      <c r="NR71" s="127">
        <f>$B53*(1+$C$4)^(SUM($F$66:NR$66)+(SUM($F$67:NR$67)))</f>
        <v>0.18546233694143763</v>
      </c>
      <c r="NS71" s="127">
        <f>$B53*(1+$C$4)^(SUM($F$66:NS$66)+(SUM($F$67:NS$67)))</f>
        <v>0.18546233694143763</v>
      </c>
      <c r="NT71" s="127">
        <f>$B53*(1+$C$4)^(SUM($F$66:NT$66)+(SUM($F$67:NT$67)))</f>
        <v>0.18546233694143763</v>
      </c>
      <c r="NU71" s="127">
        <f>$B53*(1+$C$4)^(SUM($F$66:NU$66)+(SUM($F$67:NU$67)))</f>
        <v>0.18546233694143763</v>
      </c>
      <c r="NV71" s="127">
        <f>$B53*(1+$C$4)^(SUM($F$66:NV$66)+(SUM($F$67:NV$67)))</f>
        <v>0.18546233694143763</v>
      </c>
      <c r="NW71" s="127">
        <f>$B53*(1+$C$4)^(SUM($F$66:NW$66)+(SUM($F$67:NW$67)))</f>
        <v>0.18546233694143763</v>
      </c>
      <c r="NX71" s="127">
        <f>$B53*(1+$C$4)^(SUM($F$66:NX$66)+(SUM($F$67:NX$67)))</f>
        <v>0.18546233694143763</v>
      </c>
      <c r="NY71" s="127">
        <f>$B53*(1+$C$4)^(SUM($F$66:NY$66)+(SUM($F$67:NY$67)))</f>
        <v>0.18546233694143763</v>
      </c>
      <c r="NZ71" s="127">
        <f>$B53*(1+$C$4)^(SUM($F$66:NZ$66)+(SUM($F$67:NZ$67)))</f>
        <v>0.18546233694143763</v>
      </c>
      <c r="OA71" s="127">
        <f>$B53*(1+$C$4)^(SUM($F$66:OA$66)+(SUM($F$67:OA$67)))</f>
        <v>0.18546233694143763</v>
      </c>
      <c r="OB71" s="127">
        <f>$B53*(1+$C$4)^(SUM($F$66:OB$66)+(SUM($F$67:OB$67)))</f>
        <v>0.18546233694143763</v>
      </c>
      <c r="OC71" s="127">
        <f>$B53*(1+$C$4)^(SUM($F$66:OC$66)+(SUM($F$67:OC$67)))</f>
        <v>0.18546233694143763</v>
      </c>
      <c r="OD71" s="127">
        <f>$B53*(1+$C$4)^(SUM($F$66:OD$66)+(SUM($F$67:OD$67)))</f>
        <v>0.18546233694143763</v>
      </c>
      <c r="OE71" s="127">
        <f>$B53*(1+$C$4)^(SUM($F$66:OE$66)+(SUM($F$67:OE$67)))</f>
        <v>0.18546233694143763</v>
      </c>
      <c r="OF71" s="127">
        <f>$B53*(1+$C$4)^(SUM($F$66:OF$66)+(SUM($F$67:OF$67)))</f>
        <v>0.18546233694143763</v>
      </c>
      <c r="OG71" s="127">
        <f>$B53*(1+$C$4)^(SUM($F$66:OG$66)+(SUM($F$67:OG$67)))</f>
        <v>0.18546233694143763</v>
      </c>
      <c r="OH71" s="127">
        <f>$B53*(1+$C$4)^(SUM($F$66:OH$66)+(SUM($F$67:OH$67)))</f>
        <v>0.18546233694143763</v>
      </c>
      <c r="OI71" s="127">
        <f>$B53*(1+$C$4)^(SUM($F$66:OI$66)+(SUM($F$67:OI$67)))</f>
        <v>0.18546233694143763</v>
      </c>
      <c r="OJ71" s="127">
        <f>$B53*(1+$C$4)^(SUM($F$66:OJ$66)+(SUM($F$67:OJ$67)))</f>
        <v>0.18546233694143763</v>
      </c>
      <c r="OK71" s="127">
        <f>$B53*(1+$C$4)^(SUM($F$66:OK$66)+(SUM($F$67:OK$67)))</f>
        <v>0.18546233694143763</v>
      </c>
      <c r="OL71" s="127">
        <f>$B53*(1+$C$4)^(SUM($F$66:OL$66)+(SUM($F$67:OL$67)))</f>
        <v>0.18546233694143763</v>
      </c>
      <c r="OM71" s="127">
        <f>$B53*(1+$C$4)^(SUM($F$66:OM$66)+(SUM($F$67:OM$67)))</f>
        <v>0.18546233694143763</v>
      </c>
      <c r="ON71" s="127">
        <f>$B53*(1+$C$4)^(SUM($F$66:ON$66)+(SUM($F$67:ON$67)))</f>
        <v>0.18546233694143763</v>
      </c>
      <c r="OO71" s="127">
        <f>$B53*(1+$C$4)^(SUM($F$66:OO$66)+(SUM($F$67:OO$67)))</f>
        <v>0.18546233694143763</v>
      </c>
      <c r="OP71" s="127">
        <f>$B53*(1+$C$4)^(SUM($F$66:OP$66)+(SUM($F$67:OP$67)))</f>
        <v>0.18546233694143763</v>
      </c>
      <c r="OQ71" s="127">
        <f>$B53*(1+$C$4)^(SUM($F$66:OQ$66)+(SUM($F$67:OQ$67)))</f>
        <v>0.18546233694143763</v>
      </c>
      <c r="OR71" s="127">
        <f>$B53*(1+$C$4)^(SUM($F$66:OR$66)+(SUM($F$67:OR$67)))</f>
        <v>0.18546233694143763</v>
      </c>
      <c r="OS71" s="127">
        <f>$B53*(1+$C$4)^(SUM($F$66:OS$66)+(SUM($F$67:OS$67)))</f>
        <v>0.18546233694143763</v>
      </c>
      <c r="OT71" s="127">
        <f>$B53*(1+$C$4)^(SUM($F$66:OT$66)+(SUM($F$67:OT$67)))</f>
        <v>0.18546233694143763</v>
      </c>
      <c r="OU71" s="127">
        <f>$B53*(1+$C$4)^(SUM($F$66:OU$66)+(SUM($F$67:OU$67)))</f>
        <v>0.18546233694143763</v>
      </c>
      <c r="OV71" s="127">
        <f>$B53*(1+$C$4)^(SUM($F$66:OV$66)+(SUM($F$67:OV$67)))</f>
        <v>0.18546233694143763</v>
      </c>
      <c r="OW71" s="127">
        <f>$B53*(1+$C$4)^(SUM($F$66:OW$66)+(SUM($F$67:OW$67)))</f>
        <v>0.18546233694143763</v>
      </c>
      <c r="OX71" s="127">
        <f>$B53*(1+$C$4)^(SUM($F$66:OX$66)+(SUM($F$67:OX$67)))</f>
        <v>0.18546233694143763</v>
      </c>
      <c r="OY71" s="127">
        <f>$B53*(1+$C$4)^(SUM($F$66:OY$66)+(SUM($F$67:OY$67)))</f>
        <v>0.18546233694143763</v>
      </c>
      <c r="OZ71" s="127">
        <f>$B53*(1+$C$4)^(SUM($F$66:OZ$66)+(SUM($F$67:OZ$67)))</f>
        <v>0.18546233694143763</v>
      </c>
      <c r="PA71" s="127">
        <f>$B53*(1+$C$4)^(SUM($F$66:PA$66)+(SUM($F$67:PA$67)))</f>
        <v>0.18546233694143763</v>
      </c>
      <c r="PB71" s="127">
        <f>$B53*(1+$C$4)^(SUM($F$66:PB$66)+(SUM($F$67:PB$67)))</f>
        <v>0.18546233694143763</v>
      </c>
      <c r="PC71" s="127">
        <f>$B53*(1+$C$4)^(SUM($F$66:PC$66)+(SUM($F$67:PC$67)))</f>
        <v>0.18546233694143763</v>
      </c>
      <c r="PD71" s="127">
        <f>$B53*(1+$C$4)^(SUM($F$66:PD$66)+(SUM($F$67:PD$67)))</f>
        <v>0.18546233694143763</v>
      </c>
      <c r="PE71" s="127">
        <f>$B53*(1+$C$4)^(SUM($F$66:PE$66)+(SUM($F$67:PE$67)))</f>
        <v>0.18546233694143763</v>
      </c>
      <c r="PF71" s="127">
        <f>$B53*(1+$C$4)^(SUM($F$66:PF$66)+(SUM($F$67:PF$67)))</f>
        <v>0.18546233694143763</v>
      </c>
      <c r="PG71" s="127">
        <f>$B53*(1+$C$4)^(SUM($F$66:PG$66)+(SUM($F$67:PG$67)))</f>
        <v>0.18546233694143763</v>
      </c>
      <c r="PH71" s="127">
        <f>$B53*(1+$C$4)^(SUM($F$66:PH$66)+(SUM($F$67:PH$67)))</f>
        <v>0.18546233694143763</v>
      </c>
      <c r="PI71" s="127">
        <f>$B53*(1+$C$4)^(SUM($F$66:PI$66)+(SUM($F$67:PI$67)))</f>
        <v>0.18546233694143763</v>
      </c>
      <c r="PJ71" s="127">
        <f>$B53*(1+$C$4)^(SUM($F$66:PJ$66)+(SUM($F$67:PJ$67)))</f>
        <v>0.18546233694143763</v>
      </c>
      <c r="PK71" s="127">
        <f>$B53*(1+$C$4)^(SUM($F$66:PK$66)+(SUM($F$67:PK$67)))</f>
        <v>0.18546233694143763</v>
      </c>
      <c r="PL71" s="127">
        <f>$B53*(1+$C$4)^(SUM($F$66:PL$66)+(SUM($F$67:PL$67)))</f>
        <v>0.18546233694143763</v>
      </c>
      <c r="PM71" s="127">
        <f>$B53*(1+$C$4)^(SUM($F$66:PM$66)+(SUM($F$67:PM$67)))</f>
        <v>0.18546233694143763</v>
      </c>
      <c r="PN71" s="127">
        <f>$B53*(1+$C$4)^(SUM($F$66:PN$66)+(SUM($F$67:PN$67)))</f>
        <v>0.18546233694143763</v>
      </c>
      <c r="PO71" s="127">
        <f>$B53*(1+$C$4)^(SUM($F$66:PO$66)+(SUM($F$67:PO$67)))</f>
        <v>0.18546233694143763</v>
      </c>
      <c r="PP71" s="127">
        <f>$B53*(1+$C$4)^(SUM($F$66:PP$66)+(SUM($F$67:PP$67)))</f>
        <v>0.18546233694143763</v>
      </c>
      <c r="PQ71" s="127">
        <f>$B53*(1+$C$4)^(SUM($F$66:PQ$66)+(SUM($F$67:PQ$67)))</f>
        <v>0.18546233694143763</v>
      </c>
      <c r="PR71" s="127">
        <f>$B53*(1+$C$4)^(SUM($F$66:PR$66)+(SUM($F$67:PR$67)))</f>
        <v>0.18546233694143763</v>
      </c>
      <c r="PS71" s="127">
        <f>$B53*(1+$C$4)^(SUM($F$66:PS$66)+(SUM($F$67:PS$67)))</f>
        <v>0.18546233694143763</v>
      </c>
      <c r="PT71" s="127">
        <f>$B53*(1+$C$4)^(SUM($F$66:PT$66)+(SUM($F$67:PT$67)))</f>
        <v>0.18546233694143763</v>
      </c>
      <c r="PU71" s="127">
        <f>$B53*(1+$C$4)^(SUM($F$66:PU$66)+(SUM($F$67:PU$67)))</f>
        <v>0.18546233694143763</v>
      </c>
      <c r="PV71" s="127">
        <f>$B53*(1+$C$4)^(SUM($F$66:PV$66)+(SUM($F$67:PV$67)))</f>
        <v>0.18546233694143763</v>
      </c>
      <c r="PW71" s="127">
        <f>$B53*(1+$C$4)^(SUM($F$66:PW$66)+(SUM($F$67:PW$67)))</f>
        <v>0.18546233694143763</v>
      </c>
      <c r="PX71" s="127">
        <f>$B53*(1+$C$4)^(SUM($F$66:PX$66)+(SUM($F$67:PX$67)))</f>
        <v>0.18546233694143763</v>
      </c>
      <c r="PY71" s="127">
        <f>$B53*(1+$C$4)^(SUM($F$66:PY$66)+(SUM($F$67:PY$67)))</f>
        <v>0.18546233694143763</v>
      </c>
      <c r="PZ71" s="127">
        <f>$B53*(1+$C$4)^(SUM($F$66:PZ$66)+(SUM($F$67:PZ$67)))</f>
        <v>0.18546233694143763</v>
      </c>
      <c r="QA71" s="127">
        <f>$B53*(1+$C$4)^(SUM($F$66:QA$66)+(SUM($F$67:QA$67)))</f>
        <v>0.18546233694143763</v>
      </c>
      <c r="QB71" s="127">
        <f>$B53*(1+$C$4)^(SUM($F$66:QB$66)+(SUM($F$67:QB$67)))</f>
        <v>0.18546233694143763</v>
      </c>
      <c r="QC71" s="127">
        <f>$B53*(1+$C$4)^(SUM($F$66:QC$66)+(SUM($F$67:QC$67)))</f>
        <v>0.18546233694143763</v>
      </c>
      <c r="QD71" s="127">
        <f>$B53*(1+$C$4)^(SUM($F$66:QD$66)+(SUM($F$67:QD$67)))</f>
        <v>0.18546233694143763</v>
      </c>
      <c r="QE71" s="127">
        <f>$B53*(1+$C$4)^(SUM($F$66:QE$66)+(SUM($F$67:QE$67)))</f>
        <v>0.18546233694143763</v>
      </c>
      <c r="QF71" s="127">
        <f>$B53*(1+$C$4)^(SUM($F$66:QF$66)+(SUM($F$67:QF$67)))</f>
        <v>0.18546233694143763</v>
      </c>
      <c r="QG71" s="127">
        <f>$B53*(1+$C$4)^(SUM($F$66:QG$66)+(SUM($F$67:QG$67)))</f>
        <v>0.18546233694143763</v>
      </c>
      <c r="QH71" s="127">
        <f>$B53*(1+$C$4)^(SUM($F$66:QH$66)+(SUM($F$67:QH$67)))</f>
        <v>0.18546233694143763</v>
      </c>
      <c r="QI71" s="127">
        <f>$B53*(1+$C$4)^(SUM($F$66:QI$66)+(SUM($F$67:QI$67)))</f>
        <v>0.18546233694143763</v>
      </c>
      <c r="QJ71" s="127">
        <f>$B53*(1+$C$4)^(SUM($F$66:QJ$66)+(SUM($F$67:QJ$67)))</f>
        <v>0.18546233694143763</v>
      </c>
      <c r="QK71" s="127">
        <f>$B53*(1+$C$4)^(SUM($F$66:QK$66)+(SUM($F$67:QK$67)))</f>
        <v>0.18546233694143763</v>
      </c>
      <c r="QL71" s="127">
        <f>$B53*(1+$C$4)^(SUM($F$66:QL$66)+(SUM($F$67:QL$67)))</f>
        <v>0.18546233694143763</v>
      </c>
      <c r="QM71" s="127">
        <f>$B53*(1+$C$4)^(SUM($F$66:QM$66)+(SUM($F$67:QM$67)))</f>
        <v>0.18546233694143763</v>
      </c>
      <c r="QN71" s="127">
        <f>$B53*(1+$C$4)^(SUM($F$66:QN$66)+(SUM($F$67:QN$67)))</f>
        <v>0.18546233694143763</v>
      </c>
      <c r="QO71" s="127">
        <f>$B53*(1+$C$4)^(SUM($F$66:QO$66)+(SUM($F$67:QO$67)))</f>
        <v>0.18546233694143763</v>
      </c>
      <c r="QP71" s="127">
        <f>$B53*(1+$C$4)^(SUM($F$66:QP$66)+(SUM($F$67:QP$67)))</f>
        <v>0.18546233694143763</v>
      </c>
      <c r="QQ71" s="127">
        <f>$B53*(1+$C$4)^(SUM($F$66:QQ$66)+(SUM($F$67:QQ$67)))</f>
        <v>0.18546233694143763</v>
      </c>
      <c r="QR71" s="127">
        <f>$B53*(1+$C$4)^(SUM($F$66:QR$66)+(SUM($F$67:QR$67)))</f>
        <v>0.18546233694143763</v>
      </c>
      <c r="QS71" s="127">
        <f>$B53*(1+$C$4)^(SUM($F$66:QS$66)+(SUM($F$67:QS$67)))</f>
        <v>0.18546233694143763</v>
      </c>
      <c r="QT71" s="127">
        <f>$B53*(1+$C$4)^(SUM($F$66:QT$66)+(SUM($F$67:QT$67)))</f>
        <v>0.18546233694143763</v>
      </c>
      <c r="QU71" s="127">
        <f>$B53*(1+$C$4)^(SUM($F$66:QU$66)+(SUM($F$67:QU$67)))</f>
        <v>0.18546233694143763</v>
      </c>
      <c r="QV71" s="127">
        <f>$B53*(1+$C$4)^(SUM($F$66:QV$66)+(SUM($F$67:QV$67)))</f>
        <v>0.18546233694143763</v>
      </c>
      <c r="QW71" s="127">
        <f>$B53*(1+$C$4)^(SUM($F$66:QW$66)+(SUM($F$67:QW$67)))</f>
        <v>0.18546233694143763</v>
      </c>
      <c r="QX71" s="127">
        <f>$B53*(1+$C$4)^(SUM($F$66:QX$66)+(SUM($F$67:QX$67)))</f>
        <v>0.18546233694143763</v>
      </c>
      <c r="QY71" s="127">
        <f>$B53*(1+$C$4)^(SUM($F$66:QY$66)+(SUM($F$67:QY$67)))</f>
        <v>0.18546233694143763</v>
      </c>
      <c r="QZ71" s="127">
        <f>$B53*(1+$C$4)^(SUM($F$66:QZ$66)+(SUM($F$67:QZ$67)))</f>
        <v>0.18546233694143763</v>
      </c>
      <c r="RA71" s="127">
        <f>$B53*(1+$C$4)^(SUM($F$66:RA$66)+(SUM($F$67:RA$67)))</f>
        <v>0.18546233694143763</v>
      </c>
      <c r="RB71" s="127">
        <f>$B53*(1+$C$4)^(SUM($F$66:RB$66)+(SUM($F$67:RB$67)))</f>
        <v>0.18546233694143763</v>
      </c>
      <c r="RC71" s="127">
        <f>$B53*(1+$C$4)^(SUM($F$66:RC$66)+(SUM($F$67:RC$67)))</f>
        <v>0.18546233694143763</v>
      </c>
      <c r="RD71" s="127">
        <f>$B53*(1+$C$4)^(SUM($F$66:RD$66)+(SUM($F$67:RD$67)))</f>
        <v>0.18546233694143763</v>
      </c>
      <c r="RE71" s="127">
        <f>$B53*(1+$C$4)^(SUM($F$66:RE$66)+(SUM($F$67:RE$67)))</f>
        <v>0.18546233694143763</v>
      </c>
      <c r="RF71" s="127">
        <f>$B53*(1+$C$4)^(SUM($F$66:RF$66)+(SUM($F$67:RF$67)))</f>
        <v>0.18546233694143763</v>
      </c>
      <c r="RG71" s="127">
        <f>$B53*(1+$C$4)^(SUM($F$66:RG$66)+(SUM($F$67:RG$67)))</f>
        <v>0.18546233694143763</v>
      </c>
      <c r="RH71" s="127">
        <f>$B53*(1+$C$4)^(SUM($F$66:RH$66)+(SUM($F$67:RH$67)))</f>
        <v>0.18546233694143763</v>
      </c>
      <c r="RI71" s="127">
        <f>$B53*(1+$C$4)^(SUM($F$66:RI$66)+(SUM($F$67:RI$67)))</f>
        <v>0.18546233694143763</v>
      </c>
      <c r="RJ71" s="127">
        <f>$B53*(1+$C$4)^(SUM($F$66:RJ$66)+(SUM($F$67:RJ$67)))</f>
        <v>0.18546233694143763</v>
      </c>
      <c r="RK71" s="127">
        <f>$B53*(1+$C$4)^(SUM($F$66:RK$66)+(SUM($F$67:RK$67)))</f>
        <v>0.18546233694143763</v>
      </c>
      <c r="RL71" s="127">
        <f>$B53*(1+$C$4)^(SUM($F$66:RL$66)+(SUM($F$67:RL$67)))</f>
        <v>0.18546233694143763</v>
      </c>
      <c r="RM71" s="127">
        <f>$B53*(1+$C$4)^(SUM($F$66:RM$66)+(SUM($F$67:RM$67)))</f>
        <v>0.18546233694143763</v>
      </c>
      <c r="RN71" s="127">
        <f>$B53*(1+$C$4)^(SUM($F$66:RN$66)+(SUM($F$67:RN$67)))</f>
        <v>0.18546233694143763</v>
      </c>
      <c r="RO71" s="127">
        <f>$B53*(1+$C$4)^(SUM($F$66:RO$66)+(SUM($F$67:RO$67)))</f>
        <v>0.18546233694143763</v>
      </c>
      <c r="RP71" s="127">
        <f>$B53*(1+$C$4)^(SUM($F$66:RP$66)+(SUM($F$67:RP$67)))</f>
        <v>0.18546233694143763</v>
      </c>
      <c r="RQ71" s="127">
        <f>$B53*(1+$C$4)^(SUM($F$66:RQ$66)+(SUM($F$67:RQ$67)))</f>
        <v>0.18546233694143763</v>
      </c>
      <c r="RR71" s="127">
        <f>$B53*(1+$C$4)^(SUM($F$66:RR$66)+(SUM($F$67:RR$67)))</f>
        <v>0.18546233694143763</v>
      </c>
    </row>
    <row r="72" spans="1:486" s="9" customFormat="1">
      <c r="A72" s="289"/>
      <c r="B72" s="39" t="s">
        <v>233</v>
      </c>
      <c r="E72" s="127">
        <f t="shared" si="27"/>
        <v>0.18836575274670889</v>
      </c>
      <c r="F72" s="127">
        <f>$B54*(1+$C$4)^(SUM($F$66:F$66)+(SUM($F$67:F$67)))</f>
        <v>0.18836575274670889</v>
      </c>
      <c r="G72" s="127">
        <f>$B54*(1+$C$4)^(SUM($F$66:G$66)+(SUM($F$67:G$67)))</f>
        <v>0.18836575274670889</v>
      </c>
      <c r="H72" s="127">
        <f>$B54*(1+$C$4)^(SUM($F$66:H$66)+(SUM($F$67:H$67)))</f>
        <v>0.18836575274670889</v>
      </c>
      <c r="I72" s="127">
        <f>$B54*(1+$C$4)^(SUM($F$66:I$66)+(SUM($F$67:I$67)))</f>
        <v>0.18836575274670889</v>
      </c>
      <c r="J72" s="127">
        <f>$B54*(1+$C$4)^(SUM($F$66:J$66)+(SUM($F$67:J$67)))</f>
        <v>0.18836575274670889</v>
      </c>
      <c r="K72" s="127">
        <f>$B54*(1+$C$4)^(SUM($F$66:K$66)+(SUM($F$67:K$67)))</f>
        <v>0.18836575274670889</v>
      </c>
      <c r="L72" s="127">
        <f>$B54*(1+$C$4)^(SUM($F$66:L$66)+(SUM($F$67:L$67)))</f>
        <v>0.18836575274670889</v>
      </c>
      <c r="M72" s="127">
        <f>$B54*(1+$C$4)^(SUM($F$66:M$66)+(SUM($F$67:M$67)))</f>
        <v>0.18836575274670889</v>
      </c>
      <c r="N72" s="127">
        <f>$B54*(1+$C$4)^(SUM($F$66:N$66)+(SUM($F$67:N$67)))</f>
        <v>0.18836575274670889</v>
      </c>
      <c r="O72" s="127">
        <f>$B54*(1+$C$4)^(SUM($F$66:O$66)+(SUM($F$67:O$67)))</f>
        <v>0.18836575274670889</v>
      </c>
      <c r="P72" s="127">
        <f>$B54*(1+$C$4)^(SUM($F$66:P$66)+(SUM($F$67:P$67)))</f>
        <v>0.18836575274670889</v>
      </c>
      <c r="Q72" s="127">
        <f>$B54*(1+$C$4)^(SUM($F$66:Q$66)+(SUM($F$67:Q$67)))</f>
        <v>0.18836575274670889</v>
      </c>
      <c r="R72" s="127">
        <f>$B54*(1+$C$4)^(SUM($F$66:R$66)+(SUM($F$67:R$67)))</f>
        <v>0.18836575274670889</v>
      </c>
      <c r="S72" s="127">
        <f>$B54*(1+$C$4)^(SUM($F$66:S$66)+(SUM($F$67:S$67)))</f>
        <v>0.18836575274670889</v>
      </c>
      <c r="T72" s="127">
        <f>$B54*(1+$C$4)^(SUM($F$66:T$66)+(SUM($F$67:T$67)))</f>
        <v>0.18836575274670889</v>
      </c>
      <c r="U72" s="127">
        <f>$B54*(1+$C$4)^(SUM($F$66:U$66)+(SUM($F$67:U$67)))</f>
        <v>0.18836575274670889</v>
      </c>
      <c r="V72" s="127">
        <f>$B54*(1+$C$4)^(SUM($F$66:V$66)+(SUM($F$67:V$67)))</f>
        <v>0.18836575274670889</v>
      </c>
      <c r="W72" s="127">
        <f>$B54*(1+$C$4)^(SUM($F$66:W$66)+(SUM($F$67:W$67)))</f>
        <v>0.18836575274670889</v>
      </c>
      <c r="X72" s="127">
        <f>$B54*(1+$C$4)^(SUM($F$66:X$66)+(SUM($F$67:X$67)))</f>
        <v>0.18836575274670889</v>
      </c>
      <c r="Y72" s="127">
        <f>$B54*(1+$C$4)^(SUM($F$66:Y$66)+(SUM($F$67:Y$67)))</f>
        <v>0.18836575274670889</v>
      </c>
      <c r="Z72" s="127">
        <f>$B54*(1+$C$4)^(SUM($F$66:Z$66)+(SUM($F$67:Z$67)))</f>
        <v>0.18836575274670889</v>
      </c>
      <c r="AA72" s="127">
        <f>$B54*(1+$C$4)^(SUM($F$66:AA$66)+(SUM($F$67:AA$67)))</f>
        <v>0.18836575274670889</v>
      </c>
      <c r="AB72" s="127">
        <f>$B54*(1+$C$4)^(SUM($F$66:AB$66)+(SUM($F$67:AB$67)))</f>
        <v>0.18836575274670889</v>
      </c>
      <c r="AC72" s="127">
        <f>$B54*(1+$C$4)^(SUM($F$66:AC$66)+(SUM($F$67:AC$67)))</f>
        <v>0.18836575274670889</v>
      </c>
      <c r="AD72" s="127">
        <f>$B54*(1+$C$4)^(SUM($F$66:AD$66)+(SUM($F$67:AD$67)))</f>
        <v>0.18836575274670889</v>
      </c>
      <c r="AE72" s="127">
        <f>$B54*(1+$C$4)^(SUM($F$66:AE$66)+(SUM($F$67:AE$67)))</f>
        <v>0.18836575274670889</v>
      </c>
      <c r="AF72" s="127">
        <f>$B54*(1+$C$4)^(SUM($F$66:AF$66)+(SUM($F$67:AF$67)))</f>
        <v>0.18836575274670889</v>
      </c>
      <c r="AG72" s="127">
        <f>$B54*(1+$C$4)^(SUM($F$66:AG$66)+(SUM($F$67:AG$67)))</f>
        <v>0.18836575274670889</v>
      </c>
      <c r="AH72" s="127">
        <f>$B54*(1+$C$4)^(SUM($F$66:AH$66)+(SUM($F$67:AH$67)))</f>
        <v>0.18836575274670889</v>
      </c>
      <c r="AI72" s="127">
        <f>$B54*(1+$C$4)^(SUM($F$66:AI$66)+(SUM($F$67:AI$67)))</f>
        <v>0.18836575274670889</v>
      </c>
      <c r="AJ72" s="127">
        <f>$B54*(1+$C$4)^(SUM($F$66:AJ$66)+(SUM($F$67:AJ$67)))</f>
        <v>0.18836575274670889</v>
      </c>
      <c r="AK72" s="127">
        <f>$B54*(1+$C$4)^(SUM($F$66:AK$66)+(SUM($F$67:AK$67)))</f>
        <v>0.18836575274670889</v>
      </c>
      <c r="AL72" s="127">
        <f>$B54*(1+$C$4)^(SUM($F$66:AL$66)+(SUM($F$67:AL$67)))</f>
        <v>0.18836575274670889</v>
      </c>
      <c r="AM72" s="127">
        <f>$B54*(1+$C$4)^(SUM($F$66:AM$66)+(SUM($F$67:AM$67)))</f>
        <v>0.18836575274670889</v>
      </c>
      <c r="AN72" s="127">
        <f>$B54*(1+$C$4)^(SUM($F$66:AN$66)+(SUM($F$67:AN$67)))</f>
        <v>0.18836575274670889</v>
      </c>
      <c r="AO72" s="127">
        <f>$B54*(1+$C$4)^(SUM($F$66:AO$66)+(SUM($F$67:AO$67)))</f>
        <v>0.18836575274670889</v>
      </c>
      <c r="AP72" s="127">
        <f>$B54*(1+$C$4)^(SUM($F$66:AP$66)+(SUM($F$67:AP$67)))</f>
        <v>0.18836575274670889</v>
      </c>
      <c r="AQ72" s="127">
        <f>$B54*(1+$C$4)^(SUM($F$66:AQ$66)+(SUM($F$67:AQ$67)))</f>
        <v>0.18836575274670889</v>
      </c>
      <c r="AR72" s="127">
        <f>$B54*(1+$C$4)^(SUM($F$66:AR$66)+(SUM($F$67:AR$67)))</f>
        <v>0.18836575274670889</v>
      </c>
      <c r="AS72" s="127">
        <f>$B54*(1+$C$4)^(SUM($F$66:AS$66)+(SUM($F$67:AS$67)))</f>
        <v>0.18836575274670889</v>
      </c>
      <c r="AT72" s="127">
        <f>$B54*(1+$C$4)^(SUM($F$66:AT$66)+(SUM($F$67:AT$67)))</f>
        <v>0.18836575274670889</v>
      </c>
      <c r="AU72" s="127">
        <f>$B54*(1+$C$4)^(SUM($F$66:AU$66)+(SUM($F$67:AU$67)))</f>
        <v>0.18836575274670889</v>
      </c>
      <c r="AV72" s="127">
        <f>$B54*(1+$C$4)^(SUM($F$66:AV$66)+(SUM($F$67:AV$67)))</f>
        <v>0.18836575274670889</v>
      </c>
      <c r="AW72" s="127">
        <f>$B54*(1+$C$4)^(SUM($F$66:AW$66)+(SUM($F$67:AW$67)))</f>
        <v>0.18836575274670889</v>
      </c>
      <c r="AX72" s="127">
        <f>$B54*(1+$C$4)^(SUM($F$66:AX$66)+(SUM($F$67:AX$67)))</f>
        <v>0.18836575274670889</v>
      </c>
      <c r="AY72" s="127">
        <f>$B54*(1+$C$4)^(SUM($F$66:AY$66)+(SUM($F$67:AY$67)))</f>
        <v>0.18836575274670889</v>
      </c>
      <c r="AZ72" s="127">
        <f>$B54*(1+$C$4)^(SUM($F$66:AZ$66)+(SUM($F$67:AZ$67)))</f>
        <v>0.18836575274670889</v>
      </c>
      <c r="BA72" s="127">
        <f>$B54*(1+$C$4)^(SUM($F$66:BA$66)+(SUM($F$67:BA$67)))</f>
        <v>0.18836575274670889</v>
      </c>
      <c r="BB72" s="127">
        <f>$B54*(1+$C$4)^(SUM($F$66:BB$66)+(SUM($F$67:BB$67)))</f>
        <v>0.18836575274670889</v>
      </c>
      <c r="BC72" s="127">
        <f>$B54*(1+$C$4)^(SUM($F$66:BC$66)+(SUM($F$67:BC$67)))</f>
        <v>0.18836575274670889</v>
      </c>
      <c r="BD72" s="127">
        <f>$B54*(1+$C$4)^(SUM($F$66:BD$66)+(SUM($F$67:BD$67)))</f>
        <v>0.18836575274670889</v>
      </c>
      <c r="BE72" s="127">
        <f>$B54*(1+$C$4)^(SUM($F$66:BE$66)+(SUM($F$67:BE$67)))</f>
        <v>0.18836575274670889</v>
      </c>
      <c r="BF72" s="127">
        <f>$B54*(1+$C$4)^(SUM($F$66:BF$66)+(SUM($F$67:BF$67)))</f>
        <v>0.18836575274670889</v>
      </c>
      <c r="BG72" s="127">
        <f>$B54*(1+$C$4)^(SUM($F$66:BG$66)+(SUM($F$67:BG$67)))</f>
        <v>0.18836575274670889</v>
      </c>
      <c r="BH72" s="127">
        <f>$B54*(1+$C$4)^(SUM($F$66:BH$66)+(SUM($F$67:BH$67)))</f>
        <v>0.18836575274670889</v>
      </c>
      <c r="BI72" s="127">
        <f>$B54*(1+$C$4)^(SUM($F$66:BI$66)+(SUM($F$67:BI$67)))</f>
        <v>0.18836575274670889</v>
      </c>
      <c r="BJ72" s="127">
        <f>$B54*(1+$C$4)^(SUM($F$66:BJ$66)+(SUM($F$67:BJ$67)))</f>
        <v>0.18836575274670889</v>
      </c>
      <c r="BK72" s="127">
        <f>$B54*(1+$C$4)^(SUM($F$66:BK$66)+(SUM($F$67:BK$67)))</f>
        <v>0.18836575274670889</v>
      </c>
      <c r="BL72" s="127">
        <f>$B54*(1+$C$4)^(SUM($F$66:BL$66)+(SUM($F$67:BL$67)))</f>
        <v>0.18836575274670889</v>
      </c>
      <c r="BM72" s="127">
        <f>$B54*(1+$C$4)^(SUM($F$66:BM$66)+(SUM($F$67:BM$67)))</f>
        <v>0.18836575274670889</v>
      </c>
      <c r="BN72" s="127">
        <f>$B54*(1+$C$4)^(SUM($F$66:BN$66)+(SUM($F$67:BN$67)))</f>
        <v>0.18836575274670889</v>
      </c>
      <c r="BO72" s="127">
        <f>$B54*(1+$C$4)^(SUM($F$66:BO$66)+(SUM($F$67:BO$67)))</f>
        <v>0.18836575274670889</v>
      </c>
      <c r="BP72" s="127">
        <f>$B54*(1+$C$4)^(SUM($F$66:BP$66)+(SUM($F$67:BP$67)))</f>
        <v>0.18836575274670889</v>
      </c>
      <c r="BQ72" s="127">
        <f>$B54*(1+$C$4)^(SUM($F$66:BQ$66)+(SUM($F$67:BQ$67)))</f>
        <v>0.18836575274670889</v>
      </c>
      <c r="BR72" s="127">
        <f>$B54*(1+$C$4)^(SUM($F$66:BR$66)+(SUM($F$67:BR$67)))</f>
        <v>0.18836575274670889</v>
      </c>
      <c r="BS72" s="127">
        <f>$B54*(1+$C$4)^(SUM($F$66:BS$66)+(SUM($F$67:BS$67)))</f>
        <v>0.18836575274670889</v>
      </c>
      <c r="BT72" s="127">
        <f>$B54*(1+$C$4)^(SUM($F$66:BT$66)+(SUM($F$67:BT$67)))</f>
        <v>0.18836575274670889</v>
      </c>
      <c r="BU72" s="127">
        <f>$B54*(1+$C$4)^(SUM($F$66:BU$66)+(SUM($F$67:BU$67)))</f>
        <v>0.18836575274670889</v>
      </c>
      <c r="BV72" s="127">
        <f>$B54*(1+$C$4)^(SUM($F$66:BV$66)+(SUM($F$67:BV$67)))</f>
        <v>0.18836575274670889</v>
      </c>
      <c r="BW72" s="127">
        <f>$B54*(1+$C$4)^(SUM($F$66:BW$66)+(SUM($F$67:BW$67)))</f>
        <v>0.18836575274670889</v>
      </c>
      <c r="BX72" s="127">
        <f>$B54*(1+$C$4)^(SUM($F$66:BX$66)+(SUM($F$67:BX$67)))</f>
        <v>0.18836575274670889</v>
      </c>
      <c r="BY72" s="127">
        <f>$B54*(1+$C$4)^(SUM($F$66:BY$66)+(SUM($F$67:BY$67)))</f>
        <v>0.18836575274670889</v>
      </c>
      <c r="BZ72" s="127">
        <f>$B54*(1+$C$4)^(SUM($F$66:BZ$66)+(SUM($F$67:BZ$67)))</f>
        <v>0.18836575274670889</v>
      </c>
      <c r="CA72" s="127">
        <f>$B54*(1+$C$4)^(SUM($F$66:CA$66)+(SUM($F$67:CA$67)))</f>
        <v>0.18836575274670889</v>
      </c>
      <c r="CB72" s="127">
        <f>$B54*(1+$C$4)^(SUM($F$66:CB$66)+(SUM($F$67:CB$67)))</f>
        <v>0.18836575274670889</v>
      </c>
      <c r="CC72" s="127">
        <f>$B54*(1+$C$4)^(SUM($F$66:CC$66)+(SUM($F$67:CC$67)))</f>
        <v>0.18836575274670889</v>
      </c>
      <c r="CD72" s="127">
        <f>$B54*(1+$C$4)^(SUM($F$66:CD$66)+(SUM($F$67:CD$67)))</f>
        <v>0.18836575274670889</v>
      </c>
      <c r="CE72" s="127">
        <f>$B54*(1+$C$4)^(SUM($F$66:CE$66)+(SUM($F$67:CE$67)))</f>
        <v>0.18836575274670889</v>
      </c>
      <c r="CF72" s="127">
        <f>$B54*(1+$C$4)^(SUM($F$66:CF$66)+(SUM($F$67:CF$67)))</f>
        <v>0.18836575274670889</v>
      </c>
      <c r="CG72" s="127">
        <f>$B54*(1+$C$4)^(SUM($F$66:CG$66)+(SUM($F$67:CG$67)))</f>
        <v>0.18836575274670889</v>
      </c>
      <c r="CH72" s="127">
        <f>$B54*(1+$C$4)^(SUM($F$66:CH$66)+(SUM($F$67:CH$67)))</f>
        <v>0.18836575274670889</v>
      </c>
      <c r="CI72" s="127">
        <f>$B54*(1+$C$4)^(SUM($F$66:CI$66)+(SUM($F$67:CI$67)))</f>
        <v>0.18836575274670889</v>
      </c>
      <c r="CJ72" s="127">
        <f>$B54*(1+$C$4)^(SUM($F$66:CJ$66)+(SUM($F$67:CJ$67)))</f>
        <v>0.18836575274670889</v>
      </c>
      <c r="CK72" s="127">
        <f>$B54*(1+$C$4)^(SUM($F$66:CK$66)+(SUM($F$67:CK$67)))</f>
        <v>0.18836575274670889</v>
      </c>
      <c r="CL72" s="127">
        <f>$B54*(1+$C$4)^(SUM($F$66:CL$66)+(SUM($F$67:CL$67)))</f>
        <v>0.18836575274670889</v>
      </c>
      <c r="CM72" s="127">
        <f>$B54*(1+$C$4)^(SUM($F$66:CM$66)+(SUM($F$67:CM$67)))</f>
        <v>0.18836575274670889</v>
      </c>
      <c r="CN72" s="127">
        <f>$B54*(1+$C$4)^(SUM($F$66:CN$66)+(SUM($F$67:CN$67)))</f>
        <v>0.18836575274670889</v>
      </c>
      <c r="CO72" s="127">
        <f>$B54*(1+$C$4)^(SUM($F$66:CO$66)+(SUM($F$67:CO$67)))</f>
        <v>0.18836575274670889</v>
      </c>
      <c r="CP72" s="127">
        <f>$B54*(1+$C$4)^(SUM($F$66:CP$66)+(SUM($F$67:CP$67)))</f>
        <v>0.18836575274670889</v>
      </c>
      <c r="CQ72" s="127">
        <f>$B54*(1+$C$4)^(SUM($F$66:CQ$66)+(SUM($F$67:CQ$67)))</f>
        <v>0.18836575274670889</v>
      </c>
      <c r="CR72" s="127">
        <f>$B54*(1+$C$4)^(SUM($F$66:CR$66)+(SUM($F$67:CR$67)))</f>
        <v>0.18836575274670889</v>
      </c>
      <c r="CS72" s="127">
        <f>$B54*(1+$C$4)^(SUM($F$66:CS$66)+(SUM($F$67:CS$67)))</f>
        <v>0.18836575274670889</v>
      </c>
      <c r="CT72" s="127">
        <f>$B54*(1+$C$4)^(SUM($F$66:CT$66)+(SUM($F$67:CT$67)))</f>
        <v>0.18836575274670889</v>
      </c>
      <c r="CU72" s="127">
        <f>$B54*(1+$C$4)^(SUM($F$66:CU$66)+(SUM($F$67:CU$67)))</f>
        <v>0.18836575274670889</v>
      </c>
      <c r="CV72" s="127">
        <f>$B54*(1+$C$4)^(SUM($F$66:CV$66)+(SUM($F$67:CV$67)))</f>
        <v>0.18836575274670889</v>
      </c>
      <c r="CW72" s="127">
        <f>$B54*(1+$C$4)^(SUM($F$66:CW$66)+(SUM($F$67:CW$67)))</f>
        <v>0.18836575274670889</v>
      </c>
      <c r="CX72" s="127">
        <f>$B54*(1+$C$4)^(SUM($F$66:CX$66)+(SUM($F$67:CX$67)))</f>
        <v>0.18836575274670889</v>
      </c>
      <c r="CY72" s="127">
        <f>$B54*(1+$C$4)^(SUM($F$66:CY$66)+(SUM($F$67:CY$67)))</f>
        <v>0.18836575274670889</v>
      </c>
      <c r="CZ72" s="127">
        <f>$B54*(1+$C$4)^(SUM($F$66:CZ$66)+(SUM($F$67:CZ$67)))</f>
        <v>0.18836575274670889</v>
      </c>
      <c r="DA72" s="127">
        <f>$B54*(1+$C$4)^(SUM($F$66:DA$66)+(SUM($F$67:DA$67)))</f>
        <v>0.18836575274670889</v>
      </c>
      <c r="DB72" s="127">
        <f>$B54*(1+$C$4)^(SUM($F$66:DB$66)+(SUM($F$67:DB$67)))</f>
        <v>0.18836575274670889</v>
      </c>
      <c r="DC72" s="127">
        <f>$B54*(1+$C$4)^(SUM($F$66:DC$66)+(SUM($F$67:DC$67)))</f>
        <v>0.18836575274670889</v>
      </c>
      <c r="DD72" s="127">
        <f>$B54*(1+$C$4)^(SUM($F$66:DD$66)+(SUM($F$67:DD$67)))</f>
        <v>0.18836575274670889</v>
      </c>
      <c r="DE72" s="127">
        <f>$B54*(1+$C$4)^(SUM($F$66:DE$66)+(SUM($F$67:DE$67)))</f>
        <v>0.18836575274670889</v>
      </c>
      <c r="DF72" s="127">
        <f>$B54*(1+$C$4)^(SUM($F$66:DF$66)+(SUM($F$67:DF$67)))</f>
        <v>0.18836575274670889</v>
      </c>
      <c r="DG72" s="127">
        <f>$B54*(1+$C$4)^(SUM($F$66:DG$66)+(SUM($F$67:DG$67)))</f>
        <v>0.18836575274670889</v>
      </c>
      <c r="DH72" s="127">
        <f>$B54*(1+$C$4)^(SUM($F$66:DH$66)+(SUM($F$67:DH$67)))</f>
        <v>0.18836575274670889</v>
      </c>
      <c r="DI72" s="127">
        <f>$B54*(1+$C$4)^(SUM($F$66:DI$66)+(SUM($F$67:DI$67)))</f>
        <v>0.18836575274670889</v>
      </c>
      <c r="DJ72" s="127">
        <f>$B54*(1+$C$4)^(SUM($F$66:DJ$66)+(SUM($F$67:DJ$67)))</f>
        <v>0.18836575274670889</v>
      </c>
      <c r="DK72" s="127">
        <f>$B54*(1+$C$4)^(SUM($F$66:DK$66)+(SUM($F$67:DK$67)))</f>
        <v>0.18836575274670889</v>
      </c>
      <c r="DL72" s="127">
        <f>$B54*(1+$C$4)^(SUM($F$66:DL$66)+(SUM($F$67:DL$67)))</f>
        <v>0.18836575274670889</v>
      </c>
      <c r="DM72" s="127">
        <f>$B54*(1+$C$4)^(SUM($F$66:DM$66)+(SUM($F$67:DM$67)))</f>
        <v>0.18836575274670889</v>
      </c>
      <c r="DN72" s="127">
        <f>$B54*(1+$C$4)^(SUM($F$66:DN$66)+(SUM($F$67:DN$67)))</f>
        <v>0.18836575274670889</v>
      </c>
      <c r="DO72" s="127">
        <f>$B54*(1+$C$4)^(SUM($F$66:DO$66)+(SUM($F$67:DO$67)))</f>
        <v>0.18836575274670889</v>
      </c>
      <c r="DP72" s="127">
        <f>$B54*(1+$C$4)^(SUM($F$66:DP$66)+(SUM($F$67:DP$67)))</f>
        <v>0.18836575274670889</v>
      </c>
      <c r="DQ72" s="127">
        <f>$B54*(1+$C$4)^(SUM($F$66:DQ$66)+(SUM($F$67:DQ$67)))</f>
        <v>0.18836575274670889</v>
      </c>
      <c r="DR72" s="127">
        <f>$B54*(1+$C$4)^(SUM($F$66:DR$66)+(SUM($F$67:DR$67)))</f>
        <v>0.18836575274670889</v>
      </c>
      <c r="DS72" s="127">
        <f>$B54*(1+$C$4)^(SUM($F$66:DS$66)+(SUM($F$67:DS$67)))</f>
        <v>0.18836575274670889</v>
      </c>
      <c r="DT72" s="127">
        <f>$B54*(1+$C$4)^(SUM($F$66:DT$66)+(SUM($F$67:DT$67)))</f>
        <v>0.18836575274670889</v>
      </c>
      <c r="DU72" s="127">
        <f>$B54*(1+$C$4)^(SUM($F$66:DU$66)+(SUM($F$67:DU$67)))</f>
        <v>0.18836575274670889</v>
      </c>
      <c r="DV72" s="127">
        <f>$B54*(1+$C$4)^(SUM($F$66:DV$66)+(SUM($F$67:DV$67)))</f>
        <v>0.18836575274670889</v>
      </c>
      <c r="DW72" s="127">
        <f>$B54*(1+$C$4)^(SUM($F$66:DW$66)+(SUM($F$67:DW$67)))</f>
        <v>0.18836575274670889</v>
      </c>
      <c r="DX72" s="127">
        <f>$B54*(1+$C$4)^(SUM($F$66:DX$66)+(SUM($F$67:DX$67)))</f>
        <v>0.18836575274670889</v>
      </c>
      <c r="DY72" s="127">
        <f>$B54*(1+$C$4)^(SUM($F$66:DY$66)+(SUM($F$67:DY$67)))</f>
        <v>0.18836575274670889</v>
      </c>
      <c r="DZ72" s="127">
        <f>$B54*(1+$C$4)^(SUM($F$66:DZ$66)+(SUM($F$67:DZ$67)))</f>
        <v>0.18836575274670889</v>
      </c>
      <c r="EA72" s="127">
        <f>$B54*(1+$C$4)^(SUM($F$66:EA$66)+(SUM($F$67:EA$67)))</f>
        <v>0.18836575274670889</v>
      </c>
      <c r="EB72" s="127">
        <f>$B54*(1+$C$4)^(SUM($F$66:EB$66)+(SUM($F$67:EB$67)))</f>
        <v>0.18836575274670889</v>
      </c>
      <c r="EC72" s="127">
        <f>$B54*(1+$C$4)^(SUM($F$66:EC$66)+(SUM($F$67:EC$67)))</f>
        <v>0.18836575274670889</v>
      </c>
      <c r="ED72" s="127">
        <f>$B54*(1+$C$4)^(SUM($F$66:ED$66)+(SUM($F$67:ED$67)))</f>
        <v>0.18836575274670889</v>
      </c>
      <c r="EE72" s="127">
        <f>$B54*(1+$C$4)^(SUM($F$66:EE$66)+(SUM($F$67:EE$67)))</f>
        <v>0.18836575274670889</v>
      </c>
      <c r="EF72" s="127">
        <f>$B54*(1+$C$4)^(SUM($F$66:EF$66)+(SUM($F$67:EF$67)))</f>
        <v>0.18836575274670889</v>
      </c>
      <c r="EG72" s="127">
        <f>$B54*(1+$C$4)^(SUM($F$66:EG$66)+(SUM($F$67:EG$67)))</f>
        <v>0.18836575274670889</v>
      </c>
      <c r="EH72" s="127">
        <f>$B54*(1+$C$4)^(SUM($F$66:EH$66)+(SUM($F$67:EH$67)))</f>
        <v>0.18836575274670889</v>
      </c>
      <c r="EI72" s="127">
        <f>$B54*(1+$C$4)^(SUM($F$66:EI$66)+(SUM($F$67:EI$67)))</f>
        <v>0.18836575274670889</v>
      </c>
      <c r="EJ72" s="127">
        <f>$B54*(1+$C$4)^(SUM($F$66:EJ$66)+(SUM($F$67:EJ$67)))</f>
        <v>0.18836575274670889</v>
      </c>
      <c r="EK72" s="127">
        <f>$B54*(1+$C$4)^(SUM($F$66:EK$66)+(SUM($F$67:EK$67)))</f>
        <v>0.18836575274670889</v>
      </c>
      <c r="EL72" s="127">
        <f>$B54*(1+$C$4)^(SUM($F$66:EL$66)+(SUM($F$67:EL$67)))</f>
        <v>0.18836575274670889</v>
      </c>
      <c r="EM72" s="127">
        <f>$B54*(1+$C$4)^(SUM($F$66:EM$66)+(SUM($F$67:EM$67)))</f>
        <v>0.18836575274670889</v>
      </c>
      <c r="EN72" s="127">
        <f>$B54*(1+$C$4)^(SUM($F$66:EN$66)+(SUM($F$67:EN$67)))</f>
        <v>0.18836575274670889</v>
      </c>
      <c r="EO72" s="127">
        <f>$B54*(1+$C$4)^(SUM($F$66:EO$66)+(SUM($F$67:EO$67)))</f>
        <v>0.18836575274670889</v>
      </c>
      <c r="EP72" s="127">
        <f>$B54*(1+$C$4)^(SUM($F$66:EP$66)+(SUM($F$67:EP$67)))</f>
        <v>0.18836575274670889</v>
      </c>
      <c r="EQ72" s="127">
        <f>$B54*(1+$C$4)^(SUM($F$66:EQ$66)+(SUM($F$67:EQ$67)))</f>
        <v>0.18836575274670889</v>
      </c>
      <c r="ER72" s="127">
        <f>$B54*(1+$C$4)^(SUM($F$66:ER$66)+(SUM($F$67:ER$67)))</f>
        <v>0.18836575274670889</v>
      </c>
      <c r="ES72" s="127">
        <f>$B54*(1+$C$4)^(SUM($F$66:ES$66)+(SUM($F$67:ES$67)))</f>
        <v>0.18836575274670889</v>
      </c>
      <c r="ET72" s="127">
        <f>$B54*(1+$C$4)^(SUM($F$66:ET$66)+(SUM($F$67:ET$67)))</f>
        <v>0.18836575274670889</v>
      </c>
      <c r="EU72" s="127">
        <f>$B54*(1+$C$4)^(SUM($F$66:EU$66)+(SUM($F$67:EU$67)))</f>
        <v>0.18836575274670889</v>
      </c>
      <c r="EV72" s="127">
        <f>$B54*(1+$C$4)^(SUM($F$66:EV$66)+(SUM($F$67:EV$67)))</f>
        <v>0.18836575274670889</v>
      </c>
      <c r="EW72" s="127">
        <f>$B54*(1+$C$4)^(SUM($F$66:EW$66)+(SUM($F$67:EW$67)))</f>
        <v>0.18836575274670889</v>
      </c>
      <c r="EX72" s="127">
        <f>$B54*(1+$C$4)^(SUM($F$66:EX$66)+(SUM($F$67:EX$67)))</f>
        <v>0.18836575274670889</v>
      </c>
      <c r="EY72" s="127">
        <f>$B54*(1+$C$4)^(SUM($F$66:EY$66)+(SUM($F$67:EY$67)))</f>
        <v>0.18836575274670889</v>
      </c>
      <c r="EZ72" s="127">
        <f>$B54*(1+$C$4)^(SUM($F$66:EZ$66)+(SUM($F$67:EZ$67)))</f>
        <v>0.18836575274670889</v>
      </c>
      <c r="FA72" s="127">
        <f>$B54*(1+$C$4)^(SUM($F$66:FA$66)+(SUM($F$67:FA$67)))</f>
        <v>0.18836575274670889</v>
      </c>
      <c r="FB72" s="127">
        <f>$B54*(1+$C$4)^(SUM($F$66:FB$66)+(SUM($F$67:FB$67)))</f>
        <v>0.18836575274670889</v>
      </c>
      <c r="FC72" s="127">
        <f>$B54*(1+$C$4)^(SUM($F$66:FC$66)+(SUM($F$67:FC$67)))</f>
        <v>0.18836575274670889</v>
      </c>
      <c r="FD72" s="127">
        <f>$B54*(1+$C$4)^(SUM($F$66:FD$66)+(SUM($F$67:FD$67)))</f>
        <v>0.18836575274670889</v>
      </c>
      <c r="FE72" s="127">
        <f>$B54*(1+$C$4)^(SUM($F$66:FE$66)+(SUM($F$67:FE$67)))</f>
        <v>0.18836575274670889</v>
      </c>
      <c r="FF72" s="127">
        <f>$B54*(1+$C$4)^(SUM($F$66:FF$66)+(SUM($F$67:FF$67)))</f>
        <v>0.18836575274670889</v>
      </c>
      <c r="FG72" s="127">
        <f>$B54*(1+$C$4)^(SUM($F$66:FG$66)+(SUM($F$67:FG$67)))</f>
        <v>0.18836575274670889</v>
      </c>
      <c r="FH72" s="127">
        <f>$B54*(1+$C$4)^(SUM($F$66:FH$66)+(SUM($F$67:FH$67)))</f>
        <v>0.18836575274670889</v>
      </c>
      <c r="FI72" s="127">
        <f>$B54*(1+$C$4)^(SUM($F$66:FI$66)+(SUM($F$67:FI$67)))</f>
        <v>0.18836575274670889</v>
      </c>
      <c r="FJ72" s="127">
        <f>$B54*(1+$C$4)^(SUM($F$66:FJ$66)+(SUM($F$67:FJ$67)))</f>
        <v>0.18836575274670889</v>
      </c>
      <c r="FK72" s="127">
        <f>$B54*(1+$C$4)^(SUM($F$66:FK$66)+(SUM($F$67:FK$67)))</f>
        <v>0.18836575274670889</v>
      </c>
      <c r="FL72" s="127">
        <f>$B54*(1+$C$4)^(SUM($F$66:FL$66)+(SUM($F$67:FL$67)))</f>
        <v>0.18836575274670889</v>
      </c>
      <c r="FM72" s="127">
        <f>$B54*(1+$C$4)^(SUM($F$66:FM$66)+(SUM($F$67:FM$67)))</f>
        <v>0.18836575274670889</v>
      </c>
      <c r="FN72" s="127">
        <f>$B54*(1+$C$4)^(SUM($F$66:FN$66)+(SUM($F$67:FN$67)))</f>
        <v>0.18836575274670889</v>
      </c>
      <c r="FO72" s="127">
        <f>$B54*(1+$C$4)^(SUM($F$66:FO$66)+(SUM($F$67:FO$67)))</f>
        <v>0.18836575274670889</v>
      </c>
      <c r="FP72" s="127">
        <f>$B54*(1+$C$4)^(SUM($F$66:FP$66)+(SUM($F$67:FP$67)))</f>
        <v>0.18836575274670889</v>
      </c>
      <c r="FQ72" s="127">
        <f>$B54*(1+$C$4)^(SUM($F$66:FQ$66)+(SUM($F$67:FQ$67)))</f>
        <v>0.18836575274670889</v>
      </c>
      <c r="FR72" s="127">
        <f>$B54*(1+$C$4)^(SUM($F$66:FR$66)+(SUM($F$67:FR$67)))</f>
        <v>0.18836575274670889</v>
      </c>
      <c r="FS72" s="127">
        <f>$B54*(1+$C$4)^(SUM($F$66:FS$66)+(SUM($F$67:FS$67)))</f>
        <v>0.18836575274670889</v>
      </c>
      <c r="FT72" s="127">
        <f>$B54*(1+$C$4)^(SUM($F$66:FT$66)+(SUM($F$67:FT$67)))</f>
        <v>0.18836575274670889</v>
      </c>
      <c r="FU72" s="127">
        <f>$B54*(1+$C$4)^(SUM($F$66:FU$66)+(SUM($F$67:FU$67)))</f>
        <v>0.18836575274670889</v>
      </c>
      <c r="FV72" s="127">
        <f>$B54*(1+$C$4)^(SUM($F$66:FV$66)+(SUM($F$67:FV$67)))</f>
        <v>0.18836575274670889</v>
      </c>
      <c r="FW72" s="127">
        <f>$B54*(1+$C$4)^(SUM($F$66:FW$66)+(SUM($F$67:FW$67)))</f>
        <v>0.18836575274670889</v>
      </c>
      <c r="FX72" s="127">
        <f>$B54*(1+$C$4)^(SUM($F$66:FX$66)+(SUM($F$67:FX$67)))</f>
        <v>0.18836575274670889</v>
      </c>
      <c r="FY72" s="127">
        <f>$B54*(1+$C$4)^(SUM($F$66:FY$66)+(SUM($F$67:FY$67)))</f>
        <v>0.18836575274670889</v>
      </c>
      <c r="FZ72" s="127">
        <f>$B54*(1+$C$4)^(SUM($F$66:FZ$66)+(SUM($F$67:FZ$67)))</f>
        <v>0.18836575274670889</v>
      </c>
      <c r="GA72" s="127">
        <f>$B54*(1+$C$4)^(SUM($F$66:GA$66)+(SUM($F$67:GA$67)))</f>
        <v>0.18836575274670889</v>
      </c>
      <c r="GB72" s="127">
        <f>$B54*(1+$C$4)^(SUM($F$66:GB$66)+(SUM($F$67:GB$67)))</f>
        <v>0.18836575274670889</v>
      </c>
      <c r="GC72" s="127">
        <f>$B54*(1+$C$4)^(SUM($F$66:GC$66)+(SUM($F$67:GC$67)))</f>
        <v>0.18836575274670889</v>
      </c>
      <c r="GD72" s="127">
        <f>$B54*(1+$C$4)^(SUM($F$66:GD$66)+(SUM($F$67:GD$67)))</f>
        <v>0.18836575274670889</v>
      </c>
      <c r="GE72" s="127">
        <f>$B54*(1+$C$4)^(SUM($F$66:GE$66)+(SUM($F$67:GE$67)))</f>
        <v>0.18836575274670889</v>
      </c>
      <c r="GF72" s="127">
        <f>$B54*(1+$C$4)^(SUM($F$66:GF$66)+(SUM($F$67:GF$67)))</f>
        <v>0.18836575274670889</v>
      </c>
      <c r="GG72" s="127">
        <f>$B54*(1+$C$4)^(SUM($F$66:GG$66)+(SUM($F$67:GG$67)))</f>
        <v>0.18836575274670889</v>
      </c>
      <c r="GH72" s="127">
        <f>$B54*(1+$C$4)^(SUM($F$66:GH$66)+(SUM($F$67:GH$67)))</f>
        <v>0.18836575274670889</v>
      </c>
      <c r="GI72" s="127">
        <f>$B54*(1+$C$4)^(SUM($F$66:GI$66)+(SUM($F$67:GI$67)))</f>
        <v>0.18836575274670889</v>
      </c>
      <c r="GJ72" s="127">
        <f>$B54*(1+$C$4)^(SUM($F$66:GJ$66)+(SUM($F$67:GJ$67)))</f>
        <v>0.18836575274670889</v>
      </c>
      <c r="GK72" s="127">
        <f>$B54*(1+$C$4)^(SUM($F$66:GK$66)+(SUM($F$67:GK$67)))</f>
        <v>0.18836575274670889</v>
      </c>
      <c r="GL72" s="127">
        <f>$B54*(1+$C$4)^(SUM($F$66:GL$66)+(SUM($F$67:GL$67)))</f>
        <v>0.18836575274670889</v>
      </c>
      <c r="GM72" s="127">
        <f>$B54*(1+$C$4)^(SUM($F$66:GM$66)+(SUM($F$67:GM$67)))</f>
        <v>0.18836575274670889</v>
      </c>
      <c r="GN72" s="127">
        <f>$B54*(1+$C$4)^(SUM($F$66:GN$66)+(SUM($F$67:GN$67)))</f>
        <v>0.18836575274670889</v>
      </c>
      <c r="GO72" s="127">
        <f>$B54*(1+$C$4)^(SUM($F$66:GO$66)+(SUM($F$67:GO$67)))</f>
        <v>0.18836575274670889</v>
      </c>
      <c r="GP72" s="127">
        <f>$B54*(1+$C$4)^(SUM($F$66:GP$66)+(SUM($F$67:GP$67)))</f>
        <v>0.18836575274670889</v>
      </c>
      <c r="GQ72" s="127">
        <f>$B54*(1+$C$4)^(SUM($F$66:GQ$66)+(SUM($F$67:GQ$67)))</f>
        <v>0.18836575274670889</v>
      </c>
      <c r="GR72" s="127">
        <f>$B54*(1+$C$4)^(SUM($F$66:GR$66)+(SUM($F$67:GR$67)))</f>
        <v>0.18836575274670889</v>
      </c>
      <c r="GS72" s="127">
        <f>$B54*(1+$C$4)^(SUM($F$66:GS$66)+(SUM($F$67:GS$67)))</f>
        <v>0.18836575274670889</v>
      </c>
      <c r="GT72" s="127">
        <f>$B54*(1+$C$4)^(SUM($F$66:GT$66)+(SUM($F$67:GT$67)))</f>
        <v>0.18836575274670889</v>
      </c>
      <c r="GU72" s="127">
        <f>$B54*(1+$C$4)^(SUM($F$66:GU$66)+(SUM($F$67:GU$67)))</f>
        <v>0.18836575274670889</v>
      </c>
      <c r="GV72" s="127">
        <f>$B54*(1+$C$4)^(SUM($F$66:GV$66)+(SUM($F$67:GV$67)))</f>
        <v>0.18836575274670889</v>
      </c>
      <c r="GW72" s="127">
        <f>$B54*(1+$C$4)^(SUM($F$66:GW$66)+(SUM($F$67:GW$67)))</f>
        <v>0.18836575274670889</v>
      </c>
      <c r="GX72" s="127">
        <f>$B54*(1+$C$4)^(SUM($F$66:GX$66)+(SUM($F$67:GX$67)))</f>
        <v>0.18836575274670889</v>
      </c>
      <c r="GY72" s="127">
        <f>$B54*(1+$C$4)^(SUM($F$66:GY$66)+(SUM($F$67:GY$67)))</f>
        <v>0.18836575274670889</v>
      </c>
      <c r="GZ72" s="127">
        <f>$B54*(1+$C$4)^(SUM($F$66:GZ$66)+(SUM($F$67:GZ$67)))</f>
        <v>0.18836575274670889</v>
      </c>
      <c r="HA72" s="127">
        <f>$B54*(1+$C$4)^(SUM($F$66:HA$66)+(SUM($F$67:HA$67)))</f>
        <v>0.18836575274670889</v>
      </c>
      <c r="HB72" s="127">
        <f>$B54*(1+$C$4)^(SUM($F$66:HB$66)+(SUM($F$67:HB$67)))</f>
        <v>0.18836575274670889</v>
      </c>
      <c r="HC72" s="127">
        <f>$B54*(1+$C$4)^(SUM($F$66:HC$66)+(SUM($F$67:HC$67)))</f>
        <v>0.18836575274670889</v>
      </c>
      <c r="HD72" s="127">
        <f>$B54*(1+$C$4)^(SUM($F$66:HD$66)+(SUM($F$67:HD$67)))</f>
        <v>0.18836575274670889</v>
      </c>
      <c r="HE72" s="127">
        <f>$B54*(1+$C$4)^(SUM($F$66:HE$66)+(SUM($F$67:HE$67)))</f>
        <v>0.18836575274670889</v>
      </c>
      <c r="HF72" s="127">
        <f>$B54*(1+$C$4)^(SUM($F$66:HF$66)+(SUM($F$67:HF$67)))</f>
        <v>0.18836575274670889</v>
      </c>
      <c r="HG72" s="127">
        <f>$B54*(1+$C$4)^(SUM($F$66:HG$66)+(SUM($F$67:HG$67)))</f>
        <v>0.18836575274670889</v>
      </c>
      <c r="HH72" s="127">
        <f>$B54*(1+$C$4)^(SUM($F$66:HH$66)+(SUM($F$67:HH$67)))</f>
        <v>0.18836575274670889</v>
      </c>
      <c r="HI72" s="127">
        <f>$B54*(1+$C$4)^(SUM($F$66:HI$66)+(SUM($F$67:HI$67)))</f>
        <v>0.18836575274670889</v>
      </c>
      <c r="HJ72" s="127">
        <f>$B54*(1+$C$4)^(SUM($F$66:HJ$66)+(SUM($F$67:HJ$67)))</f>
        <v>0.18836575274670889</v>
      </c>
      <c r="HK72" s="127">
        <f>$B54*(1+$C$4)^(SUM($F$66:HK$66)+(SUM($F$67:HK$67)))</f>
        <v>0.18836575274670889</v>
      </c>
      <c r="HL72" s="127">
        <f>$B54*(1+$C$4)^(SUM($F$66:HL$66)+(SUM($F$67:HL$67)))</f>
        <v>0.18836575274670889</v>
      </c>
      <c r="HM72" s="127">
        <f>$B54*(1+$C$4)^(SUM($F$66:HM$66)+(SUM($F$67:HM$67)))</f>
        <v>0.18836575274670889</v>
      </c>
      <c r="HN72" s="127">
        <f>$B54*(1+$C$4)^(SUM($F$66:HN$66)+(SUM($F$67:HN$67)))</f>
        <v>0.18836575274670889</v>
      </c>
      <c r="HO72" s="127">
        <f>$B54*(1+$C$4)^(SUM($F$66:HO$66)+(SUM($F$67:HO$67)))</f>
        <v>0.18836575274670889</v>
      </c>
      <c r="HP72" s="127">
        <f>$B54*(1+$C$4)^(SUM($F$66:HP$66)+(SUM($F$67:HP$67)))</f>
        <v>0.18836575274670889</v>
      </c>
      <c r="HQ72" s="127">
        <f>$B54*(1+$C$4)^(SUM($F$66:HQ$66)+(SUM($F$67:HQ$67)))</f>
        <v>0.18836575274670889</v>
      </c>
      <c r="HR72" s="127">
        <f>$B54*(1+$C$4)^(SUM($F$66:HR$66)+(SUM($F$67:HR$67)))</f>
        <v>0.18836575274670889</v>
      </c>
      <c r="HS72" s="127">
        <f>$B54*(1+$C$4)^(SUM($F$66:HS$66)+(SUM($F$67:HS$67)))</f>
        <v>0.18836575274670889</v>
      </c>
      <c r="HT72" s="127">
        <f>$B54*(1+$C$4)^(SUM($F$66:HT$66)+(SUM($F$67:HT$67)))</f>
        <v>0.18836575274670889</v>
      </c>
      <c r="HU72" s="127">
        <f>$B54*(1+$C$4)^(SUM($F$66:HU$66)+(SUM($F$67:HU$67)))</f>
        <v>0.18836575274670889</v>
      </c>
      <c r="HV72" s="127">
        <f>$B54*(1+$C$4)^(SUM($F$66:HV$66)+(SUM($F$67:HV$67)))</f>
        <v>0.18836575274670889</v>
      </c>
      <c r="HW72" s="127">
        <f>$B54*(1+$C$4)^(SUM($F$66:HW$66)+(SUM($F$67:HW$67)))</f>
        <v>0.18836575274670889</v>
      </c>
      <c r="HX72" s="127">
        <f>$B54*(1+$C$4)^(SUM($F$66:HX$66)+(SUM($F$67:HX$67)))</f>
        <v>0.18836575274670889</v>
      </c>
      <c r="HY72" s="127">
        <f>$B54*(1+$C$4)^(SUM($F$66:HY$66)+(SUM($F$67:HY$67)))</f>
        <v>0.18836575274670889</v>
      </c>
      <c r="HZ72" s="127">
        <f>$B54*(1+$C$4)^(SUM($F$66:HZ$66)+(SUM($F$67:HZ$67)))</f>
        <v>0.18836575274670889</v>
      </c>
      <c r="IA72" s="127">
        <f>$B54*(1+$C$4)^(SUM($F$66:IA$66)+(SUM($F$67:IA$67)))</f>
        <v>0.18836575274670889</v>
      </c>
      <c r="IB72" s="127">
        <f>$B54*(1+$C$4)^(SUM($F$66:IB$66)+(SUM($F$67:IB$67)))</f>
        <v>0.18836575274670889</v>
      </c>
      <c r="IC72" s="127">
        <f>$B54*(1+$C$4)^(SUM($F$66:IC$66)+(SUM($F$67:IC$67)))</f>
        <v>0.18836575274670889</v>
      </c>
      <c r="ID72" s="127">
        <f>$B54*(1+$C$4)^(SUM($F$66:ID$66)+(SUM($F$67:ID$67)))</f>
        <v>0.18836575274670889</v>
      </c>
      <c r="IE72" s="127">
        <f>$B54*(1+$C$4)^(SUM($F$66:IE$66)+(SUM($F$67:IE$67)))</f>
        <v>0.18836575274670889</v>
      </c>
      <c r="IF72" s="127">
        <f>$B54*(1+$C$4)^(SUM($F$66:IF$66)+(SUM($F$67:IF$67)))</f>
        <v>0.18836575274670889</v>
      </c>
      <c r="IG72" s="127">
        <f>$B54*(1+$C$4)^(SUM($F$66:IG$66)+(SUM($F$67:IG$67)))</f>
        <v>0.18836575274670889</v>
      </c>
      <c r="IH72" s="127">
        <f>$B54*(1+$C$4)^(SUM($F$66:IH$66)+(SUM($F$67:IH$67)))</f>
        <v>0.18836575274670889</v>
      </c>
      <c r="II72" s="127">
        <f>$B54*(1+$C$4)^(SUM($F$66:II$66)+(SUM($F$67:II$67)))</f>
        <v>0.18836575274670889</v>
      </c>
      <c r="IJ72" s="127">
        <f>$B54*(1+$C$4)^(SUM($F$66:IJ$66)+(SUM($F$67:IJ$67)))</f>
        <v>0.18836575274670889</v>
      </c>
      <c r="IK72" s="127">
        <f>$B54*(1+$C$4)^(SUM($F$66:IK$66)+(SUM($F$67:IK$67)))</f>
        <v>0.18836575274670889</v>
      </c>
      <c r="IL72" s="127">
        <f>$B54*(1+$C$4)^(SUM($F$66:IL$66)+(SUM($F$67:IL$67)))</f>
        <v>0.18836575274670889</v>
      </c>
      <c r="IM72" s="127">
        <f>$B54*(1+$C$4)^(SUM($F$66:IM$66)+(SUM($F$67:IM$67)))</f>
        <v>0.18836575274670889</v>
      </c>
      <c r="IN72" s="127">
        <f>$B54*(1+$C$4)^(SUM($F$66:IN$66)+(SUM($F$67:IN$67)))</f>
        <v>0.18836575274670889</v>
      </c>
      <c r="IO72" s="127">
        <f>$B54*(1+$C$4)^(SUM($F$66:IO$66)+(SUM($F$67:IO$67)))</f>
        <v>0.18836575274670889</v>
      </c>
      <c r="IP72" s="127">
        <f>$B54*(1+$C$4)^(SUM($F$66:IP$66)+(SUM($F$67:IP$67)))</f>
        <v>0.18836575274670889</v>
      </c>
      <c r="IQ72" s="127">
        <f>$B54*(1+$C$4)^(SUM($F$66:IQ$66)+(SUM($F$67:IQ$67)))</f>
        <v>0.18836575274670889</v>
      </c>
      <c r="IR72" s="127">
        <f>$B54*(1+$C$4)^(SUM($F$66:IR$66)+(SUM($F$67:IR$67)))</f>
        <v>0.18836575274670889</v>
      </c>
      <c r="IS72" s="127">
        <f>$B54*(1+$C$4)^(SUM($F$66:IS$66)+(SUM($F$67:IS$67)))</f>
        <v>0.18836575274670889</v>
      </c>
      <c r="IT72" s="127">
        <f>$B54*(1+$C$4)^(SUM($F$66:IT$66)+(SUM($F$67:IT$67)))</f>
        <v>0.18836575274670889</v>
      </c>
      <c r="IU72" s="127">
        <f>$B54*(1+$C$4)^(SUM($F$66:IU$66)+(SUM($F$67:IU$67)))</f>
        <v>0.18836575274670889</v>
      </c>
      <c r="IV72" s="127">
        <f>$B54*(1+$C$4)^(SUM($F$66:IV$66)+(SUM($F$67:IV$67)))</f>
        <v>0.18836575274670889</v>
      </c>
      <c r="IW72" s="127">
        <f>$B54*(1+$C$4)^(SUM($F$66:IW$66)+(SUM($F$67:IW$67)))</f>
        <v>0.18836575274670889</v>
      </c>
      <c r="IX72" s="127">
        <f>$B54*(1+$C$4)^(SUM($F$66:IX$66)+(SUM($F$67:IX$67)))</f>
        <v>0.18836575274670889</v>
      </c>
      <c r="IY72" s="127">
        <f>$B54*(1+$C$4)^(SUM($F$66:IY$66)+(SUM($F$67:IY$67)))</f>
        <v>0.18836575274670889</v>
      </c>
      <c r="IZ72" s="127">
        <f>$B54*(1+$C$4)^(SUM($F$66:IZ$66)+(SUM($F$67:IZ$67)))</f>
        <v>0.18836575274670889</v>
      </c>
      <c r="JA72" s="127">
        <f>$B54*(1+$C$4)^(SUM($F$66:JA$66)+(SUM($F$67:JA$67)))</f>
        <v>0.18836575274670889</v>
      </c>
      <c r="JB72" s="127">
        <f>$B54*(1+$C$4)^(SUM($F$66:JB$66)+(SUM($F$67:JB$67)))</f>
        <v>0.18836575274670889</v>
      </c>
      <c r="JC72" s="127">
        <f>$B54*(1+$C$4)^(SUM($F$66:JC$66)+(SUM($F$67:JC$67)))</f>
        <v>0.18836575274670889</v>
      </c>
      <c r="JD72" s="127">
        <f>$B54*(1+$C$4)^(SUM($F$66:JD$66)+(SUM($F$67:JD$67)))</f>
        <v>0.18836575274670889</v>
      </c>
      <c r="JE72" s="127">
        <f>$B54*(1+$C$4)^(SUM($F$66:JE$66)+(SUM($F$67:JE$67)))</f>
        <v>0.18836575274670889</v>
      </c>
      <c r="JF72" s="127">
        <f>$B54*(1+$C$4)^(SUM($F$66:JF$66)+(SUM($F$67:JF$67)))</f>
        <v>0.18836575274670889</v>
      </c>
      <c r="JG72" s="127">
        <f>$B54*(1+$C$4)^(SUM($F$66:JG$66)+(SUM($F$67:JG$67)))</f>
        <v>0.18836575274670889</v>
      </c>
      <c r="JH72" s="127">
        <f>$B54*(1+$C$4)^(SUM($F$66:JH$66)+(SUM($F$67:JH$67)))</f>
        <v>0.18836575274670889</v>
      </c>
      <c r="JI72" s="127">
        <f>$B54*(1+$C$4)^(SUM($F$66:JI$66)+(SUM($F$67:JI$67)))</f>
        <v>0.18836575274670889</v>
      </c>
      <c r="JJ72" s="127">
        <f>$B54*(1+$C$4)^(SUM($F$66:JJ$66)+(SUM($F$67:JJ$67)))</f>
        <v>0.18836575274670889</v>
      </c>
      <c r="JK72" s="127">
        <f>$B54*(1+$C$4)^(SUM($F$66:JK$66)+(SUM($F$67:JK$67)))</f>
        <v>0.18836575274670889</v>
      </c>
      <c r="JL72" s="127">
        <f>$B54*(1+$C$4)^(SUM($F$66:JL$66)+(SUM($F$67:JL$67)))</f>
        <v>0.18836575274670889</v>
      </c>
      <c r="JM72" s="127">
        <f>$B54*(1+$C$4)^(SUM($F$66:JM$66)+(SUM($F$67:JM$67)))</f>
        <v>0.18836575274670889</v>
      </c>
      <c r="JN72" s="127">
        <f>$B54*(1+$C$4)^(SUM($F$66:JN$66)+(SUM($F$67:JN$67)))</f>
        <v>0.18836575274670889</v>
      </c>
      <c r="JO72" s="127">
        <f>$B54*(1+$C$4)^(SUM($F$66:JO$66)+(SUM($F$67:JO$67)))</f>
        <v>0.18836575274670889</v>
      </c>
      <c r="JP72" s="127">
        <f>$B54*(1+$C$4)^(SUM($F$66:JP$66)+(SUM($F$67:JP$67)))</f>
        <v>0.18836575274670889</v>
      </c>
      <c r="JQ72" s="127">
        <f>$B54*(1+$C$4)^(SUM($F$66:JQ$66)+(SUM($F$67:JQ$67)))</f>
        <v>0.18836575274670889</v>
      </c>
      <c r="JR72" s="127">
        <f>$B54*(1+$C$4)^(SUM($F$66:JR$66)+(SUM($F$67:JR$67)))</f>
        <v>0.18836575274670889</v>
      </c>
      <c r="JS72" s="127">
        <f>$B54*(1+$C$4)^(SUM($F$66:JS$66)+(SUM($F$67:JS$67)))</f>
        <v>0.18836575274670889</v>
      </c>
      <c r="JT72" s="127">
        <f>$B54*(1+$C$4)^(SUM($F$66:JT$66)+(SUM($F$67:JT$67)))</f>
        <v>0.18836575274670889</v>
      </c>
      <c r="JU72" s="127">
        <f>$B54*(1+$C$4)^(SUM($F$66:JU$66)+(SUM($F$67:JU$67)))</f>
        <v>0.18836575274670889</v>
      </c>
      <c r="JV72" s="127">
        <f>$B54*(1+$C$4)^(SUM($F$66:JV$66)+(SUM($F$67:JV$67)))</f>
        <v>0.18836575274670889</v>
      </c>
      <c r="JW72" s="127">
        <f>$B54*(1+$C$4)^(SUM($F$66:JW$66)+(SUM($F$67:JW$67)))</f>
        <v>0.18836575274670889</v>
      </c>
      <c r="JX72" s="127">
        <f>$B54*(1+$C$4)^(SUM($F$66:JX$66)+(SUM($F$67:JX$67)))</f>
        <v>0.18836575274670889</v>
      </c>
      <c r="JY72" s="127">
        <f>$B54*(1+$C$4)^(SUM($F$66:JY$66)+(SUM($F$67:JY$67)))</f>
        <v>0.18836575274670889</v>
      </c>
      <c r="JZ72" s="127">
        <f>$B54*(1+$C$4)^(SUM($F$66:JZ$66)+(SUM($F$67:JZ$67)))</f>
        <v>0.18836575274670889</v>
      </c>
      <c r="KA72" s="127">
        <f>$B54*(1+$C$4)^(SUM($F$66:KA$66)+(SUM($F$67:KA$67)))</f>
        <v>0.18836575274670889</v>
      </c>
      <c r="KB72" s="127">
        <f>$B54*(1+$C$4)^(SUM($F$66:KB$66)+(SUM($F$67:KB$67)))</f>
        <v>0.18836575274670889</v>
      </c>
      <c r="KC72" s="127">
        <f>$B54*(1+$C$4)^(SUM($F$66:KC$66)+(SUM($F$67:KC$67)))</f>
        <v>0.18836575274670889</v>
      </c>
      <c r="KD72" s="127">
        <f>$B54*(1+$C$4)^(SUM($F$66:KD$66)+(SUM($F$67:KD$67)))</f>
        <v>0.18836575274670889</v>
      </c>
      <c r="KE72" s="127">
        <f>$B54*(1+$C$4)^(SUM($F$66:KE$66)+(SUM($F$67:KE$67)))</f>
        <v>0.18836575274670889</v>
      </c>
      <c r="KF72" s="127">
        <f>$B54*(1+$C$4)^(SUM($F$66:KF$66)+(SUM($F$67:KF$67)))</f>
        <v>0.18836575274670889</v>
      </c>
      <c r="KG72" s="127">
        <f>$B54*(1+$C$4)^(SUM($F$66:KG$66)+(SUM($F$67:KG$67)))</f>
        <v>0.18836575274670889</v>
      </c>
      <c r="KH72" s="127">
        <f>$B54*(1+$C$4)^(SUM($F$66:KH$66)+(SUM($F$67:KH$67)))</f>
        <v>0.18836575274670889</v>
      </c>
      <c r="KI72" s="127">
        <f>$B54*(1+$C$4)^(SUM($F$66:KI$66)+(SUM($F$67:KI$67)))</f>
        <v>0.18836575274670889</v>
      </c>
      <c r="KJ72" s="127">
        <f>$B54*(1+$C$4)^(SUM($F$66:KJ$66)+(SUM($F$67:KJ$67)))</f>
        <v>0.18836575274670889</v>
      </c>
      <c r="KK72" s="127">
        <f>$B54*(1+$C$4)^(SUM($F$66:KK$66)+(SUM($F$67:KK$67)))</f>
        <v>0.18836575274670889</v>
      </c>
      <c r="KL72" s="127">
        <f>$B54*(1+$C$4)^(SUM($F$66:KL$66)+(SUM($F$67:KL$67)))</f>
        <v>0.18836575274670889</v>
      </c>
      <c r="KM72" s="127">
        <f>$B54*(1+$C$4)^(SUM($F$66:KM$66)+(SUM($F$67:KM$67)))</f>
        <v>0.18836575274670889</v>
      </c>
      <c r="KN72" s="127">
        <f>$B54*(1+$C$4)^(SUM($F$66:KN$66)+(SUM($F$67:KN$67)))</f>
        <v>0.18836575274670889</v>
      </c>
      <c r="KO72" s="127">
        <f>$B54*(1+$C$4)^(SUM($F$66:KO$66)+(SUM($F$67:KO$67)))</f>
        <v>0.18836575274670889</v>
      </c>
      <c r="KP72" s="127">
        <f>$B54*(1+$C$4)^(SUM($F$66:KP$66)+(SUM($F$67:KP$67)))</f>
        <v>0.18836575274670889</v>
      </c>
      <c r="KQ72" s="127">
        <f>$B54*(1+$C$4)^(SUM($F$66:KQ$66)+(SUM($F$67:KQ$67)))</f>
        <v>0.18836575274670889</v>
      </c>
      <c r="KR72" s="127">
        <f>$B54*(1+$C$4)^(SUM($F$66:KR$66)+(SUM($F$67:KR$67)))</f>
        <v>0.18836575274670889</v>
      </c>
      <c r="KS72" s="127">
        <f>$B54*(1+$C$4)^(SUM($F$66:KS$66)+(SUM($F$67:KS$67)))</f>
        <v>0.18836575274670889</v>
      </c>
      <c r="KT72" s="127">
        <f>$B54*(1+$C$4)^(SUM($F$66:KT$66)+(SUM($F$67:KT$67)))</f>
        <v>0.18836575274670889</v>
      </c>
      <c r="KU72" s="127">
        <f>$B54*(1+$C$4)^(SUM($F$66:KU$66)+(SUM($F$67:KU$67)))</f>
        <v>0.18836575274670889</v>
      </c>
      <c r="KV72" s="127">
        <f>$B54*(1+$C$4)^(SUM($F$66:KV$66)+(SUM($F$67:KV$67)))</f>
        <v>0.18836575274670889</v>
      </c>
      <c r="KW72" s="127">
        <f>$B54*(1+$C$4)^(SUM($F$66:KW$66)+(SUM($F$67:KW$67)))</f>
        <v>0.18836575274670889</v>
      </c>
      <c r="KX72" s="127">
        <f>$B54*(1+$C$4)^(SUM($F$66:KX$66)+(SUM($F$67:KX$67)))</f>
        <v>0.18836575274670889</v>
      </c>
      <c r="KY72" s="127">
        <f>$B54*(1+$C$4)^(SUM($F$66:KY$66)+(SUM($F$67:KY$67)))</f>
        <v>0.18836575274670889</v>
      </c>
      <c r="KZ72" s="127">
        <f>$B54*(1+$C$4)^(SUM($F$66:KZ$66)+(SUM($F$67:KZ$67)))</f>
        <v>0.18836575274670889</v>
      </c>
      <c r="LA72" s="127">
        <f>$B54*(1+$C$4)^(SUM($F$66:LA$66)+(SUM($F$67:LA$67)))</f>
        <v>0.18836575274670889</v>
      </c>
      <c r="LB72" s="127">
        <f>$B54*(1+$C$4)^(SUM($F$66:LB$66)+(SUM($F$67:LB$67)))</f>
        <v>0.18836575274670889</v>
      </c>
      <c r="LC72" s="127">
        <f>$B54*(1+$C$4)^(SUM($F$66:LC$66)+(SUM($F$67:LC$67)))</f>
        <v>0.18836575274670889</v>
      </c>
      <c r="LD72" s="127">
        <f>$B54*(1+$C$4)^(SUM($F$66:LD$66)+(SUM($F$67:LD$67)))</f>
        <v>0.18836575274670889</v>
      </c>
      <c r="LE72" s="127">
        <f>$B54*(1+$C$4)^(SUM($F$66:LE$66)+(SUM($F$67:LE$67)))</f>
        <v>0.18836575274670889</v>
      </c>
      <c r="LF72" s="127">
        <f>$B54*(1+$C$4)^(SUM($F$66:LF$66)+(SUM($F$67:LF$67)))</f>
        <v>0.18836575274670889</v>
      </c>
      <c r="LG72" s="127">
        <f>$B54*(1+$C$4)^(SUM($F$66:LG$66)+(SUM($F$67:LG$67)))</f>
        <v>0.18836575274670889</v>
      </c>
      <c r="LH72" s="127">
        <f>$B54*(1+$C$4)^(SUM($F$66:LH$66)+(SUM($F$67:LH$67)))</f>
        <v>0.18836575274670889</v>
      </c>
      <c r="LI72" s="127">
        <f>$B54*(1+$C$4)^(SUM($F$66:LI$66)+(SUM($F$67:LI$67)))</f>
        <v>0.18836575274670889</v>
      </c>
      <c r="LJ72" s="127">
        <f>$B54*(1+$C$4)^(SUM($F$66:LJ$66)+(SUM($F$67:LJ$67)))</f>
        <v>0.18836575274670889</v>
      </c>
      <c r="LK72" s="127">
        <f>$B54*(1+$C$4)^(SUM($F$66:LK$66)+(SUM($F$67:LK$67)))</f>
        <v>0.18836575274670889</v>
      </c>
      <c r="LL72" s="127">
        <f>$B54*(1+$C$4)^(SUM($F$66:LL$66)+(SUM($F$67:LL$67)))</f>
        <v>0.18836575274670889</v>
      </c>
      <c r="LM72" s="127">
        <f>$B54*(1+$C$4)^(SUM($F$66:LM$66)+(SUM($F$67:LM$67)))</f>
        <v>0.18836575274670889</v>
      </c>
      <c r="LN72" s="127">
        <f>$B54*(1+$C$4)^(SUM($F$66:LN$66)+(SUM($F$67:LN$67)))</f>
        <v>0.18836575274670889</v>
      </c>
      <c r="LO72" s="127">
        <f>$B54*(1+$C$4)^(SUM($F$66:LO$66)+(SUM($F$67:LO$67)))</f>
        <v>0.18836575274670889</v>
      </c>
      <c r="LP72" s="127">
        <f>$B54*(1+$C$4)^(SUM($F$66:LP$66)+(SUM($F$67:LP$67)))</f>
        <v>0.18836575274670889</v>
      </c>
      <c r="LQ72" s="127">
        <f>$B54*(1+$C$4)^(SUM($F$66:LQ$66)+(SUM($F$67:LQ$67)))</f>
        <v>0.18836575274670889</v>
      </c>
      <c r="LR72" s="127">
        <f>$B54*(1+$C$4)^(SUM($F$66:LR$66)+(SUM($F$67:LR$67)))</f>
        <v>0.18836575274670889</v>
      </c>
      <c r="LS72" s="127">
        <f>$B54*(1+$C$4)^(SUM($F$66:LS$66)+(SUM($F$67:LS$67)))</f>
        <v>0.18836575274670889</v>
      </c>
      <c r="LT72" s="127">
        <f>$B54*(1+$C$4)^(SUM($F$66:LT$66)+(SUM($F$67:LT$67)))</f>
        <v>0.18836575274670889</v>
      </c>
      <c r="LU72" s="127">
        <f>$B54*(1+$C$4)^(SUM($F$66:LU$66)+(SUM($F$67:LU$67)))</f>
        <v>0.18836575274670889</v>
      </c>
      <c r="LV72" s="127">
        <f>$B54*(1+$C$4)^(SUM($F$66:LV$66)+(SUM($F$67:LV$67)))</f>
        <v>0.18836575274670889</v>
      </c>
      <c r="LW72" s="127">
        <f>$B54*(1+$C$4)^(SUM($F$66:LW$66)+(SUM($F$67:LW$67)))</f>
        <v>0.18836575274670889</v>
      </c>
      <c r="LX72" s="127">
        <f>$B54*(1+$C$4)^(SUM($F$66:LX$66)+(SUM($F$67:LX$67)))</f>
        <v>0.18836575274670889</v>
      </c>
      <c r="LY72" s="127">
        <f>$B54*(1+$C$4)^(SUM($F$66:LY$66)+(SUM($F$67:LY$67)))</f>
        <v>0.18836575274670889</v>
      </c>
      <c r="LZ72" s="127">
        <f>$B54*(1+$C$4)^(SUM($F$66:LZ$66)+(SUM($F$67:LZ$67)))</f>
        <v>0.18836575274670889</v>
      </c>
      <c r="MA72" s="127">
        <f>$B54*(1+$C$4)^(SUM($F$66:MA$66)+(SUM($F$67:MA$67)))</f>
        <v>0.18836575274670889</v>
      </c>
      <c r="MB72" s="127">
        <f>$B54*(1+$C$4)^(SUM($F$66:MB$66)+(SUM($F$67:MB$67)))</f>
        <v>0.18836575274670889</v>
      </c>
      <c r="MC72" s="127">
        <f>$B54*(1+$C$4)^(SUM($F$66:MC$66)+(SUM($F$67:MC$67)))</f>
        <v>0.18836575274670889</v>
      </c>
      <c r="MD72" s="127">
        <f>$B54*(1+$C$4)^(SUM($F$66:MD$66)+(SUM($F$67:MD$67)))</f>
        <v>0.18836575274670889</v>
      </c>
      <c r="ME72" s="127">
        <f>$B54*(1+$C$4)^(SUM($F$66:ME$66)+(SUM($F$67:ME$67)))</f>
        <v>0.18836575274670889</v>
      </c>
      <c r="MF72" s="127">
        <f>$B54*(1+$C$4)^(SUM($F$66:MF$66)+(SUM($F$67:MF$67)))</f>
        <v>0.18836575274670889</v>
      </c>
      <c r="MG72" s="127">
        <f>$B54*(1+$C$4)^(SUM($F$66:MG$66)+(SUM($F$67:MG$67)))</f>
        <v>0.18836575274670889</v>
      </c>
      <c r="MH72" s="127">
        <f>$B54*(1+$C$4)^(SUM($F$66:MH$66)+(SUM($F$67:MH$67)))</f>
        <v>0.18836575274670889</v>
      </c>
      <c r="MI72" s="127">
        <f>$B54*(1+$C$4)^(SUM($F$66:MI$66)+(SUM($F$67:MI$67)))</f>
        <v>0.18836575274670889</v>
      </c>
      <c r="MJ72" s="127">
        <f>$B54*(1+$C$4)^(SUM($F$66:MJ$66)+(SUM($F$67:MJ$67)))</f>
        <v>0.18836575274670889</v>
      </c>
      <c r="MK72" s="127">
        <f>$B54*(1+$C$4)^(SUM($F$66:MK$66)+(SUM($F$67:MK$67)))</f>
        <v>0.18836575274670889</v>
      </c>
      <c r="ML72" s="127">
        <f>$B54*(1+$C$4)^(SUM($F$66:ML$66)+(SUM($F$67:ML$67)))</f>
        <v>0.18836575274670889</v>
      </c>
      <c r="MM72" s="127">
        <f>$B54*(1+$C$4)^(SUM($F$66:MM$66)+(SUM($F$67:MM$67)))</f>
        <v>0.18836575274670889</v>
      </c>
      <c r="MN72" s="127">
        <f>$B54*(1+$C$4)^(SUM($F$66:MN$66)+(SUM($F$67:MN$67)))</f>
        <v>0.18836575274670889</v>
      </c>
      <c r="MO72" s="127">
        <f>$B54*(1+$C$4)^(SUM($F$66:MO$66)+(SUM($F$67:MO$67)))</f>
        <v>0.18836575274670889</v>
      </c>
      <c r="MP72" s="127">
        <f>$B54*(1+$C$4)^(SUM($F$66:MP$66)+(SUM($F$67:MP$67)))</f>
        <v>0.18836575274670889</v>
      </c>
      <c r="MQ72" s="127">
        <f>$B54*(1+$C$4)^(SUM($F$66:MQ$66)+(SUM($F$67:MQ$67)))</f>
        <v>0.18836575274670889</v>
      </c>
      <c r="MR72" s="127">
        <f>$B54*(1+$C$4)^(SUM($F$66:MR$66)+(SUM($F$67:MR$67)))</f>
        <v>0.18836575274670889</v>
      </c>
      <c r="MS72" s="127">
        <f>$B54*(1+$C$4)^(SUM($F$66:MS$66)+(SUM($F$67:MS$67)))</f>
        <v>0.18836575274670889</v>
      </c>
      <c r="MT72" s="127">
        <f>$B54*(1+$C$4)^(SUM($F$66:MT$66)+(SUM($F$67:MT$67)))</f>
        <v>0.18836575274670889</v>
      </c>
      <c r="MU72" s="127">
        <f>$B54*(1+$C$4)^(SUM($F$66:MU$66)+(SUM($F$67:MU$67)))</f>
        <v>0.18836575274670889</v>
      </c>
      <c r="MV72" s="127">
        <f>$B54*(1+$C$4)^(SUM($F$66:MV$66)+(SUM($F$67:MV$67)))</f>
        <v>0.18836575274670889</v>
      </c>
      <c r="MW72" s="127">
        <f>$B54*(1+$C$4)^(SUM($F$66:MW$66)+(SUM($F$67:MW$67)))</f>
        <v>0.18836575274670889</v>
      </c>
      <c r="MX72" s="127">
        <f>$B54*(1+$C$4)^(SUM($F$66:MX$66)+(SUM($F$67:MX$67)))</f>
        <v>0.18836575274670889</v>
      </c>
      <c r="MY72" s="127">
        <f>$B54*(1+$C$4)^(SUM($F$66:MY$66)+(SUM($F$67:MY$67)))</f>
        <v>0.18836575274670889</v>
      </c>
      <c r="MZ72" s="127">
        <f>$B54*(1+$C$4)^(SUM($F$66:MZ$66)+(SUM($F$67:MZ$67)))</f>
        <v>0.18836575274670889</v>
      </c>
      <c r="NA72" s="127">
        <f>$B54*(1+$C$4)^(SUM($F$66:NA$66)+(SUM($F$67:NA$67)))</f>
        <v>0.18836575274670889</v>
      </c>
      <c r="NB72" s="127">
        <f>$B54*(1+$C$4)^(SUM($F$66:NB$66)+(SUM($F$67:NB$67)))</f>
        <v>0.18836575274670889</v>
      </c>
      <c r="NC72" s="127">
        <f>$B54*(1+$C$4)^(SUM($F$66:NC$66)+(SUM($F$67:NC$67)))</f>
        <v>0.18836575274670889</v>
      </c>
      <c r="ND72" s="127">
        <f>$B54*(1+$C$4)^(SUM($F$66:ND$66)+(SUM($F$67:ND$67)))</f>
        <v>0.18836575274670889</v>
      </c>
      <c r="NE72" s="127">
        <f>$B54*(1+$C$4)^(SUM($F$66:NE$66)+(SUM($F$67:NE$67)))</f>
        <v>0.18836575274670889</v>
      </c>
      <c r="NF72" s="127">
        <f>$B54*(1+$C$4)^(SUM($F$66:NF$66)+(SUM($F$67:NF$67)))</f>
        <v>0.18836575274670889</v>
      </c>
      <c r="NG72" s="127">
        <f>$B54*(1+$C$4)^(SUM($F$66:NG$66)+(SUM($F$67:NG$67)))</f>
        <v>0.18836575274670889</v>
      </c>
      <c r="NH72" s="127">
        <f>$B54*(1+$C$4)^(SUM($F$66:NH$66)+(SUM($F$67:NH$67)))</f>
        <v>0.18836575274670889</v>
      </c>
      <c r="NI72" s="127">
        <f>$B54*(1+$C$4)^(SUM($F$66:NI$66)+(SUM($F$67:NI$67)))</f>
        <v>0.18836575274670889</v>
      </c>
      <c r="NJ72" s="127">
        <f>$B54*(1+$C$4)^(SUM($F$66:NJ$66)+(SUM($F$67:NJ$67)))</f>
        <v>0.18836575274670889</v>
      </c>
      <c r="NK72" s="127">
        <f>$B54*(1+$C$4)^(SUM($F$66:NK$66)+(SUM($F$67:NK$67)))</f>
        <v>0.18836575274670889</v>
      </c>
      <c r="NL72" s="127">
        <f>$B54*(1+$C$4)^(SUM($F$66:NL$66)+(SUM($F$67:NL$67)))</f>
        <v>0.18836575274670889</v>
      </c>
      <c r="NM72" s="127">
        <f>$B54*(1+$C$4)^(SUM($F$66:NM$66)+(SUM($F$67:NM$67)))</f>
        <v>0.18836575274670889</v>
      </c>
      <c r="NN72" s="127">
        <f>$B54*(1+$C$4)^(SUM($F$66:NN$66)+(SUM($F$67:NN$67)))</f>
        <v>0.18836575274670889</v>
      </c>
      <c r="NO72" s="127">
        <f>$B54*(1+$C$4)^(SUM($F$66:NO$66)+(SUM($F$67:NO$67)))</f>
        <v>0.18836575274670889</v>
      </c>
      <c r="NP72" s="127">
        <f>$B54*(1+$C$4)^(SUM($F$66:NP$66)+(SUM($F$67:NP$67)))</f>
        <v>0.18836575274670889</v>
      </c>
      <c r="NQ72" s="127">
        <f>$B54*(1+$C$4)^(SUM($F$66:NQ$66)+(SUM($F$67:NQ$67)))</f>
        <v>0.18836575274670889</v>
      </c>
      <c r="NR72" s="127">
        <f>$B54*(1+$C$4)^(SUM($F$66:NR$66)+(SUM($F$67:NR$67)))</f>
        <v>0.18836575274670889</v>
      </c>
      <c r="NS72" s="127">
        <f>$B54*(1+$C$4)^(SUM($F$66:NS$66)+(SUM($F$67:NS$67)))</f>
        <v>0.18836575274670889</v>
      </c>
      <c r="NT72" s="127">
        <f>$B54*(1+$C$4)^(SUM($F$66:NT$66)+(SUM($F$67:NT$67)))</f>
        <v>0.18836575274670889</v>
      </c>
      <c r="NU72" s="127">
        <f>$B54*(1+$C$4)^(SUM($F$66:NU$66)+(SUM($F$67:NU$67)))</f>
        <v>0.18836575274670889</v>
      </c>
      <c r="NV72" s="127">
        <f>$B54*(1+$C$4)^(SUM($F$66:NV$66)+(SUM($F$67:NV$67)))</f>
        <v>0.18836575274670889</v>
      </c>
      <c r="NW72" s="127">
        <f>$B54*(1+$C$4)^(SUM($F$66:NW$66)+(SUM($F$67:NW$67)))</f>
        <v>0.18836575274670889</v>
      </c>
      <c r="NX72" s="127">
        <f>$B54*(1+$C$4)^(SUM($F$66:NX$66)+(SUM($F$67:NX$67)))</f>
        <v>0.18836575274670889</v>
      </c>
      <c r="NY72" s="127">
        <f>$B54*(1+$C$4)^(SUM($F$66:NY$66)+(SUM($F$67:NY$67)))</f>
        <v>0.18836575274670889</v>
      </c>
      <c r="NZ72" s="127">
        <f>$B54*(1+$C$4)^(SUM($F$66:NZ$66)+(SUM($F$67:NZ$67)))</f>
        <v>0.18836575274670889</v>
      </c>
      <c r="OA72" s="127">
        <f>$B54*(1+$C$4)^(SUM($F$66:OA$66)+(SUM($F$67:OA$67)))</f>
        <v>0.18836575274670889</v>
      </c>
      <c r="OB72" s="127">
        <f>$B54*(1+$C$4)^(SUM($F$66:OB$66)+(SUM($F$67:OB$67)))</f>
        <v>0.18836575274670889</v>
      </c>
      <c r="OC72" s="127">
        <f>$B54*(1+$C$4)^(SUM($F$66:OC$66)+(SUM($F$67:OC$67)))</f>
        <v>0.18836575274670889</v>
      </c>
      <c r="OD72" s="127">
        <f>$B54*(1+$C$4)^(SUM($F$66:OD$66)+(SUM($F$67:OD$67)))</f>
        <v>0.18836575274670889</v>
      </c>
      <c r="OE72" s="127">
        <f>$B54*(1+$C$4)^(SUM($F$66:OE$66)+(SUM($F$67:OE$67)))</f>
        <v>0.18836575274670889</v>
      </c>
      <c r="OF72" s="127">
        <f>$B54*(1+$C$4)^(SUM($F$66:OF$66)+(SUM($F$67:OF$67)))</f>
        <v>0.18836575274670889</v>
      </c>
      <c r="OG72" s="127">
        <f>$B54*(1+$C$4)^(SUM($F$66:OG$66)+(SUM($F$67:OG$67)))</f>
        <v>0.18836575274670889</v>
      </c>
      <c r="OH72" s="127">
        <f>$B54*(1+$C$4)^(SUM($F$66:OH$66)+(SUM($F$67:OH$67)))</f>
        <v>0.18836575274670889</v>
      </c>
      <c r="OI72" s="127">
        <f>$B54*(1+$C$4)^(SUM($F$66:OI$66)+(SUM($F$67:OI$67)))</f>
        <v>0.18836575274670889</v>
      </c>
      <c r="OJ72" s="127">
        <f>$B54*(1+$C$4)^(SUM($F$66:OJ$66)+(SUM($F$67:OJ$67)))</f>
        <v>0.18836575274670889</v>
      </c>
      <c r="OK72" s="127">
        <f>$B54*(1+$C$4)^(SUM($F$66:OK$66)+(SUM($F$67:OK$67)))</f>
        <v>0.18836575274670889</v>
      </c>
      <c r="OL72" s="127">
        <f>$B54*(1+$C$4)^(SUM($F$66:OL$66)+(SUM($F$67:OL$67)))</f>
        <v>0.18836575274670889</v>
      </c>
      <c r="OM72" s="127">
        <f>$B54*(1+$C$4)^(SUM($F$66:OM$66)+(SUM($F$67:OM$67)))</f>
        <v>0.18836575274670889</v>
      </c>
      <c r="ON72" s="127">
        <f>$B54*(1+$C$4)^(SUM($F$66:ON$66)+(SUM($F$67:ON$67)))</f>
        <v>0.18836575274670889</v>
      </c>
      <c r="OO72" s="127">
        <f>$B54*(1+$C$4)^(SUM($F$66:OO$66)+(SUM($F$67:OO$67)))</f>
        <v>0.18836575274670889</v>
      </c>
      <c r="OP72" s="127">
        <f>$B54*(1+$C$4)^(SUM($F$66:OP$66)+(SUM($F$67:OP$67)))</f>
        <v>0.18836575274670889</v>
      </c>
      <c r="OQ72" s="127">
        <f>$B54*(1+$C$4)^(SUM($F$66:OQ$66)+(SUM($F$67:OQ$67)))</f>
        <v>0.18836575274670889</v>
      </c>
      <c r="OR72" s="127">
        <f>$B54*(1+$C$4)^(SUM($F$66:OR$66)+(SUM($F$67:OR$67)))</f>
        <v>0.18836575274670889</v>
      </c>
      <c r="OS72" s="127">
        <f>$B54*(1+$C$4)^(SUM($F$66:OS$66)+(SUM($F$67:OS$67)))</f>
        <v>0.18836575274670889</v>
      </c>
      <c r="OT72" s="127">
        <f>$B54*(1+$C$4)^(SUM($F$66:OT$66)+(SUM($F$67:OT$67)))</f>
        <v>0.18836575274670889</v>
      </c>
      <c r="OU72" s="127">
        <f>$B54*(1+$C$4)^(SUM($F$66:OU$66)+(SUM($F$67:OU$67)))</f>
        <v>0.18836575274670889</v>
      </c>
      <c r="OV72" s="127">
        <f>$B54*(1+$C$4)^(SUM($F$66:OV$66)+(SUM($F$67:OV$67)))</f>
        <v>0.18836575274670889</v>
      </c>
      <c r="OW72" s="127">
        <f>$B54*(1+$C$4)^(SUM($F$66:OW$66)+(SUM($F$67:OW$67)))</f>
        <v>0.18836575274670889</v>
      </c>
      <c r="OX72" s="127">
        <f>$B54*(1+$C$4)^(SUM($F$66:OX$66)+(SUM($F$67:OX$67)))</f>
        <v>0.18836575274670889</v>
      </c>
      <c r="OY72" s="127">
        <f>$B54*(1+$C$4)^(SUM($F$66:OY$66)+(SUM($F$67:OY$67)))</f>
        <v>0.18836575274670889</v>
      </c>
      <c r="OZ72" s="127">
        <f>$B54*(1+$C$4)^(SUM($F$66:OZ$66)+(SUM($F$67:OZ$67)))</f>
        <v>0.18836575274670889</v>
      </c>
      <c r="PA72" s="127">
        <f>$B54*(1+$C$4)^(SUM($F$66:PA$66)+(SUM($F$67:PA$67)))</f>
        <v>0.18836575274670889</v>
      </c>
      <c r="PB72" s="127">
        <f>$B54*(1+$C$4)^(SUM($F$66:PB$66)+(SUM($F$67:PB$67)))</f>
        <v>0.18836575274670889</v>
      </c>
      <c r="PC72" s="127">
        <f>$B54*(1+$C$4)^(SUM($F$66:PC$66)+(SUM($F$67:PC$67)))</f>
        <v>0.18836575274670889</v>
      </c>
      <c r="PD72" s="127">
        <f>$B54*(1+$C$4)^(SUM($F$66:PD$66)+(SUM($F$67:PD$67)))</f>
        <v>0.18836575274670889</v>
      </c>
      <c r="PE72" s="127">
        <f>$B54*(1+$C$4)^(SUM($F$66:PE$66)+(SUM($F$67:PE$67)))</f>
        <v>0.18836575274670889</v>
      </c>
      <c r="PF72" s="127">
        <f>$B54*(1+$C$4)^(SUM($F$66:PF$66)+(SUM($F$67:PF$67)))</f>
        <v>0.18836575274670889</v>
      </c>
      <c r="PG72" s="127">
        <f>$B54*(1+$C$4)^(SUM($F$66:PG$66)+(SUM($F$67:PG$67)))</f>
        <v>0.18836575274670889</v>
      </c>
      <c r="PH72" s="127">
        <f>$B54*(1+$C$4)^(SUM($F$66:PH$66)+(SUM($F$67:PH$67)))</f>
        <v>0.18836575274670889</v>
      </c>
      <c r="PI72" s="127">
        <f>$B54*(1+$C$4)^(SUM($F$66:PI$66)+(SUM($F$67:PI$67)))</f>
        <v>0.18836575274670889</v>
      </c>
      <c r="PJ72" s="127">
        <f>$B54*(1+$C$4)^(SUM($F$66:PJ$66)+(SUM($F$67:PJ$67)))</f>
        <v>0.18836575274670889</v>
      </c>
      <c r="PK72" s="127">
        <f>$B54*(1+$C$4)^(SUM($F$66:PK$66)+(SUM($F$67:PK$67)))</f>
        <v>0.18836575274670889</v>
      </c>
      <c r="PL72" s="127">
        <f>$B54*(1+$C$4)^(SUM($F$66:PL$66)+(SUM($F$67:PL$67)))</f>
        <v>0.18836575274670889</v>
      </c>
      <c r="PM72" s="127">
        <f>$B54*(1+$C$4)^(SUM($F$66:PM$66)+(SUM($F$67:PM$67)))</f>
        <v>0.18836575274670889</v>
      </c>
      <c r="PN72" s="127">
        <f>$B54*(1+$C$4)^(SUM($F$66:PN$66)+(SUM($F$67:PN$67)))</f>
        <v>0.18836575274670889</v>
      </c>
      <c r="PO72" s="127">
        <f>$B54*(1+$C$4)^(SUM($F$66:PO$66)+(SUM($F$67:PO$67)))</f>
        <v>0.18836575274670889</v>
      </c>
      <c r="PP72" s="127">
        <f>$B54*(1+$C$4)^(SUM($F$66:PP$66)+(SUM($F$67:PP$67)))</f>
        <v>0.18836575274670889</v>
      </c>
      <c r="PQ72" s="127">
        <f>$B54*(1+$C$4)^(SUM($F$66:PQ$66)+(SUM($F$67:PQ$67)))</f>
        <v>0.18836575274670889</v>
      </c>
      <c r="PR72" s="127">
        <f>$B54*(1+$C$4)^(SUM($F$66:PR$66)+(SUM($F$67:PR$67)))</f>
        <v>0.18836575274670889</v>
      </c>
      <c r="PS72" s="127">
        <f>$B54*(1+$C$4)^(SUM($F$66:PS$66)+(SUM($F$67:PS$67)))</f>
        <v>0.18836575274670889</v>
      </c>
      <c r="PT72" s="127">
        <f>$B54*(1+$C$4)^(SUM($F$66:PT$66)+(SUM($F$67:PT$67)))</f>
        <v>0.18836575274670889</v>
      </c>
      <c r="PU72" s="127">
        <f>$B54*(1+$C$4)^(SUM($F$66:PU$66)+(SUM($F$67:PU$67)))</f>
        <v>0.18836575274670889</v>
      </c>
      <c r="PV72" s="127">
        <f>$B54*(1+$C$4)^(SUM($F$66:PV$66)+(SUM($F$67:PV$67)))</f>
        <v>0.18836575274670889</v>
      </c>
      <c r="PW72" s="127">
        <f>$B54*(1+$C$4)^(SUM($F$66:PW$66)+(SUM($F$67:PW$67)))</f>
        <v>0.18836575274670889</v>
      </c>
      <c r="PX72" s="127">
        <f>$B54*(1+$C$4)^(SUM($F$66:PX$66)+(SUM($F$67:PX$67)))</f>
        <v>0.18836575274670889</v>
      </c>
      <c r="PY72" s="127">
        <f>$B54*(1+$C$4)^(SUM($F$66:PY$66)+(SUM($F$67:PY$67)))</f>
        <v>0.18836575274670889</v>
      </c>
      <c r="PZ72" s="127">
        <f>$B54*(1+$C$4)^(SUM($F$66:PZ$66)+(SUM($F$67:PZ$67)))</f>
        <v>0.18836575274670889</v>
      </c>
      <c r="QA72" s="127">
        <f>$B54*(1+$C$4)^(SUM($F$66:QA$66)+(SUM($F$67:QA$67)))</f>
        <v>0.18836575274670889</v>
      </c>
      <c r="QB72" s="127">
        <f>$B54*(1+$C$4)^(SUM($F$66:QB$66)+(SUM($F$67:QB$67)))</f>
        <v>0.18836575274670889</v>
      </c>
      <c r="QC72" s="127">
        <f>$B54*(1+$C$4)^(SUM($F$66:QC$66)+(SUM($F$67:QC$67)))</f>
        <v>0.18836575274670889</v>
      </c>
      <c r="QD72" s="127">
        <f>$B54*(1+$C$4)^(SUM($F$66:QD$66)+(SUM($F$67:QD$67)))</f>
        <v>0.18836575274670889</v>
      </c>
      <c r="QE72" s="127">
        <f>$B54*(1+$C$4)^(SUM($F$66:QE$66)+(SUM($F$67:QE$67)))</f>
        <v>0.18836575274670889</v>
      </c>
      <c r="QF72" s="127">
        <f>$B54*(1+$C$4)^(SUM($F$66:QF$66)+(SUM($F$67:QF$67)))</f>
        <v>0.18836575274670889</v>
      </c>
      <c r="QG72" s="127">
        <f>$B54*(1+$C$4)^(SUM($F$66:QG$66)+(SUM($F$67:QG$67)))</f>
        <v>0.18836575274670889</v>
      </c>
      <c r="QH72" s="127">
        <f>$B54*(1+$C$4)^(SUM($F$66:QH$66)+(SUM($F$67:QH$67)))</f>
        <v>0.18836575274670889</v>
      </c>
      <c r="QI72" s="127">
        <f>$B54*(1+$C$4)^(SUM($F$66:QI$66)+(SUM($F$67:QI$67)))</f>
        <v>0.18836575274670889</v>
      </c>
      <c r="QJ72" s="127">
        <f>$B54*(1+$C$4)^(SUM($F$66:QJ$66)+(SUM($F$67:QJ$67)))</f>
        <v>0.18836575274670889</v>
      </c>
      <c r="QK72" s="127">
        <f>$B54*(1+$C$4)^(SUM($F$66:QK$66)+(SUM($F$67:QK$67)))</f>
        <v>0.18836575274670889</v>
      </c>
      <c r="QL72" s="127">
        <f>$B54*(1+$C$4)^(SUM($F$66:QL$66)+(SUM($F$67:QL$67)))</f>
        <v>0.18836575274670889</v>
      </c>
      <c r="QM72" s="127">
        <f>$B54*(1+$C$4)^(SUM($F$66:QM$66)+(SUM($F$67:QM$67)))</f>
        <v>0.18836575274670889</v>
      </c>
      <c r="QN72" s="127">
        <f>$B54*(1+$C$4)^(SUM($F$66:QN$66)+(SUM($F$67:QN$67)))</f>
        <v>0.18836575274670889</v>
      </c>
      <c r="QO72" s="127">
        <f>$B54*(1+$C$4)^(SUM($F$66:QO$66)+(SUM($F$67:QO$67)))</f>
        <v>0.18836575274670889</v>
      </c>
      <c r="QP72" s="127">
        <f>$B54*(1+$C$4)^(SUM($F$66:QP$66)+(SUM($F$67:QP$67)))</f>
        <v>0.18836575274670889</v>
      </c>
      <c r="QQ72" s="127">
        <f>$B54*(1+$C$4)^(SUM($F$66:QQ$66)+(SUM($F$67:QQ$67)))</f>
        <v>0.18836575274670889</v>
      </c>
      <c r="QR72" s="127">
        <f>$B54*(1+$C$4)^(SUM($F$66:QR$66)+(SUM($F$67:QR$67)))</f>
        <v>0.18836575274670889</v>
      </c>
      <c r="QS72" s="127">
        <f>$B54*(1+$C$4)^(SUM($F$66:QS$66)+(SUM($F$67:QS$67)))</f>
        <v>0.18836575274670889</v>
      </c>
      <c r="QT72" s="127">
        <f>$B54*(1+$C$4)^(SUM($F$66:QT$66)+(SUM($F$67:QT$67)))</f>
        <v>0.18836575274670889</v>
      </c>
      <c r="QU72" s="127">
        <f>$B54*(1+$C$4)^(SUM($F$66:QU$66)+(SUM($F$67:QU$67)))</f>
        <v>0.18836575274670889</v>
      </c>
      <c r="QV72" s="127">
        <f>$B54*(1+$C$4)^(SUM($F$66:QV$66)+(SUM($F$67:QV$67)))</f>
        <v>0.18836575274670889</v>
      </c>
      <c r="QW72" s="127">
        <f>$B54*(1+$C$4)^(SUM($F$66:QW$66)+(SUM($F$67:QW$67)))</f>
        <v>0.18836575274670889</v>
      </c>
      <c r="QX72" s="127">
        <f>$B54*(1+$C$4)^(SUM($F$66:QX$66)+(SUM($F$67:QX$67)))</f>
        <v>0.18836575274670889</v>
      </c>
      <c r="QY72" s="127">
        <f>$B54*(1+$C$4)^(SUM($F$66:QY$66)+(SUM($F$67:QY$67)))</f>
        <v>0.18836575274670889</v>
      </c>
      <c r="QZ72" s="127">
        <f>$B54*(1+$C$4)^(SUM($F$66:QZ$66)+(SUM($F$67:QZ$67)))</f>
        <v>0.18836575274670889</v>
      </c>
      <c r="RA72" s="127">
        <f>$B54*(1+$C$4)^(SUM($F$66:RA$66)+(SUM($F$67:RA$67)))</f>
        <v>0.18836575274670889</v>
      </c>
      <c r="RB72" s="127">
        <f>$B54*(1+$C$4)^(SUM($F$66:RB$66)+(SUM($F$67:RB$67)))</f>
        <v>0.18836575274670889</v>
      </c>
      <c r="RC72" s="127">
        <f>$B54*(1+$C$4)^(SUM($F$66:RC$66)+(SUM($F$67:RC$67)))</f>
        <v>0.18836575274670889</v>
      </c>
      <c r="RD72" s="127">
        <f>$B54*(1+$C$4)^(SUM($F$66:RD$66)+(SUM($F$67:RD$67)))</f>
        <v>0.18836575274670889</v>
      </c>
      <c r="RE72" s="127">
        <f>$B54*(1+$C$4)^(SUM($F$66:RE$66)+(SUM($F$67:RE$67)))</f>
        <v>0.18836575274670889</v>
      </c>
      <c r="RF72" s="127">
        <f>$B54*(1+$C$4)^(SUM($F$66:RF$66)+(SUM($F$67:RF$67)))</f>
        <v>0.18836575274670889</v>
      </c>
      <c r="RG72" s="127">
        <f>$B54*(1+$C$4)^(SUM($F$66:RG$66)+(SUM($F$67:RG$67)))</f>
        <v>0.18836575274670889</v>
      </c>
      <c r="RH72" s="127">
        <f>$B54*(1+$C$4)^(SUM($F$66:RH$66)+(SUM($F$67:RH$67)))</f>
        <v>0.18836575274670889</v>
      </c>
      <c r="RI72" s="127">
        <f>$B54*(1+$C$4)^(SUM($F$66:RI$66)+(SUM($F$67:RI$67)))</f>
        <v>0.18836575274670889</v>
      </c>
      <c r="RJ72" s="127">
        <f>$B54*(1+$C$4)^(SUM($F$66:RJ$66)+(SUM($F$67:RJ$67)))</f>
        <v>0.18836575274670889</v>
      </c>
      <c r="RK72" s="127">
        <f>$B54*(1+$C$4)^(SUM($F$66:RK$66)+(SUM($F$67:RK$67)))</f>
        <v>0.18836575274670889</v>
      </c>
      <c r="RL72" s="127">
        <f>$B54*(1+$C$4)^(SUM($F$66:RL$66)+(SUM($F$67:RL$67)))</f>
        <v>0.18836575274670889</v>
      </c>
      <c r="RM72" s="127">
        <f>$B54*(1+$C$4)^(SUM($F$66:RM$66)+(SUM($F$67:RM$67)))</f>
        <v>0.18836575274670889</v>
      </c>
      <c r="RN72" s="127">
        <f>$B54*(1+$C$4)^(SUM($F$66:RN$66)+(SUM($F$67:RN$67)))</f>
        <v>0.18836575274670889</v>
      </c>
      <c r="RO72" s="127">
        <f>$B54*(1+$C$4)^(SUM($F$66:RO$66)+(SUM($F$67:RO$67)))</f>
        <v>0.18836575274670889</v>
      </c>
      <c r="RP72" s="127">
        <f>$B54*(1+$C$4)^(SUM($F$66:RP$66)+(SUM($F$67:RP$67)))</f>
        <v>0.18836575274670889</v>
      </c>
      <c r="RQ72" s="127">
        <f>$B54*(1+$C$4)^(SUM($F$66:RQ$66)+(SUM($F$67:RQ$67)))</f>
        <v>0.18836575274670889</v>
      </c>
      <c r="RR72" s="127">
        <f>$B54*(1+$C$4)^(SUM($F$66:RR$66)+(SUM($F$67:RR$67)))</f>
        <v>0.18836575274670889</v>
      </c>
    </row>
    <row r="73" spans="1:486" s="9" customFormat="1">
      <c r="A73" s="289"/>
      <c r="B73" s="66" t="s">
        <v>234</v>
      </c>
      <c r="E73" s="127">
        <f t="shared" si="27"/>
        <v>0.20858791208791205</v>
      </c>
      <c r="F73" s="127">
        <f>$B55*(1+$C$4)^(SUM($F$66:F$66)+(SUM($F$67:F$67)))</f>
        <v>0.20858791208791205</v>
      </c>
      <c r="G73" s="127">
        <f>$B55*(1+$C$4)^(SUM($F$66:G$66)+(SUM($F$67:G$67)))</f>
        <v>0.20858791208791205</v>
      </c>
      <c r="H73" s="127">
        <f>$B55*(1+$C$4)^(SUM($F$66:H$66)+(SUM($F$67:H$67)))</f>
        <v>0.20858791208791205</v>
      </c>
      <c r="I73" s="127">
        <f>$B55*(1+$C$4)^(SUM($F$66:I$66)+(SUM($F$67:I$67)))</f>
        <v>0.20858791208791205</v>
      </c>
      <c r="J73" s="127">
        <f>$B55*(1+$C$4)^(SUM($F$66:J$66)+(SUM($F$67:J$67)))</f>
        <v>0.20858791208791205</v>
      </c>
      <c r="K73" s="127">
        <f>$B55*(1+$C$4)^(SUM($F$66:K$66)+(SUM($F$67:K$67)))</f>
        <v>0.20858791208791205</v>
      </c>
      <c r="L73" s="127">
        <f>$B55*(1+$C$4)^(SUM($F$66:L$66)+(SUM($F$67:L$67)))</f>
        <v>0.20858791208791205</v>
      </c>
      <c r="M73" s="127">
        <f>$B55*(1+$C$4)^(SUM($F$66:M$66)+(SUM($F$67:M$67)))</f>
        <v>0.20858791208791205</v>
      </c>
      <c r="N73" s="127">
        <f>$B55*(1+$C$4)^(SUM($F$66:N$66)+(SUM($F$67:N$67)))</f>
        <v>0.20858791208791205</v>
      </c>
      <c r="O73" s="127">
        <f>$B55*(1+$C$4)^(SUM($F$66:O$66)+(SUM($F$67:O$67)))</f>
        <v>0.20858791208791205</v>
      </c>
      <c r="P73" s="127">
        <f>$B55*(1+$C$4)^(SUM($F$66:P$66)+(SUM($F$67:P$67)))</f>
        <v>0.20858791208791205</v>
      </c>
      <c r="Q73" s="127">
        <f>$B55*(1+$C$4)^(SUM($F$66:Q$66)+(SUM($F$67:Q$67)))</f>
        <v>0.20858791208791205</v>
      </c>
      <c r="R73" s="127">
        <f>$B55*(1+$C$4)^(SUM($F$66:R$66)+(SUM($F$67:R$67)))</f>
        <v>0.20858791208791205</v>
      </c>
      <c r="S73" s="127">
        <f>$B55*(1+$C$4)^(SUM($F$66:S$66)+(SUM($F$67:S$67)))</f>
        <v>0.20858791208791205</v>
      </c>
      <c r="T73" s="127">
        <f>$B55*(1+$C$4)^(SUM($F$66:T$66)+(SUM($F$67:T$67)))</f>
        <v>0.20858791208791205</v>
      </c>
      <c r="U73" s="127">
        <f>$B55*(1+$C$4)^(SUM($F$66:U$66)+(SUM($F$67:U$67)))</f>
        <v>0.20858791208791205</v>
      </c>
      <c r="V73" s="127">
        <f>$B55*(1+$C$4)^(SUM($F$66:V$66)+(SUM($F$67:V$67)))</f>
        <v>0.20858791208791205</v>
      </c>
      <c r="W73" s="127">
        <f>$B55*(1+$C$4)^(SUM($F$66:W$66)+(SUM($F$67:W$67)))</f>
        <v>0.20858791208791205</v>
      </c>
      <c r="X73" s="127">
        <f>$B55*(1+$C$4)^(SUM($F$66:X$66)+(SUM($F$67:X$67)))</f>
        <v>0.20858791208791205</v>
      </c>
      <c r="Y73" s="127">
        <f>$B55*(1+$C$4)^(SUM($F$66:Y$66)+(SUM($F$67:Y$67)))</f>
        <v>0.20858791208791205</v>
      </c>
      <c r="Z73" s="127">
        <f>$B55*(1+$C$4)^(SUM($F$66:Z$66)+(SUM($F$67:Z$67)))</f>
        <v>0.20858791208791205</v>
      </c>
      <c r="AA73" s="127">
        <f>$B55*(1+$C$4)^(SUM($F$66:AA$66)+(SUM($F$67:AA$67)))</f>
        <v>0.20858791208791205</v>
      </c>
      <c r="AB73" s="127">
        <f>$B55*(1+$C$4)^(SUM($F$66:AB$66)+(SUM($F$67:AB$67)))</f>
        <v>0.20858791208791205</v>
      </c>
      <c r="AC73" s="127">
        <f>$B55*(1+$C$4)^(SUM($F$66:AC$66)+(SUM($F$67:AC$67)))</f>
        <v>0.20858791208791205</v>
      </c>
      <c r="AD73" s="127">
        <f>$B55*(1+$C$4)^(SUM($F$66:AD$66)+(SUM($F$67:AD$67)))</f>
        <v>0.20858791208791205</v>
      </c>
      <c r="AE73" s="127">
        <f>$B55*(1+$C$4)^(SUM($F$66:AE$66)+(SUM($F$67:AE$67)))</f>
        <v>0.20858791208791205</v>
      </c>
      <c r="AF73" s="127">
        <f>$B55*(1+$C$4)^(SUM($F$66:AF$66)+(SUM($F$67:AF$67)))</f>
        <v>0.20858791208791205</v>
      </c>
      <c r="AG73" s="127">
        <f>$B55*(1+$C$4)^(SUM($F$66:AG$66)+(SUM($F$67:AG$67)))</f>
        <v>0.20858791208791205</v>
      </c>
      <c r="AH73" s="127">
        <f>$B55*(1+$C$4)^(SUM($F$66:AH$66)+(SUM($F$67:AH$67)))</f>
        <v>0.20858791208791205</v>
      </c>
      <c r="AI73" s="127">
        <f>$B55*(1+$C$4)^(SUM($F$66:AI$66)+(SUM($F$67:AI$67)))</f>
        <v>0.20858791208791205</v>
      </c>
      <c r="AJ73" s="127">
        <f>$B55*(1+$C$4)^(SUM($F$66:AJ$66)+(SUM($F$67:AJ$67)))</f>
        <v>0.20858791208791205</v>
      </c>
      <c r="AK73" s="127">
        <f>$B55*(1+$C$4)^(SUM($F$66:AK$66)+(SUM($F$67:AK$67)))</f>
        <v>0.20858791208791205</v>
      </c>
      <c r="AL73" s="127">
        <f>$B55*(1+$C$4)^(SUM($F$66:AL$66)+(SUM($F$67:AL$67)))</f>
        <v>0.20858791208791205</v>
      </c>
      <c r="AM73" s="127">
        <f>$B55*(1+$C$4)^(SUM($F$66:AM$66)+(SUM($F$67:AM$67)))</f>
        <v>0.20858791208791205</v>
      </c>
      <c r="AN73" s="127">
        <f>$B55*(1+$C$4)^(SUM($F$66:AN$66)+(SUM($F$67:AN$67)))</f>
        <v>0.20858791208791205</v>
      </c>
      <c r="AO73" s="127">
        <f>$B55*(1+$C$4)^(SUM($F$66:AO$66)+(SUM($F$67:AO$67)))</f>
        <v>0.20858791208791205</v>
      </c>
      <c r="AP73" s="127">
        <f>$B55*(1+$C$4)^(SUM($F$66:AP$66)+(SUM($F$67:AP$67)))</f>
        <v>0.20858791208791205</v>
      </c>
      <c r="AQ73" s="127">
        <f>$B55*(1+$C$4)^(SUM($F$66:AQ$66)+(SUM($F$67:AQ$67)))</f>
        <v>0.20858791208791205</v>
      </c>
      <c r="AR73" s="127">
        <f>$B55*(1+$C$4)^(SUM($F$66:AR$66)+(SUM($F$67:AR$67)))</f>
        <v>0.20858791208791205</v>
      </c>
      <c r="AS73" s="127">
        <f>$B55*(1+$C$4)^(SUM($F$66:AS$66)+(SUM($F$67:AS$67)))</f>
        <v>0.20858791208791205</v>
      </c>
      <c r="AT73" s="127">
        <f>$B55*(1+$C$4)^(SUM($F$66:AT$66)+(SUM($F$67:AT$67)))</f>
        <v>0.20858791208791205</v>
      </c>
      <c r="AU73" s="127">
        <f>$B55*(1+$C$4)^(SUM($F$66:AU$66)+(SUM($F$67:AU$67)))</f>
        <v>0.20858791208791205</v>
      </c>
      <c r="AV73" s="127">
        <f>$B55*(1+$C$4)^(SUM($F$66:AV$66)+(SUM($F$67:AV$67)))</f>
        <v>0.20858791208791205</v>
      </c>
      <c r="AW73" s="127">
        <f>$B55*(1+$C$4)^(SUM($F$66:AW$66)+(SUM($F$67:AW$67)))</f>
        <v>0.20858791208791205</v>
      </c>
      <c r="AX73" s="127">
        <f>$B55*(1+$C$4)^(SUM($F$66:AX$66)+(SUM($F$67:AX$67)))</f>
        <v>0.20858791208791205</v>
      </c>
      <c r="AY73" s="127">
        <f>$B55*(1+$C$4)^(SUM($F$66:AY$66)+(SUM($F$67:AY$67)))</f>
        <v>0.20858791208791205</v>
      </c>
      <c r="AZ73" s="127">
        <f>$B55*(1+$C$4)^(SUM($F$66:AZ$66)+(SUM($F$67:AZ$67)))</f>
        <v>0.20858791208791205</v>
      </c>
      <c r="BA73" s="127">
        <f>$B55*(1+$C$4)^(SUM($F$66:BA$66)+(SUM($F$67:BA$67)))</f>
        <v>0.20858791208791205</v>
      </c>
      <c r="BB73" s="127">
        <f>$B55*(1+$C$4)^(SUM($F$66:BB$66)+(SUM($F$67:BB$67)))</f>
        <v>0.20858791208791205</v>
      </c>
      <c r="BC73" s="127">
        <f>$B55*(1+$C$4)^(SUM($F$66:BC$66)+(SUM($F$67:BC$67)))</f>
        <v>0.20858791208791205</v>
      </c>
      <c r="BD73" s="127">
        <f>$B55*(1+$C$4)^(SUM($F$66:BD$66)+(SUM($F$67:BD$67)))</f>
        <v>0.20858791208791205</v>
      </c>
      <c r="BE73" s="127">
        <f>$B55*(1+$C$4)^(SUM($F$66:BE$66)+(SUM($F$67:BE$67)))</f>
        <v>0.20858791208791205</v>
      </c>
      <c r="BF73" s="127">
        <f>$B55*(1+$C$4)^(SUM($F$66:BF$66)+(SUM($F$67:BF$67)))</f>
        <v>0.20858791208791205</v>
      </c>
      <c r="BG73" s="127">
        <f>$B55*(1+$C$4)^(SUM($F$66:BG$66)+(SUM($F$67:BG$67)))</f>
        <v>0.20858791208791205</v>
      </c>
      <c r="BH73" s="127">
        <f>$B55*(1+$C$4)^(SUM($F$66:BH$66)+(SUM($F$67:BH$67)))</f>
        <v>0.20858791208791205</v>
      </c>
      <c r="BI73" s="127">
        <f>$B55*(1+$C$4)^(SUM($F$66:BI$66)+(SUM($F$67:BI$67)))</f>
        <v>0.20858791208791205</v>
      </c>
      <c r="BJ73" s="127">
        <f>$B55*(1+$C$4)^(SUM($F$66:BJ$66)+(SUM($F$67:BJ$67)))</f>
        <v>0.20858791208791205</v>
      </c>
      <c r="BK73" s="127">
        <f>$B55*(1+$C$4)^(SUM($F$66:BK$66)+(SUM($F$67:BK$67)))</f>
        <v>0.20858791208791205</v>
      </c>
      <c r="BL73" s="127">
        <f>$B55*(1+$C$4)^(SUM($F$66:BL$66)+(SUM($F$67:BL$67)))</f>
        <v>0.20858791208791205</v>
      </c>
      <c r="BM73" s="127">
        <f>$B55*(1+$C$4)^(SUM($F$66:BM$66)+(SUM($F$67:BM$67)))</f>
        <v>0.20858791208791205</v>
      </c>
      <c r="BN73" s="127">
        <f>$B55*(1+$C$4)^(SUM($F$66:BN$66)+(SUM($F$67:BN$67)))</f>
        <v>0.20858791208791205</v>
      </c>
      <c r="BO73" s="127">
        <f>$B55*(1+$C$4)^(SUM($F$66:BO$66)+(SUM($F$67:BO$67)))</f>
        <v>0.20858791208791205</v>
      </c>
      <c r="BP73" s="127">
        <f>$B55*(1+$C$4)^(SUM($F$66:BP$66)+(SUM($F$67:BP$67)))</f>
        <v>0.20858791208791205</v>
      </c>
      <c r="BQ73" s="127">
        <f>$B55*(1+$C$4)^(SUM($F$66:BQ$66)+(SUM($F$67:BQ$67)))</f>
        <v>0.20858791208791205</v>
      </c>
      <c r="BR73" s="127">
        <f>$B55*(1+$C$4)^(SUM($F$66:BR$66)+(SUM($F$67:BR$67)))</f>
        <v>0.20858791208791205</v>
      </c>
      <c r="BS73" s="127">
        <f>$B55*(1+$C$4)^(SUM($F$66:BS$66)+(SUM($F$67:BS$67)))</f>
        <v>0.20858791208791205</v>
      </c>
      <c r="BT73" s="127">
        <f>$B55*(1+$C$4)^(SUM($F$66:BT$66)+(SUM($F$67:BT$67)))</f>
        <v>0.20858791208791205</v>
      </c>
      <c r="BU73" s="127">
        <f>$B55*(1+$C$4)^(SUM($F$66:BU$66)+(SUM($F$67:BU$67)))</f>
        <v>0.20858791208791205</v>
      </c>
      <c r="BV73" s="127">
        <f>$B55*(1+$C$4)^(SUM($F$66:BV$66)+(SUM($F$67:BV$67)))</f>
        <v>0.20858791208791205</v>
      </c>
      <c r="BW73" s="127">
        <f>$B55*(1+$C$4)^(SUM($F$66:BW$66)+(SUM($F$67:BW$67)))</f>
        <v>0.20858791208791205</v>
      </c>
      <c r="BX73" s="127">
        <f>$B55*(1+$C$4)^(SUM($F$66:BX$66)+(SUM($F$67:BX$67)))</f>
        <v>0.20858791208791205</v>
      </c>
      <c r="BY73" s="127">
        <f>$B55*(1+$C$4)^(SUM($F$66:BY$66)+(SUM($F$67:BY$67)))</f>
        <v>0.20858791208791205</v>
      </c>
      <c r="BZ73" s="127">
        <f>$B55*(1+$C$4)^(SUM($F$66:BZ$66)+(SUM($F$67:BZ$67)))</f>
        <v>0.20858791208791205</v>
      </c>
      <c r="CA73" s="127">
        <f>$B55*(1+$C$4)^(SUM($F$66:CA$66)+(SUM($F$67:CA$67)))</f>
        <v>0.20858791208791205</v>
      </c>
      <c r="CB73" s="127">
        <f>$B55*(1+$C$4)^(SUM($F$66:CB$66)+(SUM($F$67:CB$67)))</f>
        <v>0.20858791208791205</v>
      </c>
      <c r="CC73" s="127">
        <f>$B55*(1+$C$4)^(SUM($F$66:CC$66)+(SUM($F$67:CC$67)))</f>
        <v>0.20858791208791205</v>
      </c>
      <c r="CD73" s="127">
        <f>$B55*(1+$C$4)^(SUM($F$66:CD$66)+(SUM($F$67:CD$67)))</f>
        <v>0.20858791208791205</v>
      </c>
      <c r="CE73" s="127">
        <f>$B55*(1+$C$4)^(SUM($F$66:CE$66)+(SUM($F$67:CE$67)))</f>
        <v>0.20858791208791205</v>
      </c>
      <c r="CF73" s="127">
        <f>$B55*(1+$C$4)^(SUM($F$66:CF$66)+(SUM($F$67:CF$67)))</f>
        <v>0.20858791208791205</v>
      </c>
      <c r="CG73" s="127">
        <f>$B55*(1+$C$4)^(SUM($F$66:CG$66)+(SUM($F$67:CG$67)))</f>
        <v>0.20858791208791205</v>
      </c>
      <c r="CH73" s="127">
        <f>$B55*(1+$C$4)^(SUM($F$66:CH$66)+(SUM($F$67:CH$67)))</f>
        <v>0.20858791208791205</v>
      </c>
      <c r="CI73" s="127">
        <f>$B55*(1+$C$4)^(SUM($F$66:CI$66)+(SUM($F$67:CI$67)))</f>
        <v>0.20858791208791205</v>
      </c>
      <c r="CJ73" s="127">
        <f>$B55*(1+$C$4)^(SUM($F$66:CJ$66)+(SUM($F$67:CJ$67)))</f>
        <v>0.20858791208791205</v>
      </c>
      <c r="CK73" s="127">
        <f>$B55*(1+$C$4)^(SUM($F$66:CK$66)+(SUM($F$67:CK$67)))</f>
        <v>0.20858791208791205</v>
      </c>
      <c r="CL73" s="127">
        <f>$B55*(1+$C$4)^(SUM($F$66:CL$66)+(SUM($F$67:CL$67)))</f>
        <v>0.20858791208791205</v>
      </c>
      <c r="CM73" s="127">
        <f>$B55*(1+$C$4)^(SUM($F$66:CM$66)+(SUM($F$67:CM$67)))</f>
        <v>0.20858791208791205</v>
      </c>
      <c r="CN73" s="127">
        <f>$B55*(1+$C$4)^(SUM($F$66:CN$66)+(SUM($F$67:CN$67)))</f>
        <v>0.20858791208791205</v>
      </c>
      <c r="CO73" s="127">
        <f>$B55*(1+$C$4)^(SUM($F$66:CO$66)+(SUM($F$67:CO$67)))</f>
        <v>0.20858791208791205</v>
      </c>
      <c r="CP73" s="127">
        <f>$B55*(1+$C$4)^(SUM($F$66:CP$66)+(SUM($F$67:CP$67)))</f>
        <v>0.20858791208791205</v>
      </c>
      <c r="CQ73" s="127">
        <f>$B55*(1+$C$4)^(SUM($F$66:CQ$66)+(SUM($F$67:CQ$67)))</f>
        <v>0.20858791208791205</v>
      </c>
      <c r="CR73" s="127">
        <f>$B55*(1+$C$4)^(SUM($F$66:CR$66)+(SUM($F$67:CR$67)))</f>
        <v>0.20858791208791205</v>
      </c>
      <c r="CS73" s="127">
        <f>$B55*(1+$C$4)^(SUM($F$66:CS$66)+(SUM($F$67:CS$67)))</f>
        <v>0.20858791208791205</v>
      </c>
      <c r="CT73" s="127">
        <f>$B55*(1+$C$4)^(SUM($F$66:CT$66)+(SUM($F$67:CT$67)))</f>
        <v>0.20858791208791205</v>
      </c>
      <c r="CU73" s="127">
        <f>$B55*(1+$C$4)^(SUM($F$66:CU$66)+(SUM($F$67:CU$67)))</f>
        <v>0.20858791208791205</v>
      </c>
      <c r="CV73" s="127">
        <f>$B55*(1+$C$4)^(SUM($F$66:CV$66)+(SUM($F$67:CV$67)))</f>
        <v>0.20858791208791205</v>
      </c>
      <c r="CW73" s="127">
        <f>$B55*(1+$C$4)^(SUM($F$66:CW$66)+(SUM($F$67:CW$67)))</f>
        <v>0.20858791208791205</v>
      </c>
      <c r="CX73" s="127">
        <f>$B55*(1+$C$4)^(SUM($F$66:CX$66)+(SUM($F$67:CX$67)))</f>
        <v>0.20858791208791205</v>
      </c>
      <c r="CY73" s="127">
        <f>$B55*(1+$C$4)^(SUM($F$66:CY$66)+(SUM($F$67:CY$67)))</f>
        <v>0.20858791208791205</v>
      </c>
      <c r="CZ73" s="127">
        <f>$B55*(1+$C$4)^(SUM($F$66:CZ$66)+(SUM($F$67:CZ$67)))</f>
        <v>0.20858791208791205</v>
      </c>
      <c r="DA73" s="127">
        <f>$B55*(1+$C$4)^(SUM($F$66:DA$66)+(SUM($F$67:DA$67)))</f>
        <v>0.20858791208791205</v>
      </c>
      <c r="DB73" s="127">
        <f>$B55*(1+$C$4)^(SUM($F$66:DB$66)+(SUM($F$67:DB$67)))</f>
        <v>0.20858791208791205</v>
      </c>
      <c r="DC73" s="127">
        <f>$B55*(1+$C$4)^(SUM($F$66:DC$66)+(SUM($F$67:DC$67)))</f>
        <v>0.20858791208791205</v>
      </c>
      <c r="DD73" s="127">
        <f>$B55*(1+$C$4)^(SUM($F$66:DD$66)+(SUM($F$67:DD$67)))</f>
        <v>0.20858791208791205</v>
      </c>
      <c r="DE73" s="127">
        <f>$B55*(1+$C$4)^(SUM($F$66:DE$66)+(SUM($F$67:DE$67)))</f>
        <v>0.20858791208791205</v>
      </c>
      <c r="DF73" s="127">
        <f>$B55*(1+$C$4)^(SUM($F$66:DF$66)+(SUM($F$67:DF$67)))</f>
        <v>0.20858791208791205</v>
      </c>
      <c r="DG73" s="127">
        <f>$B55*(1+$C$4)^(SUM($F$66:DG$66)+(SUM($F$67:DG$67)))</f>
        <v>0.20858791208791205</v>
      </c>
      <c r="DH73" s="127">
        <f>$B55*(1+$C$4)^(SUM($F$66:DH$66)+(SUM($F$67:DH$67)))</f>
        <v>0.20858791208791205</v>
      </c>
      <c r="DI73" s="127">
        <f>$B55*(1+$C$4)^(SUM($F$66:DI$66)+(SUM($F$67:DI$67)))</f>
        <v>0.20858791208791205</v>
      </c>
      <c r="DJ73" s="127">
        <f>$B55*(1+$C$4)^(SUM($F$66:DJ$66)+(SUM($F$67:DJ$67)))</f>
        <v>0.20858791208791205</v>
      </c>
      <c r="DK73" s="127">
        <f>$B55*(1+$C$4)^(SUM($F$66:DK$66)+(SUM($F$67:DK$67)))</f>
        <v>0.20858791208791205</v>
      </c>
      <c r="DL73" s="127">
        <f>$B55*(1+$C$4)^(SUM($F$66:DL$66)+(SUM($F$67:DL$67)))</f>
        <v>0.20858791208791205</v>
      </c>
      <c r="DM73" s="127">
        <f>$B55*(1+$C$4)^(SUM($F$66:DM$66)+(SUM($F$67:DM$67)))</f>
        <v>0.20858791208791205</v>
      </c>
      <c r="DN73" s="127">
        <f>$B55*(1+$C$4)^(SUM($F$66:DN$66)+(SUM($F$67:DN$67)))</f>
        <v>0.20858791208791205</v>
      </c>
      <c r="DO73" s="127">
        <f>$B55*(1+$C$4)^(SUM($F$66:DO$66)+(SUM($F$67:DO$67)))</f>
        <v>0.20858791208791205</v>
      </c>
      <c r="DP73" s="127">
        <f>$B55*(1+$C$4)^(SUM($F$66:DP$66)+(SUM($F$67:DP$67)))</f>
        <v>0.20858791208791205</v>
      </c>
      <c r="DQ73" s="127">
        <f>$B55*(1+$C$4)^(SUM($F$66:DQ$66)+(SUM($F$67:DQ$67)))</f>
        <v>0.20858791208791205</v>
      </c>
      <c r="DR73" s="127">
        <f>$B55*(1+$C$4)^(SUM($F$66:DR$66)+(SUM($F$67:DR$67)))</f>
        <v>0.20858791208791205</v>
      </c>
      <c r="DS73" s="127">
        <f>$B55*(1+$C$4)^(SUM($F$66:DS$66)+(SUM($F$67:DS$67)))</f>
        <v>0.20858791208791205</v>
      </c>
      <c r="DT73" s="127">
        <f>$B55*(1+$C$4)^(SUM($F$66:DT$66)+(SUM($F$67:DT$67)))</f>
        <v>0.20858791208791205</v>
      </c>
      <c r="DU73" s="127">
        <f>$B55*(1+$C$4)^(SUM($F$66:DU$66)+(SUM($F$67:DU$67)))</f>
        <v>0.20858791208791205</v>
      </c>
      <c r="DV73" s="127">
        <f>$B55*(1+$C$4)^(SUM($F$66:DV$66)+(SUM($F$67:DV$67)))</f>
        <v>0.20858791208791205</v>
      </c>
      <c r="DW73" s="127">
        <f>$B55*(1+$C$4)^(SUM($F$66:DW$66)+(SUM($F$67:DW$67)))</f>
        <v>0.20858791208791205</v>
      </c>
      <c r="DX73" s="127">
        <f>$B55*(1+$C$4)^(SUM($F$66:DX$66)+(SUM($F$67:DX$67)))</f>
        <v>0.20858791208791205</v>
      </c>
      <c r="DY73" s="127">
        <f>$B55*(1+$C$4)^(SUM($F$66:DY$66)+(SUM($F$67:DY$67)))</f>
        <v>0.20858791208791205</v>
      </c>
      <c r="DZ73" s="127">
        <f>$B55*(1+$C$4)^(SUM($F$66:DZ$66)+(SUM($F$67:DZ$67)))</f>
        <v>0.20858791208791205</v>
      </c>
      <c r="EA73" s="127">
        <f>$B55*(1+$C$4)^(SUM($F$66:EA$66)+(SUM($F$67:EA$67)))</f>
        <v>0.20858791208791205</v>
      </c>
      <c r="EB73" s="127">
        <f>$B55*(1+$C$4)^(SUM($F$66:EB$66)+(SUM($F$67:EB$67)))</f>
        <v>0.20858791208791205</v>
      </c>
      <c r="EC73" s="127">
        <f>$B55*(1+$C$4)^(SUM($F$66:EC$66)+(SUM($F$67:EC$67)))</f>
        <v>0.20858791208791205</v>
      </c>
      <c r="ED73" s="127">
        <f>$B55*(1+$C$4)^(SUM($F$66:ED$66)+(SUM($F$67:ED$67)))</f>
        <v>0.20858791208791205</v>
      </c>
      <c r="EE73" s="127">
        <f>$B55*(1+$C$4)^(SUM($F$66:EE$66)+(SUM($F$67:EE$67)))</f>
        <v>0.20858791208791205</v>
      </c>
      <c r="EF73" s="127">
        <f>$B55*(1+$C$4)^(SUM($F$66:EF$66)+(SUM($F$67:EF$67)))</f>
        <v>0.20858791208791205</v>
      </c>
      <c r="EG73" s="127">
        <f>$B55*(1+$C$4)^(SUM($F$66:EG$66)+(SUM($F$67:EG$67)))</f>
        <v>0.20858791208791205</v>
      </c>
      <c r="EH73" s="127">
        <f>$B55*(1+$C$4)^(SUM($F$66:EH$66)+(SUM($F$67:EH$67)))</f>
        <v>0.20858791208791205</v>
      </c>
      <c r="EI73" s="127">
        <f>$B55*(1+$C$4)^(SUM($F$66:EI$66)+(SUM($F$67:EI$67)))</f>
        <v>0.20858791208791205</v>
      </c>
      <c r="EJ73" s="127">
        <f>$B55*(1+$C$4)^(SUM($F$66:EJ$66)+(SUM($F$67:EJ$67)))</f>
        <v>0.20858791208791205</v>
      </c>
      <c r="EK73" s="127">
        <f>$B55*(1+$C$4)^(SUM($F$66:EK$66)+(SUM($F$67:EK$67)))</f>
        <v>0.20858791208791205</v>
      </c>
      <c r="EL73" s="127">
        <f>$B55*(1+$C$4)^(SUM($F$66:EL$66)+(SUM($F$67:EL$67)))</f>
        <v>0.20858791208791205</v>
      </c>
      <c r="EM73" s="127">
        <f>$B55*(1+$C$4)^(SUM($F$66:EM$66)+(SUM($F$67:EM$67)))</f>
        <v>0.20858791208791205</v>
      </c>
      <c r="EN73" s="127">
        <f>$B55*(1+$C$4)^(SUM($F$66:EN$66)+(SUM($F$67:EN$67)))</f>
        <v>0.20858791208791205</v>
      </c>
      <c r="EO73" s="127">
        <f>$B55*(1+$C$4)^(SUM($F$66:EO$66)+(SUM($F$67:EO$67)))</f>
        <v>0.20858791208791205</v>
      </c>
      <c r="EP73" s="127">
        <f>$B55*(1+$C$4)^(SUM($F$66:EP$66)+(SUM($F$67:EP$67)))</f>
        <v>0.20858791208791205</v>
      </c>
      <c r="EQ73" s="127">
        <f>$B55*(1+$C$4)^(SUM($F$66:EQ$66)+(SUM($F$67:EQ$67)))</f>
        <v>0.20858791208791205</v>
      </c>
      <c r="ER73" s="127">
        <f>$B55*(1+$C$4)^(SUM($F$66:ER$66)+(SUM($F$67:ER$67)))</f>
        <v>0.20858791208791205</v>
      </c>
      <c r="ES73" s="127">
        <f>$B55*(1+$C$4)^(SUM($F$66:ES$66)+(SUM($F$67:ES$67)))</f>
        <v>0.20858791208791205</v>
      </c>
      <c r="ET73" s="127">
        <f>$B55*(1+$C$4)^(SUM($F$66:ET$66)+(SUM($F$67:ET$67)))</f>
        <v>0.20858791208791205</v>
      </c>
      <c r="EU73" s="127">
        <f>$B55*(1+$C$4)^(SUM($F$66:EU$66)+(SUM($F$67:EU$67)))</f>
        <v>0.20858791208791205</v>
      </c>
      <c r="EV73" s="127">
        <f>$B55*(1+$C$4)^(SUM($F$66:EV$66)+(SUM($F$67:EV$67)))</f>
        <v>0.20858791208791205</v>
      </c>
      <c r="EW73" s="127">
        <f>$B55*(1+$C$4)^(SUM($F$66:EW$66)+(SUM($F$67:EW$67)))</f>
        <v>0.20858791208791205</v>
      </c>
      <c r="EX73" s="127">
        <f>$B55*(1+$C$4)^(SUM($F$66:EX$66)+(SUM($F$67:EX$67)))</f>
        <v>0.20858791208791205</v>
      </c>
      <c r="EY73" s="127">
        <f>$B55*(1+$C$4)^(SUM($F$66:EY$66)+(SUM($F$67:EY$67)))</f>
        <v>0.20858791208791205</v>
      </c>
      <c r="EZ73" s="127">
        <f>$B55*(1+$C$4)^(SUM($F$66:EZ$66)+(SUM($F$67:EZ$67)))</f>
        <v>0.20858791208791205</v>
      </c>
      <c r="FA73" s="127">
        <f>$B55*(1+$C$4)^(SUM($F$66:FA$66)+(SUM($F$67:FA$67)))</f>
        <v>0.20858791208791205</v>
      </c>
      <c r="FB73" s="127">
        <f>$B55*(1+$C$4)^(SUM($F$66:FB$66)+(SUM($F$67:FB$67)))</f>
        <v>0.20858791208791205</v>
      </c>
      <c r="FC73" s="127">
        <f>$B55*(1+$C$4)^(SUM($F$66:FC$66)+(SUM($F$67:FC$67)))</f>
        <v>0.20858791208791205</v>
      </c>
      <c r="FD73" s="127">
        <f>$B55*(1+$C$4)^(SUM($F$66:FD$66)+(SUM($F$67:FD$67)))</f>
        <v>0.20858791208791205</v>
      </c>
      <c r="FE73" s="127">
        <f>$B55*(1+$C$4)^(SUM($F$66:FE$66)+(SUM($F$67:FE$67)))</f>
        <v>0.20858791208791205</v>
      </c>
      <c r="FF73" s="127">
        <f>$B55*(1+$C$4)^(SUM($F$66:FF$66)+(SUM($F$67:FF$67)))</f>
        <v>0.20858791208791205</v>
      </c>
      <c r="FG73" s="127">
        <f>$B55*(1+$C$4)^(SUM($F$66:FG$66)+(SUM($F$67:FG$67)))</f>
        <v>0.20858791208791205</v>
      </c>
      <c r="FH73" s="127">
        <f>$B55*(1+$C$4)^(SUM($F$66:FH$66)+(SUM($F$67:FH$67)))</f>
        <v>0.20858791208791205</v>
      </c>
      <c r="FI73" s="127">
        <f>$B55*(1+$C$4)^(SUM($F$66:FI$66)+(SUM($F$67:FI$67)))</f>
        <v>0.20858791208791205</v>
      </c>
      <c r="FJ73" s="127">
        <f>$B55*(1+$C$4)^(SUM($F$66:FJ$66)+(SUM($F$67:FJ$67)))</f>
        <v>0.20858791208791205</v>
      </c>
      <c r="FK73" s="127">
        <f>$B55*(1+$C$4)^(SUM($F$66:FK$66)+(SUM($F$67:FK$67)))</f>
        <v>0.20858791208791205</v>
      </c>
      <c r="FL73" s="127">
        <f>$B55*(1+$C$4)^(SUM($F$66:FL$66)+(SUM($F$67:FL$67)))</f>
        <v>0.20858791208791205</v>
      </c>
      <c r="FM73" s="127">
        <f>$B55*(1+$C$4)^(SUM($F$66:FM$66)+(SUM($F$67:FM$67)))</f>
        <v>0.20858791208791205</v>
      </c>
      <c r="FN73" s="127">
        <f>$B55*(1+$C$4)^(SUM($F$66:FN$66)+(SUM($F$67:FN$67)))</f>
        <v>0.20858791208791205</v>
      </c>
      <c r="FO73" s="127">
        <f>$B55*(1+$C$4)^(SUM($F$66:FO$66)+(SUM($F$67:FO$67)))</f>
        <v>0.20858791208791205</v>
      </c>
      <c r="FP73" s="127">
        <f>$B55*(1+$C$4)^(SUM($F$66:FP$66)+(SUM($F$67:FP$67)))</f>
        <v>0.20858791208791205</v>
      </c>
      <c r="FQ73" s="127">
        <f>$B55*(1+$C$4)^(SUM($F$66:FQ$66)+(SUM($F$67:FQ$67)))</f>
        <v>0.20858791208791205</v>
      </c>
      <c r="FR73" s="127">
        <f>$B55*(1+$C$4)^(SUM($F$66:FR$66)+(SUM($F$67:FR$67)))</f>
        <v>0.20858791208791205</v>
      </c>
      <c r="FS73" s="127">
        <f>$B55*(1+$C$4)^(SUM($F$66:FS$66)+(SUM($F$67:FS$67)))</f>
        <v>0.20858791208791205</v>
      </c>
      <c r="FT73" s="127">
        <f>$B55*(1+$C$4)^(SUM($F$66:FT$66)+(SUM($F$67:FT$67)))</f>
        <v>0.20858791208791205</v>
      </c>
      <c r="FU73" s="127">
        <f>$B55*(1+$C$4)^(SUM($F$66:FU$66)+(SUM($F$67:FU$67)))</f>
        <v>0.20858791208791205</v>
      </c>
      <c r="FV73" s="127">
        <f>$B55*(1+$C$4)^(SUM($F$66:FV$66)+(SUM($F$67:FV$67)))</f>
        <v>0.20858791208791205</v>
      </c>
      <c r="FW73" s="127">
        <f>$B55*(1+$C$4)^(SUM($F$66:FW$66)+(SUM($F$67:FW$67)))</f>
        <v>0.20858791208791205</v>
      </c>
      <c r="FX73" s="127">
        <f>$B55*(1+$C$4)^(SUM($F$66:FX$66)+(SUM($F$67:FX$67)))</f>
        <v>0.20858791208791205</v>
      </c>
      <c r="FY73" s="127">
        <f>$B55*(1+$C$4)^(SUM($F$66:FY$66)+(SUM($F$67:FY$67)))</f>
        <v>0.20858791208791205</v>
      </c>
      <c r="FZ73" s="127">
        <f>$B55*(1+$C$4)^(SUM($F$66:FZ$66)+(SUM($F$67:FZ$67)))</f>
        <v>0.20858791208791205</v>
      </c>
      <c r="GA73" s="127">
        <f>$B55*(1+$C$4)^(SUM($F$66:GA$66)+(SUM($F$67:GA$67)))</f>
        <v>0.20858791208791205</v>
      </c>
      <c r="GB73" s="127">
        <f>$B55*(1+$C$4)^(SUM($F$66:GB$66)+(SUM($F$67:GB$67)))</f>
        <v>0.20858791208791205</v>
      </c>
      <c r="GC73" s="127">
        <f>$B55*(1+$C$4)^(SUM($F$66:GC$66)+(SUM($F$67:GC$67)))</f>
        <v>0.20858791208791205</v>
      </c>
      <c r="GD73" s="127">
        <f>$B55*(1+$C$4)^(SUM($F$66:GD$66)+(SUM($F$67:GD$67)))</f>
        <v>0.20858791208791205</v>
      </c>
      <c r="GE73" s="127">
        <f>$B55*(1+$C$4)^(SUM($F$66:GE$66)+(SUM($F$67:GE$67)))</f>
        <v>0.20858791208791205</v>
      </c>
      <c r="GF73" s="127">
        <f>$B55*(1+$C$4)^(SUM($F$66:GF$66)+(SUM($F$67:GF$67)))</f>
        <v>0.20858791208791205</v>
      </c>
      <c r="GG73" s="127">
        <f>$B55*(1+$C$4)^(SUM($F$66:GG$66)+(SUM($F$67:GG$67)))</f>
        <v>0.20858791208791205</v>
      </c>
      <c r="GH73" s="127">
        <f>$B55*(1+$C$4)^(SUM($F$66:GH$66)+(SUM($F$67:GH$67)))</f>
        <v>0.20858791208791205</v>
      </c>
      <c r="GI73" s="127">
        <f>$B55*(1+$C$4)^(SUM($F$66:GI$66)+(SUM($F$67:GI$67)))</f>
        <v>0.20858791208791205</v>
      </c>
      <c r="GJ73" s="127">
        <f>$B55*(1+$C$4)^(SUM($F$66:GJ$66)+(SUM($F$67:GJ$67)))</f>
        <v>0.20858791208791205</v>
      </c>
      <c r="GK73" s="127">
        <f>$B55*(1+$C$4)^(SUM($F$66:GK$66)+(SUM($F$67:GK$67)))</f>
        <v>0.20858791208791205</v>
      </c>
      <c r="GL73" s="127">
        <f>$B55*(1+$C$4)^(SUM($F$66:GL$66)+(SUM($F$67:GL$67)))</f>
        <v>0.20858791208791205</v>
      </c>
      <c r="GM73" s="127">
        <f>$B55*(1+$C$4)^(SUM($F$66:GM$66)+(SUM($F$67:GM$67)))</f>
        <v>0.20858791208791205</v>
      </c>
      <c r="GN73" s="127">
        <f>$B55*(1+$C$4)^(SUM($F$66:GN$66)+(SUM($F$67:GN$67)))</f>
        <v>0.20858791208791205</v>
      </c>
      <c r="GO73" s="127">
        <f>$B55*(1+$C$4)^(SUM($F$66:GO$66)+(SUM($F$67:GO$67)))</f>
        <v>0.20858791208791205</v>
      </c>
      <c r="GP73" s="127">
        <f>$B55*(1+$C$4)^(SUM($F$66:GP$66)+(SUM($F$67:GP$67)))</f>
        <v>0.20858791208791205</v>
      </c>
      <c r="GQ73" s="127">
        <f>$B55*(1+$C$4)^(SUM($F$66:GQ$66)+(SUM($F$67:GQ$67)))</f>
        <v>0.20858791208791205</v>
      </c>
      <c r="GR73" s="127">
        <f>$B55*(1+$C$4)^(SUM($F$66:GR$66)+(SUM($F$67:GR$67)))</f>
        <v>0.20858791208791205</v>
      </c>
      <c r="GS73" s="127">
        <f>$B55*(1+$C$4)^(SUM($F$66:GS$66)+(SUM($F$67:GS$67)))</f>
        <v>0.20858791208791205</v>
      </c>
      <c r="GT73" s="127">
        <f>$B55*(1+$C$4)^(SUM($F$66:GT$66)+(SUM($F$67:GT$67)))</f>
        <v>0.20858791208791205</v>
      </c>
      <c r="GU73" s="127">
        <f>$B55*(1+$C$4)^(SUM($F$66:GU$66)+(SUM($F$67:GU$67)))</f>
        <v>0.20858791208791205</v>
      </c>
      <c r="GV73" s="127">
        <f>$B55*(1+$C$4)^(SUM($F$66:GV$66)+(SUM($F$67:GV$67)))</f>
        <v>0.20858791208791205</v>
      </c>
      <c r="GW73" s="127">
        <f>$B55*(1+$C$4)^(SUM($F$66:GW$66)+(SUM($F$67:GW$67)))</f>
        <v>0.20858791208791205</v>
      </c>
      <c r="GX73" s="127">
        <f>$B55*(1+$C$4)^(SUM($F$66:GX$66)+(SUM($F$67:GX$67)))</f>
        <v>0.20858791208791205</v>
      </c>
      <c r="GY73" s="127">
        <f>$B55*(1+$C$4)^(SUM($F$66:GY$66)+(SUM($F$67:GY$67)))</f>
        <v>0.20858791208791205</v>
      </c>
      <c r="GZ73" s="127">
        <f>$B55*(1+$C$4)^(SUM($F$66:GZ$66)+(SUM($F$67:GZ$67)))</f>
        <v>0.20858791208791205</v>
      </c>
      <c r="HA73" s="127">
        <f>$B55*(1+$C$4)^(SUM($F$66:HA$66)+(SUM($F$67:HA$67)))</f>
        <v>0.20858791208791205</v>
      </c>
      <c r="HB73" s="127">
        <f>$B55*(1+$C$4)^(SUM($F$66:HB$66)+(SUM($F$67:HB$67)))</f>
        <v>0.20858791208791205</v>
      </c>
      <c r="HC73" s="127">
        <f>$B55*(1+$C$4)^(SUM($F$66:HC$66)+(SUM($F$67:HC$67)))</f>
        <v>0.20858791208791205</v>
      </c>
      <c r="HD73" s="127">
        <f>$B55*(1+$C$4)^(SUM($F$66:HD$66)+(SUM($F$67:HD$67)))</f>
        <v>0.20858791208791205</v>
      </c>
      <c r="HE73" s="127">
        <f>$B55*(1+$C$4)^(SUM($F$66:HE$66)+(SUM($F$67:HE$67)))</f>
        <v>0.20858791208791205</v>
      </c>
      <c r="HF73" s="127">
        <f>$B55*(1+$C$4)^(SUM($F$66:HF$66)+(SUM($F$67:HF$67)))</f>
        <v>0.20858791208791205</v>
      </c>
      <c r="HG73" s="127">
        <f>$B55*(1+$C$4)^(SUM($F$66:HG$66)+(SUM($F$67:HG$67)))</f>
        <v>0.20858791208791205</v>
      </c>
      <c r="HH73" s="127">
        <f>$B55*(1+$C$4)^(SUM($F$66:HH$66)+(SUM($F$67:HH$67)))</f>
        <v>0.20858791208791205</v>
      </c>
      <c r="HI73" s="127">
        <f>$B55*(1+$C$4)^(SUM($F$66:HI$66)+(SUM($F$67:HI$67)))</f>
        <v>0.20858791208791205</v>
      </c>
      <c r="HJ73" s="127">
        <f>$B55*(1+$C$4)^(SUM($F$66:HJ$66)+(SUM($F$67:HJ$67)))</f>
        <v>0.20858791208791205</v>
      </c>
      <c r="HK73" s="127">
        <f>$B55*(1+$C$4)^(SUM($F$66:HK$66)+(SUM($F$67:HK$67)))</f>
        <v>0.20858791208791205</v>
      </c>
      <c r="HL73" s="127">
        <f>$B55*(1+$C$4)^(SUM($F$66:HL$66)+(SUM($F$67:HL$67)))</f>
        <v>0.20858791208791205</v>
      </c>
      <c r="HM73" s="127">
        <f>$B55*(1+$C$4)^(SUM($F$66:HM$66)+(SUM($F$67:HM$67)))</f>
        <v>0.20858791208791205</v>
      </c>
      <c r="HN73" s="127">
        <f>$B55*(1+$C$4)^(SUM($F$66:HN$66)+(SUM($F$67:HN$67)))</f>
        <v>0.20858791208791205</v>
      </c>
      <c r="HO73" s="127">
        <f>$B55*(1+$C$4)^(SUM($F$66:HO$66)+(SUM($F$67:HO$67)))</f>
        <v>0.20858791208791205</v>
      </c>
      <c r="HP73" s="127">
        <f>$B55*(1+$C$4)^(SUM($F$66:HP$66)+(SUM($F$67:HP$67)))</f>
        <v>0.20858791208791205</v>
      </c>
      <c r="HQ73" s="127">
        <f>$B55*(1+$C$4)^(SUM($F$66:HQ$66)+(SUM($F$67:HQ$67)))</f>
        <v>0.20858791208791205</v>
      </c>
      <c r="HR73" s="127">
        <f>$B55*(1+$C$4)^(SUM($F$66:HR$66)+(SUM($F$67:HR$67)))</f>
        <v>0.20858791208791205</v>
      </c>
      <c r="HS73" s="127">
        <f>$B55*(1+$C$4)^(SUM($F$66:HS$66)+(SUM($F$67:HS$67)))</f>
        <v>0.20858791208791205</v>
      </c>
      <c r="HT73" s="127">
        <f>$B55*(1+$C$4)^(SUM($F$66:HT$66)+(SUM($F$67:HT$67)))</f>
        <v>0.20858791208791205</v>
      </c>
      <c r="HU73" s="127">
        <f>$B55*(1+$C$4)^(SUM($F$66:HU$66)+(SUM($F$67:HU$67)))</f>
        <v>0.20858791208791205</v>
      </c>
      <c r="HV73" s="127">
        <f>$B55*(1+$C$4)^(SUM($F$66:HV$66)+(SUM($F$67:HV$67)))</f>
        <v>0.20858791208791205</v>
      </c>
      <c r="HW73" s="127">
        <f>$B55*(1+$C$4)^(SUM($F$66:HW$66)+(SUM($F$67:HW$67)))</f>
        <v>0.20858791208791205</v>
      </c>
      <c r="HX73" s="127">
        <f>$B55*(1+$C$4)^(SUM($F$66:HX$66)+(SUM($F$67:HX$67)))</f>
        <v>0.20858791208791205</v>
      </c>
      <c r="HY73" s="127">
        <f>$B55*(1+$C$4)^(SUM($F$66:HY$66)+(SUM($F$67:HY$67)))</f>
        <v>0.20858791208791205</v>
      </c>
      <c r="HZ73" s="127">
        <f>$B55*(1+$C$4)^(SUM($F$66:HZ$66)+(SUM($F$67:HZ$67)))</f>
        <v>0.20858791208791205</v>
      </c>
      <c r="IA73" s="127">
        <f>$B55*(1+$C$4)^(SUM($F$66:IA$66)+(SUM($F$67:IA$67)))</f>
        <v>0.20858791208791205</v>
      </c>
      <c r="IB73" s="127">
        <f>$B55*(1+$C$4)^(SUM($F$66:IB$66)+(SUM($F$67:IB$67)))</f>
        <v>0.20858791208791205</v>
      </c>
      <c r="IC73" s="127">
        <f>$B55*(1+$C$4)^(SUM($F$66:IC$66)+(SUM($F$67:IC$67)))</f>
        <v>0.20858791208791205</v>
      </c>
      <c r="ID73" s="127">
        <f>$B55*(1+$C$4)^(SUM($F$66:ID$66)+(SUM($F$67:ID$67)))</f>
        <v>0.20858791208791205</v>
      </c>
      <c r="IE73" s="127">
        <f>$B55*(1+$C$4)^(SUM($F$66:IE$66)+(SUM($F$67:IE$67)))</f>
        <v>0.20858791208791205</v>
      </c>
      <c r="IF73" s="127">
        <f>$B55*(1+$C$4)^(SUM($F$66:IF$66)+(SUM($F$67:IF$67)))</f>
        <v>0.20858791208791205</v>
      </c>
      <c r="IG73" s="127">
        <f>$B55*(1+$C$4)^(SUM($F$66:IG$66)+(SUM($F$67:IG$67)))</f>
        <v>0.20858791208791205</v>
      </c>
      <c r="IH73" s="127">
        <f>$B55*(1+$C$4)^(SUM($F$66:IH$66)+(SUM($F$67:IH$67)))</f>
        <v>0.20858791208791205</v>
      </c>
      <c r="II73" s="127">
        <f>$B55*(1+$C$4)^(SUM($F$66:II$66)+(SUM($F$67:II$67)))</f>
        <v>0.20858791208791205</v>
      </c>
      <c r="IJ73" s="127">
        <f>$B55*(1+$C$4)^(SUM($F$66:IJ$66)+(SUM($F$67:IJ$67)))</f>
        <v>0.20858791208791205</v>
      </c>
      <c r="IK73" s="127">
        <f>$B55*(1+$C$4)^(SUM($F$66:IK$66)+(SUM($F$67:IK$67)))</f>
        <v>0.20858791208791205</v>
      </c>
      <c r="IL73" s="127">
        <f>$B55*(1+$C$4)^(SUM($F$66:IL$66)+(SUM($F$67:IL$67)))</f>
        <v>0.20858791208791205</v>
      </c>
      <c r="IM73" s="127">
        <f>$B55*(1+$C$4)^(SUM($F$66:IM$66)+(SUM($F$67:IM$67)))</f>
        <v>0.20858791208791205</v>
      </c>
      <c r="IN73" s="127">
        <f>$B55*(1+$C$4)^(SUM($F$66:IN$66)+(SUM($F$67:IN$67)))</f>
        <v>0.20858791208791205</v>
      </c>
      <c r="IO73" s="127">
        <f>$B55*(1+$C$4)^(SUM($F$66:IO$66)+(SUM($F$67:IO$67)))</f>
        <v>0.20858791208791205</v>
      </c>
      <c r="IP73" s="127">
        <f>$B55*(1+$C$4)^(SUM($F$66:IP$66)+(SUM($F$67:IP$67)))</f>
        <v>0.20858791208791205</v>
      </c>
      <c r="IQ73" s="127">
        <f>$B55*(1+$C$4)^(SUM($F$66:IQ$66)+(SUM($F$67:IQ$67)))</f>
        <v>0.20858791208791205</v>
      </c>
      <c r="IR73" s="127">
        <f>$B55*(1+$C$4)^(SUM($F$66:IR$66)+(SUM($F$67:IR$67)))</f>
        <v>0.20858791208791205</v>
      </c>
      <c r="IS73" s="127">
        <f>$B55*(1+$C$4)^(SUM($F$66:IS$66)+(SUM($F$67:IS$67)))</f>
        <v>0.20858791208791205</v>
      </c>
      <c r="IT73" s="127">
        <f>$B55*(1+$C$4)^(SUM($F$66:IT$66)+(SUM($F$67:IT$67)))</f>
        <v>0.20858791208791205</v>
      </c>
      <c r="IU73" s="127">
        <f>$B55*(1+$C$4)^(SUM($F$66:IU$66)+(SUM($F$67:IU$67)))</f>
        <v>0.20858791208791205</v>
      </c>
      <c r="IV73" s="127">
        <f>$B55*(1+$C$4)^(SUM($F$66:IV$66)+(SUM($F$67:IV$67)))</f>
        <v>0.20858791208791205</v>
      </c>
      <c r="IW73" s="127">
        <f>$B55*(1+$C$4)^(SUM($F$66:IW$66)+(SUM($F$67:IW$67)))</f>
        <v>0.20858791208791205</v>
      </c>
      <c r="IX73" s="127">
        <f>$B55*(1+$C$4)^(SUM($F$66:IX$66)+(SUM($F$67:IX$67)))</f>
        <v>0.20858791208791205</v>
      </c>
      <c r="IY73" s="127">
        <f>$B55*(1+$C$4)^(SUM($F$66:IY$66)+(SUM($F$67:IY$67)))</f>
        <v>0.20858791208791205</v>
      </c>
      <c r="IZ73" s="127">
        <f>$B55*(1+$C$4)^(SUM($F$66:IZ$66)+(SUM($F$67:IZ$67)))</f>
        <v>0.20858791208791205</v>
      </c>
      <c r="JA73" s="127">
        <f>$B55*(1+$C$4)^(SUM($F$66:JA$66)+(SUM($F$67:JA$67)))</f>
        <v>0.20858791208791205</v>
      </c>
      <c r="JB73" s="127">
        <f>$B55*(1+$C$4)^(SUM($F$66:JB$66)+(SUM($F$67:JB$67)))</f>
        <v>0.20858791208791205</v>
      </c>
      <c r="JC73" s="127">
        <f>$B55*(1+$C$4)^(SUM($F$66:JC$66)+(SUM($F$67:JC$67)))</f>
        <v>0.20858791208791205</v>
      </c>
      <c r="JD73" s="127">
        <f>$B55*(1+$C$4)^(SUM($F$66:JD$66)+(SUM($F$67:JD$67)))</f>
        <v>0.20858791208791205</v>
      </c>
      <c r="JE73" s="127">
        <f>$B55*(1+$C$4)^(SUM($F$66:JE$66)+(SUM($F$67:JE$67)))</f>
        <v>0.20858791208791205</v>
      </c>
      <c r="JF73" s="127">
        <f>$B55*(1+$C$4)^(SUM($F$66:JF$66)+(SUM($F$67:JF$67)))</f>
        <v>0.20858791208791205</v>
      </c>
      <c r="JG73" s="127">
        <f>$B55*(1+$C$4)^(SUM($F$66:JG$66)+(SUM($F$67:JG$67)))</f>
        <v>0.20858791208791205</v>
      </c>
      <c r="JH73" s="127">
        <f>$B55*(1+$C$4)^(SUM($F$66:JH$66)+(SUM($F$67:JH$67)))</f>
        <v>0.20858791208791205</v>
      </c>
      <c r="JI73" s="127">
        <f>$B55*(1+$C$4)^(SUM($F$66:JI$66)+(SUM($F$67:JI$67)))</f>
        <v>0.20858791208791205</v>
      </c>
      <c r="JJ73" s="127">
        <f>$B55*(1+$C$4)^(SUM($F$66:JJ$66)+(SUM($F$67:JJ$67)))</f>
        <v>0.20858791208791205</v>
      </c>
      <c r="JK73" s="127">
        <f>$B55*(1+$C$4)^(SUM($F$66:JK$66)+(SUM($F$67:JK$67)))</f>
        <v>0.20858791208791205</v>
      </c>
      <c r="JL73" s="127">
        <f>$B55*(1+$C$4)^(SUM($F$66:JL$66)+(SUM($F$67:JL$67)))</f>
        <v>0.20858791208791205</v>
      </c>
      <c r="JM73" s="127">
        <f>$B55*(1+$C$4)^(SUM($F$66:JM$66)+(SUM($F$67:JM$67)))</f>
        <v>0.20858791208791205</v>
      </c>
      <c r="JN73" s="127">
        <f>$B55*(1+$C$4)^(SUM($F$66:JN$66)+(SUM($F$67:JN$67)))</f>
        <v>0.20858791208791205</v>
      </c>
      <c r="JO73" s="127">
        <f>$B55*(1+$C$4)^(SUM($F$66:JO$66)+(SUM($F$67:JO$67)))</f>
        <v>0.20858791208791205</v>
      </c>
      <c r="JP73" s="127">
        <f>$B55*(1+$C$4)^(SUM($F$66:JP$66)+(SUM($F$67:JP$67)))</f>
        <v>0.20858791208791205</v>
      </c>
      <c r="JQ73" s="127">
        <f>$B55*(1+$C$4)^(SUM($F$66:JQ$66)+(SUM($F$67:JQ$67)))</f>
        <v>0.20858791208791205</v>
      </c>
      <c r="JR73" s="127">
        <f>$B55*(1+$C$4)^(SUM($F$66:JR$66)+(SUM($F$67:JR$67)))</f>
        <v>0.20858791208791205</v>
      </c>
      <c r="JS73" s="127">
        <f>$B55*(1+$C$4)^(SUM($F$66:JS$66)+(SUM($F$67:JS$67)))</f>
        <v>0.20858791208791205</v>
      </c>
      <c r="JT73" s="127">
        <f>$B55*(1+$C$4)^(SUM($F$66:JT$66)+(SUM($F$67:JT$67)))</f>
        <v>0.20858791208791205</v>
      </c>
      <c r="JU73" s="127">
        <f>$B55*(1+$C$4)^(SUM($F$66:JU$66)+(SUM($F$67:JU$67)))</f>
        <v>0.20858791208791205</v>
      </c>
      <c r="JV73" s="127">
        <f>$B55*(1+$C$4)^(SUM($F$66:JV$66)+(SUM($F$67:JV$67)))</f>
        <v>0.20858791208791205</v>
      </c>
      <c r="JW73" s="127">
        <f>$B55*(1+$C$4)^(SUM($F$66:JW$66)+(SUM($F$67:JW$67)))</f>
        <v>0.20858791208791205</v>
      </c>
      <c r="JX73" s="127">
        <f>$B55*(1+$C$4)^(SUM($F$66:JX$66)+(SUM($F$67:JX$67)))</f>
        <v>0.20858791208791205</v>
      </c>
      <c r="JY73" s="127">
        <f>$B55*(1+$C$4)^(SUM($F$66:JY$66)+(SUM($F$67:JY$67)))</f>
        <v>0.20858791208791205</v>
      </c>
      <c r="JZ73" s="127">
        <f>$B55*(1+$C$4)^(SUM($F$66:JZ$66)+(SUM($F$67:JZ$67)))</f>
        <v>0.20858791208791205</v>
      </c>
      <c r="KA73" s="127">
        <f>$B55*(1+$C$4)^(SUM($F$66:KA$66)+(SUM($F$67:KA$67)))</f>
        <v>0.20858791208791205</v>
      </c>
      <c r="KB73" s="127">
        <f>$B55*(1+$C$4)^(SUM($F$66:KB$66)+(SUM($F$67:KB$67)))</f>
        <v>0.20858791208791205</v>
      </c>
      <c r="KC73" s="127">
        <f>$B55*(1+$C$4)^(SUM($F$66:KC$66)+(SUM($F$67:KC$67)))</f>
        <v>0.20858791208791205</v>
      </c>
      <c r="KD73" s="127">
        <f>$B55*(1+$C$4)^(SUM($F$66:KD$66)+(SUM($F$67:KD$67)))</f>
        <v>0.20858791208791205</v>
      </c>
      <c r="KE73" s="127">
        <f>$B55*(1+$C$4)^(SUM($F$66:KE$66)+(SUM($F$67:KE$67)))</f>
        <v>0.20858791208791205</v>
      </c>
      <c r="KF73" s="127">
        <f>$B55*(1+$C$4)^(SUM($F$66:KF$66)+(SUM($F$67:KF$67)))</f>
        <v>0.20858791208791205</v>
      </c>
      <c r="KG73" s="127">
        <f>$B55*(1+$C$4)^(SUM($F$66:KG$66)+(SUM($F$67:KG$67)))</f>
        <v>0.20858791208791205</v>
      </c>
      <c r="KH73" s="127">
        <f>$B55*(1+$C$4)^(SUM($F$66:KH$66)+(SUM($F$67:KH$67)))</f>
        <v>0.20858791208791205</v>
      </c>
      <c r="KI73" s="127">
        <f>$B55*(1+$C$4)^(SUM($F$66:KI$66)+(SUM($F$67:KI$67)))</f>
        <v>0.20858791208791205</v>
      </c>
      <c r="KJ73" s="127">
        <f>$B55*(1+$C$4)^(SUM($F$66:KJ$66)+(SUM($F$67:KJ$67)))</f>
        <v>0.20858791208791205</v>
      </c>
      <c r="KK73" s="127">
        <f>$B55*(1+$C$4)^(SUM($F$66:KK$66)+(SUM($F$67:KK$67)))</f>
        <v>0.20858791208791205</v>
      </c>
      <c r="KL73" s="127">
        <f>$B55*(1+$C$4)^(SUM($F$66:KL$66)+(SUM($F$67:KL$67)))</f>
        <v>0.20858791208791205</v>
      </c>
      <c r="KM73" s="127">
        <f>$B55*(1+$C$4)^(SUM($F$66:KM$66)+(SUM($F$67:KM$67)))</f>
        <v>0.20858791208791205</v>
      </c>
      <c r="KN73" s="127">
        <f>$B55*(1+$C$4)^(SUM($F$66:KN$66)+(SUM($F$67:KN$67)))</f>
        <v>0.20858791208791205</v>
      </c>
      <c r="KO73" s="127">
        <f>$B55*(1+$C$4)^(SUM($F$66:KO$66)+(SUM($F$67:KO$67)))</f>
        <v>0.20858791208791205</v>
      </c>
      <c r="KP73" s="127">
        <f>$B55*(1+$C$4)^(SUM($F$66:KP$66)+(SUM($F$67:KP$67)))</f>
        <v>0.20858791208791205</v>
      </c>
      <c r="KQ73" s="127">
        <f>$B55*(1+$C$4)^(SUM($F$66:KQ$66)+(SUM($F$67:KQ$67)))</f>
        <v>0.20858791208791205</v>
      </c>
      <c r="KR73" s="127">
        <f>$B55*(1+$C$4)^(SUM($F$66:KR$66)+(SUM($F$67:KR$67)))</f>
        <v>0.20858791208791205</v>
      </c>
      <c r="KS73" s="127">
        <f>$B55*(1+$C$4)^(SUM($F$66:KS$66)+(SUM($F$67:KS$67)))</f>
        <v>0.20858791208791205</v>
      </c>
      <c r="KT73" s="127">
        <f>$B55*(1+$C$4)^(SUM($F$66:KT$66)+(SUM($F$67:KT$67)))</f>
        <v>0.20858791208791205</v>
      </c>
      <c r="KU73" s="127">
        <f>$B55*(1+$C$4)^(SUM($F$66:KU$66)+(SUM($F$67:KU$67)))</f>
        <v>0.20858791208791205</v>
      </c>
      <c r="KV73" s="127">
        <f>$B55*(1+$C$4)^(SUM($F$66:KV$66)+(SUM($F$67:KV$67)))</f>
        <v>0.20858791208791205</v>
      </c>
      <c r="KW73" s="127">
        <f>$B55*(1+$C$4)^(SUM($F$66:KW$66)+(SUM($F$67:KW$67)))</f>
        <v>0.20858791208791205</v>
      </c>
      <c r="KX73" s="127">
        <f>$B55*(1+$C$4)^(SUM($F$66:KX$66)+(SUM($F$67:KX$67)))</f>
        <v>0.20858791208791205</v>
      </c>
      <c r="KY73" s="127">
        <f>$B55*(1+$C$4)^(SUM($F$66:KY$66)+(SUM($F$67:KY$67)))</f>
        <v>0.20858791208791205</v>
      </c>
      <c r="KZ73" s="127">
        <f>$B55*(1+$C$4)^(SUM($F$66:KZ$66)+(SUM($F$67:KZ$67)))</f>
        <v>0.20858791208791205</v>
      </c>
      <c r="LA73" s="127">
        <f>$B55*(1+$C$4)^(SUM($F$66:LA$66)+(SUM($F$67:LA$67)))</f>
        <v>0.20858791208791205</v>
      </c>
      <c r="LB73" s="127">
        <f>$B55*(1+$C$4)^(SUM($F$66:LB$66)+(SUM($F$67:LB$67)))</f>
        <v>0.20858791208791205</v>
      </c>
      <c r="LC73" s="127">
        <f>$B55*(1+$C$4)^(SUM($F$66:LC$66)+(SUM($F$67:LC$67)))</f>
        <v>0.20858791208791205</v>
      </c>
      <c r="LD73" s="127">
        <f>$B55*(1+$C$4)^(SUM($F$66:LD$66)+(SUM($F$67:LD$67)))</f>
        <v>0.20858791208791205</v>
      </c>
      <c r="LE73" s="127">
        <f>$B55*(1+$C$4)^(SUM($F$66:LE$66)+(SUM($F$67:LE$67)))</f>
        <v>0.20858791208791205</v>
      </c>
      <c r="LF73" s="127">
        <f>$B55*(1+$C$4)^(SUM($F$66:LF$66)+(SUM($F$67:LF$67)))</f>
        <v>0.20858791208791205</v>
      </c>
      <c r="LG73" s="127">
        <f>$B55*(1+$C$4)^(SUM($F$66:LG$66)+(SUM($F$67:LG$67)))</f>
        <v>0.20858791208791205</v>
      </c>
      <c r="LH73" s="127">
        <f>$B55*(1+$C$4)^(SUM($F$66:LH$66)+(SUM($F$67:LH$67)))</f>
        <v>0.20858791208791205</v>
      </c>
      <c r="LI73" s="127">
        <f>$B55*(1+$C$4)^(SUM($F$66:LI$66)+(SUM($F$67:LI$67)))</f>
        <v>0.20858791208791205</v>
      </c>
      <c r="LJ73" s="127">
        <f>$B55*(1+$C$4)^(SUM($F$66:LJ$66)+(SUM($F$67:LJ$67)))</f>
        <v>0.20858791208791205</v>
      </c>
      <c r="LK73" s="127">
        <f>$B55*(1+$C$4)^(SUM($F$66:LK$66)+(SUM($F$67:LK$67)))</f>
        <v>0.20858791208791205</v>
      </c>
      <c r="LL73" s="127">
        <f>$B55*(1+$C$4)^(SUM($F$66:LL$66)+(SUM($F$67:LL$67)))</f>
        <v>0.20858791208791205</v>
      </c>
      <c r="LM73" s="127">
        <f>$B55*(1+$C$4)^(SUM($F$66:LM$66)+(SUM($F$67:LM$67)))</f>
        <v>0.20858791208791205</v>
      </c>
      <c r="LN73" s="127">
        <f>$B55*(1+$C$4)^(SUM($F$66:LN$66)+(SUM($F$67:LN$67)))</f>
        <v>0.20858791208791205</v>
      </c>
      <c r="LO73" s="127">
        <f>$B55*(1+$C$4)^(SUM($F$66:LO$66)+(SUM($F$67:LO$67)))</f>
        <v>0.20858791208791205</v>
      </c>
      <c r="LP73" s="127">
        <f>$B55*(1+$C$4)^(SUM($F$66:LP$66)+(SUM($F$67:LP$67)))</f>
        <v>0.20858791208791205</v>
      </c>
      <c r="LQ73" s="127">
        <f>$B55*(1+$C$4)^(SUM($F$66:LQ$66)+(SUM($F$67:LQ$67)))</f>
        <v>0.20858791208791205</v>
      </c>
      <c r="LR73" s="127">
        <f>$B55*(1+$C$4)^(SUM($F$66:LR$66)+(SUM($F$67:LR$67)))</f>
        <v>0.20858791208791205</v>
      </c>
      <c r="LS73" s="127">
        <f>$B55*(1+$C$4)^(SUM($F$66:LS$66)+(SUM($F$67:LS$67)))</f>
        <v>0.20858791208791205</v>
      </c>
      <c r="LT73" s="127">
        <f>$B55*(1+$C$4)^(SUM($F$66:LT$66)+(SUM($F$67:LT$67)))</f>
        <v>0.20858791208791205</v>
      </c>
      <c r="LU73" s="127">
        <f>$B55*(1+$C$4)^(SUM($F$66:LU$66)+(SUM($F$67:LU$67)))</f>
        <v>0.20858791208791205</v>
      </c>
      <c r="LV73" s="127">
        <f>$B55*(1+$C$4)^(SUM($F$66:LV$66)+(SUM($F$67:LV$67)))</f>
        <v>0.20858791208791205</v>
      </c>
      <c r="LW73" s="127">
        <f>$B55*(1+$C$4)^(SUM($F$66:LW$66)+(SUM($F$67:LW$67)))</f>
        <v>0.20858791208791205</v>
      </c>
      <c r="LX73" s="127">
        <f>$B55*(1+$C$4)^(SUM($F$66:LX$66)+(SUM($F$67:LX$67)))</f>
        <v>0.20858791208791205</v>
      </c>
      <c r="LY73" s="127">
        <f>$B55*(1+$C$4)^(SUM($F$66:LY$66)+(SUM($F$67:LY$67)))</f>
        <v>0.20858791208791205</v>
      </c>
      <c r="LZ73" s="127">
        <f>$B55*(1+$C$4)^(SUM($F$66:LZ$66)+(SUM($F$67:LZ$67)))</f>
        <v>0.20858791208791205</v>
      </c>
      <c r="MA73" s="127">
        <f>$B55*(1+$C$4)^(SUM($F$66:MA$66)+(SUM($F$67:MA$67)))</f>
        <v>0.20858791208791205</v>
      </c>
      <c r="MB73" s="127">
        <f>$B55*(1+$C$4)^(SUM($F$66:MB$66)+(SUM($F$67:MB$67)))</f>
        <v>0.20858791208791205</v>
      </c>
      <c r="MC73" s="127">
        <f>$B55*(1+$C$4)^(SUM($F$66:MC$66)+(SUM($F$67:MC$67)))</f>
        <v>0.20858791208791205</v>
      </c>
      <c r="MD73" s="127">
        <f>$B55*(1+$C$4)^(SUM($F$66:MD$66)+(SUM($F$67:MD$67)))</f>
        <v>0.20858791208791205</v>
      </c>
      <c r="ME73" s="127">
        <f>$B55*(1+$C$4)^(SUM($F$66:ME$66)+(SUM($F$67:ME$67)))</f>
        <v>0.20858791208791205</v>
      </c>
      <c r="MF73" s="127">
        <f>$B55*(1+$C$4)^(SUM($F$66:MF$66)+(SUM($F$67:MF$67)))</f>
        <v>0.20858791208791205</v>
      </c>
      <c r="MG73" s="127">
        <f>$B55*(1+$C$4)^(SUM($F$66:MG$66)+(SUM($F$67:MG$67)))</f>
        <v>0.20858791208791205</v>
      </c>
      <c r="MH73" s="127">
        <f>$B55*(1+$C$4)^(SUM($F$66:MH$66)+(SUM($F$67:MH$67)))</f>
        <v>0.20858791208791205</v>
      </c>
      <c r="MI73" s="127">
        <f>$B55*(1+$C$4)^(SUM($F$66:MI$66)+(SUM($F$67:MI$67)))</f>
        <v>0.20858791208791205</v>
      </c>
      <c r="MJ73" s="127">
        <f>$B55*(1+$C$4)^(SUM($F$66:MJ$66)+(SUM($F$67:MJ$67)))</f>
        <v>0.20858791208791205</v>
      </c>
      <c r="MK73" s="127">
        <f>$B55*(1+$C$4)^(SUM($F$66:MK$66)+(SUM($F$67:MK$67)))</f>
        <v>0.20858791208791205</v>
      </c>
      <c r="ML73" s="127">
        <f>$B55*(1+$C$4)^(SUM($F$66:ML$66)+(SUM($F$67:ML$67)))</f>
        <v>0.20858791208791205</v>
      </c>
      <c r="MM73" s="127">
        <f>$B55*(1+$C$4)^(SUM($F$66:MM$66)+(SUM($F$67:MM$67)))</f>
        <v>0.20858791208791205</v>
      </c>
      <c r="MN73" s="127">
        <f>$B55*(1+$C$4)^(SUM($F$66:MN$66)+(SUM($F$67:MN$67)))</f>
        <v>0.20858791208791205</v>
      </c>
      <c r="MO73" s="127">
        <f>$B55*(1+$C$4)^(SUM($F$66:MO$66)+(SUM($F$67:MO$67)))</f>
        <v>0.20858791208791205</v>
      </c>
      <c r="MP73" s="127">
        <f>$B55*(1+$C$4)^(SUM($F$66:MP$66)+(SUM($F$67:MP$67)))</f>
        <v>0.20858791208791205</v>
      </c>
      <c r="MQ73" s="127">
        <f>$B55*(1+$C$4)^(SUM($F$66:MQ$66)+(SUM($F$67:MQ$67)))</f>
        <v>0.20858791208791205</v>
      </c>
      <c r="MR73" s="127">
        <f>$B55*(1+$C$4)^(SUM($F$66:MR$66)+(SUM($F$67:MR$67)))</f>
        <v>0.20858791208791205</v>
      </c>
      <c r="MS73" s="127">
        <f>$B55*(1+$C$4)^(SUM($F$66:MS$66)+(SUM($F$67:MS$67)))</f>
        <v>0.20858791208791205</v>
      </c>
      <c r="MT73" s="127">
        <f>$B55*(1+$C$4)^(SUM($F$66:MT$66)+(SUM($F$67:MT$67)))</f>
        <v>0.20858791208791205</v>
      </c>
      <c r="MU73" s="127">
        <f>$B55*(1+$C$4)^(SUM($F$66:MU$66)+(SUM($F$67:MU$67)))</f>
        <v>0.20858791208791205</v>
      </c>
      <c r="MV73" s="127">
        <f>$B55*(1+$C$4)^(SUM($F$66:MV$66)+(SUM($F$67:MV$67)))</f>
        <v>0.20858791208791205</v>
      </c>
      <c r="MW73" s="127">
        <f>$B55*(1+$C$4)^(SUM($F$66:MW$66)+(SUM($F$67:MW$67)))</f>
        <v>0.20858791208791205</v>
      </c>
      <c r="MX73" s="127">
        <f>$B55*(1+$C$4)^(SUM($F$66:MX$66)+(SUM($F$67:MX$67)))</f>
        <v>0.20858791208791205</v>
      </c>
      <c r="MY73" s="127">
        <f>$B55*(1+$C$4)^(SUM($F$66:MY$66)+(SUM($F$67:MY$67)))</f>
        <v>0.20858791208791205</v>
      </c>
      <c r="MZ73" s="127">
        <f>$B55*(1+$C$4)^(SUM($F$66:MZ$66)+(SUM($F$67:MZ$67)))</f>
        <v>0.20858791208791205</v>
      </c>
      <c r="NA73" s="127">
        <f>$B55*(1+$C$4)^(SUM($F$66:NA$66)+(SUM($F$67:NA$67)))</f>
        <v>0.20858791208791205</v>
      </c>
      <c r="NB73" s="127">
        <f>$B55*(1+$C$4)^(SUM($F$66:NB$66)+(SUM($F$67:NB$67)))</f>
        <v>0.20858791208791205</v>
      </c>
      <c r="NC73" s="127">
        <f>$B55*(1+$C$4)^(SUM($F$66:NC$66)+(SUM($F$67:NC$67)))</f>
        <v>0.20858791208791205</v>
      </c>
      <c r="ND73" s="127">
        <f>$B55*(1+$C$4)^(SUM($F$66:ND$66)+(SUM($F$67:ND$67)))</f>
        <v>0.20858791208791205</v>
      </c>
      <c r="NE73" s="127">
        <f>$B55*(1+$C$4)^(SUM($F$66:NE$66)+(SUM($F$67:NE$67)))</f>
        <v>0.20858791208791205</v>
      </c>
      <c r="NF73" s="127">
        <f>$B55*(1+$C$4)^(SUM($F$66:NF$66)+(SUM($F$67:NF$67)))</f>
        <v>0.20858791208791205</v>
      </c>
      <c r="NG73" s="127">
        <f>$B55*(1+$C$4)^(SUM($F$66:NG$66)+(SUM($F$67:NG$67)))</f>
        <v>0.20858791208791205</v>
      </c>
      <c r="NH73" s="127">
        <f>$B55*(1+$C$4)^(SUM($F$66:NH$66)+(SUM($F$67:NH$67)))</f>
        <v>0.20858791208791205</v>
      </c>
      <c r="NI73" s="127">
        <f>$B55*(1+$C$4)^(SUM($F$66:NI$66)+(SUM($F$67:NI$67)))</f>
        <v>0.20858791208791205</v>
      </c>
      <c r="NJ73" s="127">
        <f>$B55*(1+$C$4)^(SUM($F$66:NJ$66)+(SUM($F$67:NJ$67)))</f>
        <v>0.20858791208791205</v>
      </c>
      <c r="NK73" s="127">
        <f>$B55*(1+$C$4)^(SUM($F$66:NK$66)+(SUM($F$67:NK$67)))</f>
        <v>0.20858791208791205</v>
      </c>
      <c r="NL73" s="127">
        <f>$B55*(1+$C$4)^(SUM($F$66:NL$66)+(SUM($F$67:NL$67)))</f>
        <v>0.20858791208791205</v>
      </c>
      <c r="NM73" s="127">
        <f>$B55*(1+$C$4)^(SUM($F$66:NM$66)+(SUM($F$67:NM$67)))</f>
        <v>0.20858791208791205</v>
      </c>
      <c r="NN73" s="127">
        <f>$B55*(1+$C$4)^(SUM($F$66:NN$66)+(SUM($F$67:NN$67)))</f>
        <v>0.20858791208791205</v>
      </c>
      <c r="NO73" s="127">
        <f>$B55*(1+$C$4)^(SUM($F$66:NO$66)+(SUM($F$67:NO$67)))</f>
        <v>0.20858791208791205</v>
      </c>
      <c r="NP73" s="127">
        <f>$B55*(1+$C$4)^(SUM($F$66:NP$66)+(SUM($F$67:NP$67)))</f>
        <v>0.20858791208791205</v>
      </c>
      <c r="NQ73" s="127">
        <f>$B55*(1+$C$4)^(SUM($F$66:NQ$66)+(SUM($F$67:NQ$67)))</f>
        <v>0.20858791208791205</v>
      </c>
      <c r="NR73" s="127">
        <f>$B55*(1+$C$4)^(SUM($F$66:NR$66)+(SUM($F$67:NR$67)))</f>
        <v>0.20858791208791205</v>
      </c>
      <c r="NS73" s="127">
        <f>$B55*(1+$C$4)^(SUM($F$66:NS$66)+(SUM($F$67:NS$67)))</f>
        <v>0.20858791208791205</v>
      </c>
      <c r="NT73" s="127">
        <f>$B55*(1+$C$4)^(SUM($F$66:NT$66)+(SUM($F$67:NT$67)))</f>
        <v>0.20858791208791205</v>
      </c>
      <c r="NU73" s="127">
        <f>$B55*(1+$C$4)^(SUM($F$66:NU$66)+(SUM($F$67:NU$67)))</f>
        <v>0.20858791208791205</v>
      </c>
      <c r="NV73" s="127">
        <f>$B55*(1+$C$4)^(SUM($F$66:NV$66)+(SUM($F$67:NV$67)))</f>
        <v>0.20858791208791205</v>
      </c>
      <c r="NW73" s="127">
        <f>$B55*(1+$C$4)^(SUM($F$66:NW$66)+(SUM($F$67:NW$67)))</f>
        <v>0.20858791208791205</v>
      </c>
      <c r="NX73" s="127">
        <f>$B55*(1+$C$4)^(SUM($F$66:NX$66)+(SUM($F$67:NX$67)))</f>
        <v>0.20858791208791205</v>
      </c>
      <c r="NY73" s="127">
        <f>$B55*(1+$C$4)^(SUM($F$66:NY$66)+(SUM($F$67:NY$67)))</f>
        <v>0.20858791208791205</v>
      </c>
      <c r="NZ73" s="127">
        <f>$B55*(1+$C$4)^(SUM($F$66:NZ$66)+(SUM($F$67:NZ$67)))</f>
        <v>0.20858791208791205</v>
      </c>
      <c r="OA73" s="127">
        <f>$B55*(1+$C$4)^(SUM($F$66:OA$66)+(SUM($F$67:OA$67)))</f>
        <v>0.20858791208791205</v>
      </c>
      <c r="OB73" s="127">
        <f>$B55*(1+$C$4)^(SUM($F$66:OB$66)+(SUM($F$67:OB$67)))</f>
        <v>0.20858791208791205</v>
      </c>
      <c r="OC73" s="127">
        <f>$B55*(1+$C$4)^(SUM($F$66:OC$66)+(SUM($F$67:OC$67)))</f>
        <v>0.20858791208791205</v>
      </c>
      <c r="OD73" s="127">
        <f>$B55*(1+$C$4)^(SUM($F$66:OD$66)+(SUM($F$67:OD$67)))</f>
        <v>0.20858791208791205</v>
      </c>
      <c r="OE73" s="127">
        <f>$B55*(1+$C$4)^(SUM($F$66:OE$66)+(SUM($F$67:OE$67)))</f>
        <v>0.20858791208791205</v>
      </c>
      <c r="OF73" s="127">
        <f>$B55*(1+$C$4)^(SUM($F$66:OF$66)+(SUM($F$67:OF$67)))</f>
        <v>0.20858791208791205</v>
      </c>
      <c r="OG73" s="127">
        <f>$B55*(1+$C$4)^(SUM($F$66:OG$66)+(SUM($F$67:OG$67)))</f>
        <v>0.20858791208791205</v>
      </c>
      <c r="OH73" s="127">
        <f>$B55*(1+$C$4)^(SUM($F$66:OH$66)+(SUM($F$67:OH$67)))</f>
        <v>0.20858791208791205</v>
      </c>
      <c r="OI73" s="127">
        <f>$B55*(1+$C$4)^(SUM($F$66:OI$66)+(SUM($F$67:OI$67)))</f>
        <v>0.20858791208791205</v>
      </c>
      <c r="OJ73" s="127">
        <f>$B55*(1+$C$4)^(SUM($F$66:OJ$66)+(SUM($F$67:OJ$67)))</f>
        <v>0.20858791208791205</v>
      </c>
      <c r="OK73" s="127">
        <f>$B55*(1+$C$4)^(SUM($F$66:OK$66)+(SUM($F$67:OK$67)))</f>
        <v>0.20858791208791205</v>
      </c>
      <c r="OL73" s="127">
        <f>$B55*(1+$C$4)^(SUM($F$66:OL$66)+(SUM($F$67:OL$67)))</f>
        <v>0.20858791208791205</v>
      </c>
      <c r="OM73" s="127">
        <f>$B55*(1+$C$4)^(SUM($F$66:OM$66)+(SUM($F$67:OM$67)))</f>
        <v>0.20858791208791205</v>
      </c>
      <c r="ON73" s="127">
        <f>$B55*(1+$C$4)^(SUM($F$66:ON$66)+(SUM($F$67:ON$67)))</f>
        <v>0.20858791208791205</v>
      </c>
      <c r="OO73" s="127">
        <f>$B55*(1+$C$4)^(SUM($F$66:OO$66)+(SUM($F$67:OO$67)))</f>
        <v>0.20858791208791205</v>
      </c>
      <c r="OP73" s="127">
        <f>$B55*(1+$C$4)^(SUM($F$66:OP$66)+(SUM($F$67:OP$67)))</f>
        <v>0.20858791208791205</v>
      </c>
      <c r="OQ73" s="127">
        <f>$B55*(1+$C$4)^(SUM($F$66:OQ$66)+(SUM($F$67:OQ$67)))</f>
        <v>0.20858791208791205</v>
      </c>
      <c r="OR73" s="127">
        <f>$B55*(1+$C$4)^(SUM($F$66:OR$66)+(SUM($F$67:OR$67)))</f>
        <v>0.20858791208791205</v>
      </c>
      <c r="OS73" s="127">
        <f>$B55*(1+$C$4)^(SUM($F$66:OS$66)+(SUM($F$67:OS$67)))</f>
        <v>0.20858791208791205</v>
      </c>
      <c r="OT73" s="127">
        <f>$B55*(1+$C$4)^(SUM($F$66:OT$66)+(SUM($F$67:OT$67)))</f>
        <v>0.20858791208791205</v>
      </c>
      <c r="OU73" s="127">
        <f>$B55*(1+$C$4)^(SUM($F$66:OU$66)+(SUM($F$67:OU$67)))</f>
        <v>0.20858791208791205</v>
      </c>
      <c r="OV73" s="127">
        <f>$B55*(1+$C$4)^(SUM($F$66:OV$66)+(SUM($F$67:OV$67)))</f>
        <v>0.20858791208791205</v>
      </c>
      <c r="OW73" s="127">
        <f>$B55*(1+$C$4)^(SUM($F$66:OW$66)+(SUM($F$67:OW$67)))</f>
        <v>0.20858791208791205</v>
      </c>
      <c r="OX73" s="127">
        <f>$B55*(1+$C$4)^(SUM($F$66:OX$66)+(SUM($F$67:OX$67)))</f>
        <v>0.20858791208791205</v>
      </c>
      <c r="OY73" s="127">
        <f>$B55*(1+$C$4)^(SUM($F$66:OY$66)+(SUM($F$67:OY$67)))</f>
        <v>0.20858791208791205</v>
      </c>
      <c r="OZ73" s="127">
        <f>$B55*(1+$C$4)^(SUM($F$66:OZ$66)+(SUM($F$67:OZ$67)))</f>
        <v>0.20858791208791205</v>
      </c>
      <c r="PA73" s="127">
        <f>$B55*(1+$C$4)^(SUM($F$66:PA$66)+(SUM($F$67:PA$67)))</f>
        <v>0.20858791208791205</v>
      </c>
      <c r="PB73" s="127">
        <f>$B55*(1+$C$4)^(SUM($F$66:PB$66)+(SUM($F$67:PB$67)))</f>
        <v>0.20858791208791205</v>
      </c>
      <c r="PC73" s="127">
        <f>$B55*(1+$C$4)^(SUM($F$66:PC$66)+(SUM($F$67:PC$67)))</f>
        <v>0.20858791208791205</v>
      </c>
      <c r="PD73" s="127">
        <f>$B55*(1+$C$4)^(SUM($F$66:PD$66)+(SUM($F$67:PD$67)))</f>
        <v>0.20858791208791205</v>
      </c>
      <c r="PE73" s="127">
        <f>$B55*(1+$C$4)^(SUM($F$66:PE$66)+(SUM($F$67:PE$67)))</f>
        <v>0.20858791208791205</v>
      </c>
      <c r="PF73" s="127">
        <f>$B55*(1+$C$4)^(SUM($F$66:PF$66)+(SUM($F$67:PF$67)))</f>
        <v>0.20858791208791205</v>
      </c>
      <c r="PG73" s="127">
        <f>$B55*(1+$C$4)^(SUM($F$66:PG$66)+(SUM($F$67:PG$67)))</f>
        <v>0.20858791208791205</v>
      </c>
      <c r="PH73" s="127">
        <f>$B55*(1+$C$4)^(SUM($F$66:PH$66)+(SUM($F$67:PH$67)))</f>
        <v>0.20858791208791205</v>
      </c>
      <c r="PI73" s="127">
        <f>$B55*(1+$C$4)^(SUM($F$66:PI$66)+(SUM($F$67:PI$67)))</f>
        <v>0.20858791208791205</v>
      </c>
      <c r="PJ73" s="127">
        <f>$B55*(1+$C$4)^(SUM($F$66:PJ$66)+(SUM($F$67:PJ$67)))</f>
        <v>0.20858791208791205</v>
      </c>
      <c r="PK73" s="127">
        <f>$B55*(1+$C$4)^(SUM($F$66:PK$66)+(SUM($F$67:PK$67)))</f>
        <v>0.20858791208791205</v>
      </c>
      <c r="PL73" s="127">
        <f>$B55*(1+$C$4)^(SUM($F$66:PL$66)+(SUM($F$67:PL$67)))</f>
        <v>0.20858791208791205</v>
      </c>
      <c r="PM73" s="127">
        <f>$B55*(1+$C$4)^(SUM($F$66:PM$66)+(SUM($F$67:PM$67)))</f>
        <v>0.20858791208791205</v>
      </c>
      <c r="PN73" s="127">
        <f>$B55*(1+$C$4)^(SUM($F$66:PN$66)+(SUM($F$67:PN$67)))</f>
        <v>0.20858791208791205</v>
      </c>
      <c r="PO73" s="127">
        <f>$B55*(1+$C$4)^(SUM($F$66:PO$66)+(SUM($F$67:PO$67)))</f>
        <v>0.20858791208791205</v>
      </c>
      <c r="PP73" s="127">
        <f>$B55*(1+$C$4)^(SUM($F$66:PP$66)+(SUM($F$67:PP$67)))</f>
        <v>0.20858791208791205</v>
      </c>
      <c r="PQ73" s="127">
        <f>$B55*(1+$C$4)^(SUM($F$66:PQ$66)+(SUM($F$67:PQ$67)))</f>
        <v>0.20858791208791205</v>
      </c>
      <c r="PR73" s="127">
        <f>$B55*(1+$C$4)^(SUM($F$66:PR$66)+(SUM($F$67:PR$67)))</f>
        <v>0.20858791208791205</v>
      </c>
      <c r="PS73" s="127">
        <f>$B55*(1+$C$4)^(SUM($F$66:PS$66)+(SUM($F$67:PS$67)))</f>
        <v>0.20858791208791205</v>
      </c>
      <c r="PT73" s="127">
        <f>$B55*(1+$C$4)^(SUM($F$66:PT$66)+(SUM($F$67:PT$67)))</f>
        <v>0.20858791208791205</v>
      </c>
      <c r="PU73" s="127">
        <f>$B55*(1+$C$4)^(SUM($F$66:PU$66)+(SUM($F$67:PU$67)))</f>
        <v>0.20858791208791205</v>
      </c>
      <c r="PV73" s="127">
        <f>$B55*(1+$C$4)^(SUM($F$66:PV$66)+(SUM($F$67:PV$67)))</f>
        <v>0.20858791208791205</v>
      </c>
      <c r="PW73" s="127">
        <f>$B55*(1+$C$4)^(SUM($F$66:PW$66)+(SUM($F$67:PW$67)))</f>
        <v>0.20858791208791205</v>
      </c>
      <c r="PX73" s="127">
        <f>$B55*(1+$C$4)^(SUM($F$66:PX$66)+(SUM($F$67:PX$67)))</f>
        <v>0.20858791208791205</v>
      </c>
      <c r="PY73" s="127">
        <f>$B55*(1+$C$4)^(SUM($F$66:PY$66)+(SUM($F$67:PY$67)))</f>
        <v>0.20858791208791205</v>
      </c>
      <c r="PZ73" s="127">
        <f>$B55*(1+$C$4)^(SUM($F$66:PZ$66)+(SUM($F$67:PZ$67)))</f>
        <v>0.20858791208791205</v>
      </c>
      <c r="QA73" s="127">
        <f>$B55*(1+$C$4)^(SUM($F$66:QA$66)+(SUM($F$67:QA$67)))</f>
        <v>0.20858791208791205</v>
      </c>
      <c r="QB73" s="127">
        <f>$B55*(1+$C$4)^(SUM($F$66:QB$66)+(SUM($F$67:QB$67)))</f>
        <v>0.20858791208791205</v>
      </c>
      <c r="QC73" s="127">
        <f>$B55*(1+$C$4)^(SUM($F$66:QC$66)+(SUM($F$67:QC$67)))</f>
        <v>0.20858791208791205</v>
      </c>
      <c r="QD73" s="127">
        <f>$B55*(1+$C$4)^(SUM($F$66:QD$66)+(SUM($F$67:QD$67)))</f>
        <v>0.20858791208791205</v>
      </c>
      <c r="QE73" s="127">
        <f>$B55*(1+$C$4)^(SUM($F$66:QE$66)+(SUM($F$67:QE$67)))</f>
        <v>0.20858791208791205</v>
      </c>
      <c r="QF73" s="127">
        <f>$B55*(1+$C$4)^(SUM($F$66:QF$66)+(SUM($F$67:QF$67)))</f>
        <v>0.20858791208791205</v>
      </c>
      <c r="QG73" s="127">
        <f>$B55*(1+$C$4)^(SUM($F$66:QG$66)+(SUM($F$67:QG$67)))</f>
        <v>0.20858791208791205</v>
      </c>
      <c r="QH73" s="127">
        <f>$B55*(1+$C$4)^(SUM($F$66:QH$66)+(SUM($F$67:QH$67)))</f>
        <v>0.20858791208791205</v>
      </c>
      <c r="QI73" s="127">
        <f>$B55*(1+$C$4)^(SUM($F$66:QI$66)+(SUM($F$67:QI$67)))</f>
        <v>0.20858791208791205</v>
      </c>
      <c r="QJ73" s="127">
        <f>$B55*(1+$C$4)^(SUM($F$66:QJ$66)+(SUM($F$67:QJ$67)))</f>
        <v>0.20858791208791205</v>
      </c>
      <c r="QK73" s="127">
        <f>$B55*(1+$C$4)^(SUM($F$66:QK$66)+(SUM($F$67:QK$67)))</f>
        <v>0.20858791208791205</v>
      </c>
      <c r="QL73" s="127">
        <f>$B55*(1+$C$4)^(SUM($F$66:QL$66)+(SUM($F$67:QL$67)))</f>
        <v>0.20858791208791205</v>
      </c>
      <c r="QM73" s="127">
        <f>$B55*(1+$C$4)^(SUM($F$66:QM$66)+(SUM($F$67:QM$67)))</f>
        <v>0.20858791208791205</v>
      </c>
      <c r="QN73" s="127">
        <f>$B55*(1+$C$4)^(SUM($F$66:QN$66)+(SUM($F$67:QN$67)))</f>
        <v>0.20858791208791205</v>
      </c>
      <c r="QO73" s="127">
        <f>$B55*(1+$C$4)^(SUM($F$66:QO$66)+(SUM($F$67:QO$67)))</f>
        <v>0.20858791208791205</v>
      </c>
      <c r="QP73" s="127">
        <f>$B55*(1+$C$4)^(SUM($F$66:QP$66)+(SUM($F$67:QP$67)))</f>
        <v>0.20858791208791205</v>
      </c>
      <c r="QQ73" s="127">
        <f>$B55*(1+$C$4)^(SUM($F$66:QQ$66)+(SUM($F$67:QQ$67)))</f>
        <v>0.20858791208791205</v>
      </c>
      <c r="QR73" s="127">
        <f>$B55*(1+$C$4)^(SUM($F$66:QR$66)+(SUM($F$67:QR$67)))</f>
        <v>0.20858791208791205</v>
      </c>
      <c r="QS73" s="127">
        <f>$B55*(1+$C$4)^(SUM($F$66:QS$66)+(SUM($F$67:QS$67)))</f>
        <v>0.20858791208791205</v>
      </c>
      <c r="QT73" s="127">
        <f>$B55*(1+$C$4)^(SUM($F$66:QT$66)+(SUM($F$67:QT$67)))</f>
        <v>0.20858791208791205</v>
      </c>
      <c r="QU73" s="127">
        <f>$B55*(1+$C$4)^(SUM($F$66:QU$66)+(SUM($F$67:QU$67)))</f>
        <v>0.20858791208791205</v>
      </c>
      <c r="QV73" s="127">
        <f>$B55*(1+$C$4)^(SUM($F$66:QV$66)+(SUM($F$67:QV$67)))</f>
        <v>0.20858791208791205</v>
      </c>
      <c r="QW73" s="127">
        <f>$B55*(1+$C$4)^(SUM($F$66:QW$66)+(SUM($F$67:QW$67)))</f>
        <v>0.20858791208791205</v>
      </c>
      <c r="QX73" s="127">
        <f>$B55*(1+$C$4)^(SUM($F$66:QX$66)+(SUM($F$67:QX$67)))</f>
        <v>0.20858791208791205</v>
      </c>
      <c r="QY73" s="127">
        <f>$B55*(1+$C$4)^(SUM($F$66:QY$66)+(SUM($F$67:QY$67)))</f>
        <v>0.20858791208791205</v>
      </c>
      <c r="QZ73" s="127">
        <f>$B55*(1+$C$4)^(SUM($F$66:QZ$66)+(SUM($F$67:QZ$67)))</f>
        <v>0.20858791208791205</v>
      </c>
      <c r="RA73" s="127">
        <f>$B55*(1+$C$4)^(SUM($F$66:RA$66)+(SUM($F$67:RA$67)))</f>
        <v>0.20858791208791205</v>
      </c>
      <c r="RB73" s="127">
        <f>$B55*(1+$C$4)^(SUM($F$66:RB$66)+(SUM($F$67:RB$67)))</f>
        <v>0.20858791208791205</v>
      </c>
      <c r="RC73" s="127">
        <f>$B55*(1+$C$4)^(SUM($F$66:RC$66)+(SUM($F$67:RC$67)))</f>
        <v>0.20858791208791205</v>
      </c>
      <c r="RD73" s="127">
        <f>$B55*(1+$C$4)^(SUM($F$66:RD$66)+(SUM($F$67:RD$67)))</f>
        <v>0.20858791208791205</v>
      </c>
      <c r="RE73" s="127">
        <f>$B55*(1+$C$4)^(SUM($F$66:RE$66)+(SUM($F$67:RE$67)))</f>
        <v>0.20858791208791205</v>
      </c>
      <c r="RF73" s="127">
        <f>$B55*(1+$C$4)^(SUM($F$66:RF$66)+(SUM($F$67:RF$67)))</f>
        <v>0.20858791208791205</v>
      </c>
      <c r="RG73" s="127">
        <f>$B55*(1+$C$4)^(SUM($F$66:RG$66)+(SUM($F$67:RG$67)))</f>
        <v>0.20858791208791205</v>
      </c>
      <c r="RH73" s="127">
        <f>$B55*(1+$C$4)^(SUM($F$66:RH$66)+(SUM($F$67:RH$67)))</f>
        <v>0.20858791208791205</v>
      </c>
      <c r="RI73" s="127">
        <f>$B55*(1+$C$4)^(SUM($F$66:RI$66)+(SUM($F$67:RI$67)))</f>
        <v>0.20858791208791205</v>
      </c>
      <c r="RJ73" s="127">
        <f>$B55*(1+$C$4)^(SUM($F$66:RJ$66)+(SUM($F$67:RJ$67)))</f>
        <v>0.20858791208791205</v>
      </c>
      <c r="RK73" s="127">
        <f>$B55*(1+$C$4)^(SUM($F$66:RK$66)+(SUM($F$67:RK$67)))</f>
        <v>0.20858791208791205</v>
      </c>
      <c r="RL73" s="127">
        <f>$B55*(1+$C$4)^(SUM($F$66:RL$66)+(SUM($F$67:RL$67)))</f>
        <v>0.20858791208791205</v>
      </c>
      <c r="RM73" s="127">
        <f>$B55*(1+$C$4)^(SUM($F$66:RM$66)+(SUM($F$67:RM$67)))</f>
        <v>0.20858791208791205</v>
      </c>
      <c r="RN73" s="127">
        <f>$B55*(1+$C$4)^(SUM($F$66:RN$66)+(SUM($F$67:RN$67)))</f>
        <v>0.20858791208791205</v>
      </c>
      <c r="RO73" s="127">
        <f>$B55*(1+$C$4)^(SUM($F$66:RO$66)+(SUM($F$67:RO$67)))</f>
        <v>0.20858791208791205</v>
      </c>
      <c r="RP73" s="127">
        <f>$B55*(1+$C$4)^(SUM($F$66:RP$66)+(SUM($F$67:RP$67)))</f>
        <v>0.20858791208791205</v>
      </c>
      <c r="RQ73" s="127">
        <f>$B55*(1+$C$4)^(SUM($F$66:RQ$66)+(SUM($F$67:RQ$67)))</f>
        <v>0.20858791208791205</v>
      </c>
      <c r="RR73" s="127">
        <f>$B55*(1+$C$4)^(SUM($F$66:RR$66)+(SUM($F$67:RR$67)))</f>
        <v>0.20858791208791205</v>
      </c>
    </row>
    <row r="74" spans="1:486" s="9" customFormat="1">
      <c r="A74" s="217"/>
      <c r="B74" s="91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7"/>
      <c r="CE74" s="127"/>
      <c r="CF74" s="127"/>
      <c r="CG74" s="127"/>
      <c r="CH74" s="127"/>
      <c r="CI74" s="127"/>
      <c r="CJ74" s="127"/>
      <c r="CK74" s="127"/>
      <c r="CL74" s="127"/>
      <c r="CM74" s="127"/>
      <c r="CN74" s="127"/>
      <c r="CO74" s="127"/>
      <c r="CP74" s="127"/>
      <c r="CQ74" s="127"/>
      <c r="CR74" s="127"/>
      <c r="CS74" s="127"/>
      <c r="CT74" s="127"/>
      <c r="CU74" s="127"/>
      <c r="CV74" s="127"/>
      <c r="CW74" s="127"/>
      <c r="CX74" s="127"/>
      <c r="CY74" s="127"/>
      <c r="CZ74" s="127"/>
      <c r="DA74" s="127"/>
      <c r="DB74" s="127"/>
      <c r="DC74" s="127"/>
      <c r="DD74" s="127"/>
      <c r="DE74" s="127"/>
      <c r="DF74" s="127"/>
      <c r="DG74" s="127"/>
      <c r="DH74" s="127"/>
      <c r="DI74" s="127"/>
      <c r="DJ74" s="127"/>
      <c r="DK74" s="127"/>
      <c r="DL74" s="127"/>
      <c r="DM74" s="127"/>
      <c r="DN74" s="127"/>
      <c r="DO74" s="127"/>
      <c r="DP74" s="127"/>
      <c r="DQ74" s="127"/>
      <c r="DR74" s="127"/>
      <c r="DS74" s="127"/>
      <c r="DT74" s="127"/>
      <c r="DU74" s="127"/>
      <c r="DV74" s="127"/>
      <c r="DW74" s="127"/>
      <c r="DX74" s="127"/>
      <c r="DY74" s="127"/>
      <c r="DZ74" s="127"/>
      <c r="EA74" s="127"/>
      <c r="EB74" s="127"/>
      <c r="EC74" s="127"/>
      <c r="ED74" s="127"/>
      <c r="EE74" s="127"/>
      <c r="EF74" s="127"/>
      <c r="EG74" s="127"/>
      <c r="EH74" s="127"/>
      <c r="EI74" s="127"/>
      <c r="EJ74" s="127"/>
      <c r="EK74" s="127"/>
      <c r="EL74" s="127"/>
      <c r="EM74" s="127"/>
      <c r="EN74" s="127"/>
      <c r="EO74" s="127"/>
      <c r="EP74" s="127"/>
      <c r="EQ74" s="127"/>
      <c r="ER74" s="127"/>
      <c r="ES74" s="127"/>
      <c r="ET74" s="127"/>
      <c r="EU74" s="127"/>
      <c r="EV74" s="127"/>
      <c r="EW74" s="127"/>
      <c r="EX74" s="127"/>
      <c r="EY74" s="127"/>
      <c r="EZ74" s="127"/>
      <c r="FA74" s="127"/>
      <c r="FB74" s="127"/>
      <c r="FC74" s="127"/>
      <c r="FD74" s="127"/>
      <c r="FE74" s="127"/>
      <c r="FF74" s="127"/>
      <c r="FG74" s="127"/>
      <c r="FH74" s="127"/>
      <c r="FI74" s="127"/>
      <c r="FJ74" s="127"/>
      <c r="FK74" s="127"/>
      <c r="FL74" s="127"/>
      <c r="FM74" s="127"/>
      <c r="FN74" s="127"/>
      <c r="FO74" s="127"/>
      <c r="FP74" s="127"/>
      <c r="FQ74" s="127"/>
      <c r="FR74" s="127"/>
      <c r="FS74" s="127"/>
      <c r="FT74" s="127"/>
      <c r="FU74" s="127"/>
      <c r="FV74" s="127"/>
      <c r="FW74" s="127"/>
      <c r="FX74" s="127"/>
      <c r="FY74" s="127"/>
      <c r="FZ74" s="127"/>
      <c r="GA74" s="127"/>
      <c r="GB74" s="127"/>
      <c r="GC74" s="127"/>
      <c r="GD74" s="127"/>
      <c r="GE74" s="127"/>
      <c r="GF74" s="127"/>
      <c r="GG74" s="127"/>
      <c r="GH74" s="127"/>
      <c r="GI74" s="127"/>
      <c r="GJ74" s="127"/>
      <c r="GK74" s="127"/>
      <c r="GL74" s="127"/>
      <c r="GM74" s="127"/>
      <c r="GN74" s="127"/>
      <c r="GO74" s="127"/>
      <c r="GP74" s="127"/>
      <c r="GQ74" s="127"/>
      <c r="GR74" s="127"/>
      <c r="GS74" s="127"/>
      <c r="GT74" s="127"/>
      <c r="GU74" s="127"/>
      <c r="GV74" s="127"/>
      <c r="GW74" s="127"/>
      <c r="GX74" s="127"/>
      <c r="GY74" s="127"/>
      <c r="GZ74" s="127"/>
      <c r="HA74" s="127"/>
      <c r="HB74" s="127"/>
      <c r="HC74" s="127"/>
      <c r="HD74" s="127"/>
      <c r="HE74" s="127"/>
      <c r="HF74" s="127"/>
      <c r="HG74" s="127"/>
      <c r="HH74" s="127"/>
      <c r="HI74" s="127"/>
      <c r="HJ74" s="127"/>
      <c r="HK74" s="127"/>
      <c r="HL74" s="127"/>
      <c r="HM74" s="127"/>
      <c r="HN74" s="127"/>
      <c r="HO74" s="127"/>
      <c r="HP74" s="127"/>
      <c r="HQ74" s="127"/>
      <c r="HR74" s="127"/>
      <c r="HS74" s="127"/>
      <c r="HT74" s="127"/>
      <c r="HU74" s="127"/>
      <c r="HV74" s="127"/>
      <c r="HW74" s="127"/>
      <c r="HX74" s="127"/>
      <c r="HY74" s="127"/>
      <c r="HZ74" s="127"/>
      <c r="IA74" s="127"/>
      <c r="IB74" s="127"/>
      <c r="IC74" s="127"/>
      <c r="ID74" s="127"/>
      <c r="IE74" s="127"/>
      <c r="IF74" s="127"/>
      <c r="IG74" s="127"/>
      <c r="IH74" s="127"/>
      <c r="II74" s="127"/>
      <c r="IJ74" s="127"/>
      <c r="IK74" s="127"/>
      <c r="IL74" s="127"/>
      <c r="IM74" s="127"/>
      <c r="IN74" s="127"/>
      <c r="IO74" s="127"/>
      <c r="IP74" s="127"/>
      <c r="IQ74" s="127"/>
      <c r="IR74" s="127"/>
      <c r="IS74" s="127"/>
      <c r="IT74" s="127"/>
      <c r="IU74" s="127"/>
      <c r="IV74" s="127"/>
      <c r="IW74" s="127"/>
      <c r="IX74" s="127"/>
      <c r="IY74" s="127"/>
      <c r="IZ74" s="127"/>
      <c r="JA74" s="127"/>
      <c r="JB74" s="127"/>
      <c r="JC74" s="127"/>
      <c r="JD74" s="127"/>
      <c r="JE74" s="127"/>
      <c r="JF74" s="127"/>
      <c r="JG74" s="127"/>
      <c r="JH74" s="127"/>
      <c r="JI74" s="127"/>
      <c r="JJ74" s="127"/>
      <c r="JK74" s="127"/>
      <c r="JL74" s="127"/>
      <c r="JM74" s="127"/>
      <c r="JN74" s="127"/>
      <c r="JO74" s="127"/>
      <c r="JP74" s="127"/>
      <c r="JQ74" s="127"/>
      <c r="JR74" s="127"/>
      <c r="JS74" s="127"/>
      <c r="JT74" s="127"/>
      <c r="JU74" s="127"/>
      <c r="JV74" s="127"/>
      <c r="JW74" s="127"/>
      <c r="JX74" s="127"/>
      <c r="JY74" s="127"/>
      <c r="JZ74" s="127"/>
      <c r="KA74" s="127"/>
      <c r="KB74" s="127"/>
      <c r="KC74" s="127"/>
      <c r="KD74" s="127"/>
      <c r="KE74" s="127"/>
      <c r="KF74" s="127"/>
      <c r="KG74" s="127"/>
      <c r="KH74" s="127"/>
      <c r="KI74" s="127"/>
      <c r="KJ74" s="127"/>
      <c r="KK74" s="127"/>
      <c r="KL74" s="127"/>
      <c r="KM74" s="127"/>
      <c r="KN74" s="127"/>
      <c r="KO74" s="127"/>
      <c r="KP74" s="127"/>
      <c r="KQ74" s="127"/>
      <c r="KR74" s="127"/>
      <c r="KS74" s="127"/>
      <c r="KT74" s="127"/>
      <c r="KU74" s="127"/>
      <c r="KV74" s="127"/>
      <c r="KW74" s="127"/>
      <c r="KX74" s="127"/>
      <c r="KY74" s="127"/>
      <c r="KZ74" s="127"/>
      <c r="LA74" s="127"/>
      <c r="LB74" s="127"/>
      <c r="LC74" s="127"/>
      <c r="LD74" s="127"/>
      <c r="LE74" s="127"/>
      <c r="LF74" s="127"/>
      <c r="LG74" s="127"/>
      <c r="LH74" s="127"/>
      <c r="LI74" s="127"/>
      <c r="LJ74" s="127"/>
      <c r="LK74" s="127"/>
      <c r="LL74" s="127"/>
      <c r="LM74" s="127"/>
      <c r="LN74" s="127"/>
      <c r="LO74" s="127"/>
      <c r="LP74" s="127"/>
      <c r="LQ74" s="127"/>
      <c r="LR74" s="127"/>
      <c r="LS74" s="127"/>
      <c r="LT74" s="127"/>
      <c r="LU74" s="127"/>
      <c r="LV74" s="127"/>
      <c r="LW74" s="127"/>
      <c r="LX74" s="127"/>
      <c r="LY74" s="127"/>
      <c r="LZ74" s="127"/>
      <c r="MA74" s="127"/>
      <c r="MB74" s="127"/>
      <c r="MC74" s="127"/>
      <c r="MD74" s="127"/>
      <c r="ME74" s="127"/>
      <c r="MF74" s="127"/>
      <c r="MG74" s="127"/>
      <c r="MH74" s="127"/>
      <c r="MI74" s="127"/>
      <c r="MJ74" s="127"/>
      <c r="MK74" s="127"/>
      <c r="ML74" s="127"/>
      <c r="MM74" s="127"/>
      <c r="MN74" s="127"/>
      <c r="MO74" s="127"/>
      <c r="MP74" s="127"/>
      <c r="MQ74" s="127"/>
      <c r="MR74" s="127"/>
      <c r="MS74" s="127"/>
      <c r="MT74" s="127"/>
      <c r="MU74" s="127"/>
      <c r="MV74" s="127"/>
      <c r="MW74" s="127"/>
      <c r="MX74" s="127"/>
      <c r="MY74" s="127"/>
      <c r="MZ74" s="127"/>
      <c r="NA74" s="127"/>
      <c r="NB74" s="127"/>
      <c r="NC74" s="127"/>
      <c r="ND74" s="127"/>
      <c r="NE74" s="127"/>
      <c r="NF74" s="127"/>
      <c r="NG74" s="127"/>
      <c r="NH74" s="127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7"/>
      <c r="OL74" s="127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7"/>
      <c r="PP74" s="127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7"/>
      <c r="QT74" s="127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</row>
    <row r="75" spans="1:486" s="9" customFormat="1">
      <c r="A75" s="289" t="s">
        <v>448</v>
      </c>
      <c r="B75" s="39" t="s">
        <v>229</v>
      </c>
      <c r="E75" s="127">
        <f>D50</f>
        <v>0.14963461538461539</v>
      </c>
      <c r="F75" s="127">
        <f>$D50*(1+$C$4)^(SUM($F$67:F$67))</f>
        <v>0.14963461538461539</v>
      </c>
      <c r="G75" s="127">
        <f>$D50*(1+$C$4)^(SUM($F$67:G$67))</f>
        <v>0.14963461538461539</v>
      </c>
      <c r="H75" s="127">
        <f>$D50*(1+$C$4)^(SUM($F$67:H$67))</f>
        <v>0.14963461538461539</v>
      </c>
      <c r="I75" s="127">
        <f>$D50*(1+$C$4)^(SUM($F$67:I$67))</f>
        <v>0.14963461538461539</v>
      </c>
      <c r="J75" s="127">
        <f>$D50*(1+$C$4)^(SUM($F$67:J$67))</f>
        <v>0.14963461538461539</v>
      </c>
      <c r="K75" s="127">
        <f>$D50*(1+$C$4)^(SUM($F$67:K$67))</f>
        <v>0.14963461538461539</v>
      </c>
      <c r="L75" s="127">
        <f>$D50*(1+$C$4)^(SUM($F$67:L$67))</f>
        <v>0.14963461538461539</v>
      </c>
      <c r="M75" s="127">
        <f>$D50*(1+$C$4)^(SUM($F$67:M$67))</f>
        <v>0.14963461538461539</v>
      </c>
      <c r="N75" s="127">
        <f>$D50*(1+$C$4)^(SUM($F$67:N$67))</f>
        <v>0.14963461538461539</v>
      </c>
      <c r="O75" s="127">
        <f>$D50*(1+$C$4)^(SUM($F$67:O$67))</f>
        <v>0.14963461538461539</v>
      </c>
      <c r="P75" s="127">
        <f>$D50*(1+$C$4)^(SUM($F$67:P$67))</f>
        <v>0.14963461538461539</v>
      </c>
      <c r="Q75" s="127">
        <f>$D50*(1+$C$4)^(SUM($F$67:Q$67))</f>
        <v>0.14963461538461539</v>
      </c>
      <c r="R75" s="127">
        <f>$D50*(1+$C$4)^(SUM($F$67:R$67))</f>
        <v>0.14963461538461539</v>
      </c>
      <c r="S75" s="127">
        <f>$D50*(1+$C$4)^(SUM($F$67:S$67))</f>
        <v>0.14963461538461539</v>
      </c>
      <c r="T75" s="127">
        <f>$D50*(1+$C$4)^(SUM($F$67:T$67))</f>
        <v>0.14963461538461539</v>
      </c>
      <c r="U75" s="127">
        <f>$D50*(1+$C$4)^(SUM($F$67:U$67))</f>
        <v>0.14963461538461539</v>
      </c>
      <c r="V75" s="127">
        <f>$D50*(1+$C$4)^(SUM($F$67:V$67))</f>
        <v>0.14963461538461539</v>
      </c>
      <c r="W75" s="127">
        <f>$D50*(1+$C$4)^(SUM($F$67:W$67))</f>
        <v>0.14963461538461539</v>
      </c>
      <c r="X75" s="127">
        <f>$D50*(1+$C$4)^(SUM($F$67:X$67))</f>
        <v>0.14963461538461539</v>
      </c>
      <c r="Y75" s="127">
        <f>$D50*(1+$C$4)^(SUM($F$67:Y$67))</f>
        <v>0.14963461538461539</v>
      </c>
      <c r="Z75" s="127">
        <f>$D50*(1+$C$4)^(SUM($F$67:Z$67))</f>
        <v>0.14963461538461539</v>
      </c>
      <c r="AA75" s="127">
        <f>$D50*(1+$C$4)^(SUM($F$67:AA$67))</f>
        <v>0.14963461538461539</v>
      </c>
      <c r="AB75" s="127">
        <f>$D50*(1+$C$4)^(SUM($F$67:AB$67))</f>
        <v>0.14963461538461539</v>
      </c>
      <c r="AC75" s="127">
        <f>$D50*(1+$C$4)^(SUM($F$67:AC$67))</f>
        <v>0.14963461538461539</v>
      </c>
      <c r="AD75" s="127">
        <f>$D50*(1+$C$4)^(SUM($F$67:AD$67))</f>
        <v>0.14963461538461539</v>
      </c>
      <c r="AE75" s="127">
        <f>$D50*(1+$C$4)^(SUM($F$67:AE$67))</f>
        <v>0.14963461538461539</v>
      </c>
      <c r="AF75" s="127">
        <f>$D50*(1+$C$4)^(SUM($F$67:AF$67))</f>
        <v>0.14963461538461539</v>
      </c>
      <c r="AG75" s="127">
        <f>$D50*(1+$C$4)^(SUM($F$67:AG$67))</f>
        <v>0.14963461538461539</v>
      </c>
      <c r="AH75" s="127">
        <f>$D50*(1+$C$4)^(SUM($F$67:AH$67))</f>
        <v>0.14963461538461539</v>
      </c>
      <c r="AI75" s="127">
        <f>$D50*(1+$C$4)^(SUM($F$67:AI$67))</f>
        <v>0.14963461538461539</v>
      </c>
      <c r="AJ75" s="127">
        <f>$D50*(1+$C$4)^(SUM($F$67:AJ$67))</f>
        <v>0.14963461538461539</v>
      </c>
      <c r="AK75" s="127">
        <f>$D50*(1+$C$4)^(SUM($F$67:AK$67))</f>
        <v>0.14963461538461539</v>
      </c>
      <c r="AL75" s="127">
        <f>$D50*(1+$C$4)^(SUM($F$67:AL$67))</f>
        <v>0.14963461538461539</v>
      </c>
      <c r="AM75" s="127">
        <f>$D50*(1+$C$4)^(SUM($F$67:AM$67))</f>
        <v>0.14963461538461539</v>
      </c>
      <c r="AN75" s="127">
        <f>$D50*(1+$C$4)^(SUM($F$67:AN$67))</f>
        <v>0.14963461538461539</v>
      </c>
      <c r="AO75" s="127">
        <f>$D50*(1+$C$4)^(SUM($F$67:AO$67))</f>
        <v>0.14963461538461539</v>
      </c>
      <c r="AP75" s="127">
        <f>$D50*(1+$C$4)^(SUM($F$67:AP$67))</f>
        <v>0.14963461538461539</v>
      </c>
      <c r="AQ75" s="127">
        <f>$D50*(1+$C$4)^(SUM($F$67:AQ$67))</f>
        <v>0.14963461538461539</v>
      </c>
      <c r="AR75" s="127">
        <f>$D50*(1+$C$4)^(SUM($F$67:AR$67))</f>
        <v>0.14963461538461539</v>
      </c>
      <c r="AS75" s="127">
        <f>$D50*(1+$C$4)^(SUM($F$67:AS$67))</f>
        <v>0.14963461538461539</v>
      </c>
      <c r="AT75" s="127">
        <f>$D50*(1+$C$4)^(SUM($F$67:AT$67))</f>
        <v>0.14963461538461539</v>
      </c>
      <c r="AU75" s="127">
        <f>$D50*(1+$C$4)^(SUM($F$67:AU$67))</f>
        <v>0.14963461538461539</v>
      </c>
      <c r="AV75" s="127">
        <f>$D50*(1+$C$4)^(SUM($F$67:AV$67))</f>
        <v>0.14963461538461539</v>
      </c>
      <c r="AW75" s="127">
        <f>$D50*(1+$C$4)^(SUM($F$67:AW$67))</f>
        <v>0.14963461538461539</v>
      </c>
      <c r="AX75" s="127">
        <f>$D50*(1+$C$4)^(SUM($F$67:AX$67))</f>
        <v>0.14963461538461539</v>
      </c>
      <c r="AY75" s="127">
        <f>$D50*(1+$C$4)^(SUM($F$67:AY$67))</f>
        <v>0.14963461538461539</v>
      </c>
      <c r="AZ75" s="127">
        <f>$D50*(1+$C$4)^(SUM($F$67:AZ$67))</f>
        <v>0.14963461538461539</v>
      </c>
      <c r="BA75" s="127">
        <f>$D50*(1+$C$4)^(SUM($F$67:BA$67))</f>
        <v>0.14963461538461539</v>
      </c>
      <c r="BB75" s="127">
        <f>$D50*(1+$C$4)^(SUM($F$67:BB$67))</f>
        <v>0.14963461538461539</v>
      </c>
      <c r="BC75" s="127">
        <f>$D50*(1+$C$4)^(SUM($F$67:BC$67))</f>
        <v>0.14963461538461539</v>
      </c>
      <c r="BD75" s="127">
        <f>$D50*(1+$C$4)^(SUM($F$67:BD$67))</f>
        <v>0.14963461538461539</v>
      </c>
      <c r="BE75" s="127">
        <f>$D50*(1+$C$4)^(SUM($F$67:BE$67))</f>
        <v>0.14963461538461539</v>
      </c>
      <c r="BF75" s="127">
        <f>$D50*(1+$C$4)^(SUM($F$67:BF$67))</f>
        <v>0.14963461538461539</v>
      </c>
      <c r="BG75" s="127">
        <f>$D50*(1+$C$4)^(SUM($F$67:BG$67))</f>
        <v>0.14963461538461539</v>
      </c>
      <c r="BH75" s="127">
        <f>$D50*(1+$C$4)^(SUM($F$67:BH$67))</f>
        <v>0.14963461538461539</v>
      </c>
      <c r="BI75" s="127">
        <f>$D50*(1+$C$4)^(SUM($F$67:BI$67))</f>
        <v>0.14963461538461539</v>
      </c>
      <c r="BJ75" s="127">
        <f>$D50*(1+$C$4)^(SUM($F$67:BJ$67))</f>
        <v>0.14963461538461539</v>
      </c>
      <c r="BK75" s="127">
        <f>$D50*(1+$C$4)^(SUM($F$67:BK$67))</f>
        <v>0.14963461538461539</v>
      </c>
      <c r="BL75" s="127">
        <f>$D50*(1+$C$4)^(SUM($F$67:BL$67))</f>
        <v>0.14963461538461539</v>
      </c>
      <c r="BM75" s="127">
        <f>$D50*(1+$C$4)^(SUM($F$67:BM$67))</f>
        <v>0.14963461538461539</v>
      </c>
      <c r="BN75" s="127">
        <f>$D50*(1+$C$4)^(SUM($F$67:BN$67))</f>
        <v>0.14963461538461539</v>
      </c>
      <c r="BO75" s="127">
        <f>$D50*(1+$C$4)^(SUM($F$67:BO$67))</f>
        <v>0.14963461538461539</v>
      </c>
      <c r="BP75" s="127">
        <f>$D50*(1+$C$4)^(SUM($F$67:BP$67))</f>
        <v>0.14963461538461539</v>
      </c>
      <c r="BQ75" s="127">
        <f>$D50*(1+$C$4)^(SUM($F$67:BQ$67))</f>
        <v>0.14963461538461539</v>
      </c>
      <c r="BR75" s="127">
        <f>$D50*(1+$C$4)^(SUM($F$67:BR$67))</f>
        <v>0.14963461538461539</v>
      </c>
      <c r="BS75" s="127">
        <f>$D50*(1+$C$4)^(SUM($F$67:BS$67))</f>
        <v>0.14963461538461539</v>
      </c>
      <c r="BT75" s="127">
        <f>$D50*(1+$C$4)^(SUM($F$67:BT$67))</f>
        <v>0.14963461538461539</v>
      </c>
      <c r="BU75" s="127">
        <f>$D50*(1+$C$4)^(SUM($F$67:BU$67))</f>
        <v>0.14963461538461539</v>
      </c>
      <c r="BV75" s="127">
        <f>$D50*(1+$C$4)^(SUM($F$67:BV$67))</f>
        <v>0.14963461538461539</v>
      </c>
      <c r="BW75" s="127">
        <f>$D50*(1+$C$4)^(SUM($F$67:BW$67))</f>
        <v>0.14963461538461539</v>
      </c>
      <c r="BX75" s="127">
        <f>$D50*(1+$C$4)^(SUM($F$67:BX$67))</f>
        <v>0.14963461538461539</v>
      </c>
      <c r="BY75" s="127">
        <f>$D50*(1+$C$4)^(SUM($F$67:BY$67))</f>
        <v>0.14963461538461539</v>
      </c>
      <c r="BZ75" s="127">
        <f>$D50*(1+$C$4)^(SUM($F$67:BZ$67))</f>
        <v>0.14963461538461539</v>
      </c>
      <c r="CA75" s="127">
        <f>$D50*(1+$C$4)^(SUM($F$67:CA$67))</f>
        <v>0.14963461538461539</v>
      </c>
      <c r="CB75" s="127">
        <f>$D50*(1+$C$4)^(SUM($F$67:CB$67))</f>
        <v>0.14963461538461539</v>
      </c>
      <c r="CC75" s="127">
        <f>$D50*(1+$C$4)^(SUM($F$67:CC$67))</f>
        <v>0.14963461538461539</v>
      </c>
      <c r="CD75" s="127">
        <f>$D50*(1+$C$4)^(SUM($F$67:CD$67))</f>
        <v>0.14963461538461539</v>
      </c>
      <c r="CE75" s="127">
        <f>$D50*(1+$C$4)^(SUM($F$67:CE$67))</f>
        <v>0.14963461538461539</v>
      </c>
      <c r="CF75" s="127">
        <f>$D50*(1+$C$4)^(SUM($F$67:CF$67))</f>
        <v>0.14963461538461539</v>
      </c>
      <c r="CG75" s="127">
        <f>$D50*(1+$C$4)^(SUM($F$67:CG$67))</f>
        <v>0.14963461538461539</v>
      </c>
      <c r="CH75" s="127">
        <f>$D50*(1+$C$4)^(SUM($F$67:CH$67))</f>
        <v>0.14963461538461539</v>
      </c>
      <c r="CI75" s="127">
        <f>$D50*(1+$C$4)^(SUM($F$67:CI$67))</f>
        <v>0.14963461538461539</v>
      </c>
      <c r="CJ75" s="127">
        <f>$D50*(1+$C$4)^(SUM($F$67:CJ$67))</f>
        <v>0.14963461538461539</v>
      </c>
      <c r="CK75" s="127">
        <f>$D50*(1+$C$4)^(SUM($F$67:CK$67))</f>
        <v>0.14963461538461539</v>
      </c>
      <c r="CL75" s="127">
        <f>$D50*(1+$C$4)^(SUM($F$67:CL$67))</f>
        <v>0.14963461538461539</v>
      </c>
      <c r="CM75" s="127">
        <f>$D50*(1+$C$4)^(SUM($F$67:CM$67))</f>
        <v>0.14963461538461539</v>
      </c>
      <c r="CN75" s="127">
        <f>$D50*(1+$C$4)^(SUM($F$67:CN$67))</f>
        <v>0.14963461538461539</v>
      </c>
      <c r="CO75" s="127">
        <f>$D50*(1+$C$4)^(SUM($F$67:CO$67))</f>
        <v>0.14963461538461539</v>
      </c>
      <c r="CP75" s="127">
        <f>$D50*(1+$C$4)^(SUM($F$67:CP$67))</f>
        <v>0.14963461538461539</v>
      </c>
      <c r="CQ75" s="127">
        <f>$D50*(1+$C$4)^(SUM($F$67:CQ$67))</f>
        <v>0.14963461538461539</v>
      </c>
      <c r="CR75" s="127">
        <f>$D50*(1+$C$4)^(SUM($F$67:CR$67))</f>
        <v>0.14963461538461539</v>
      </c>
      <c r="CS75" s="127">
        <f>$D50*(1+$C$4)^(SUM($F$67:CS$67))</f>
        <v>0.14963461538461539</v>
      </c>
      <c r="CT75" s="127">
        <f>$D50*(1+$C$4)^(SUM($F$67:CT$67))</f>
        <v>0.14963461538461539</v>
      </c>
      <c r="CU75" s="127">
        <f>$D50*(1+$C$4)^(SUM($F$67:CU$67))</f>
        <v>0.14963461538461539</v>
      </c>
      <c r="CV75" s="127">
        <f>$D50*(1+$C$4)^(SUM($F$67:CV$67))</f>
        <v>0.14963461538461539</v>
      </c>
      <c r="CW75" s="127">
        <f>$D50*(1+$C$4)^(SUM($F$67:CW$67))</f>
        <v>0.14963461538461539</v>
      </c>
      <c r="CX75" s="127">
        <f>$D50*(1+$C$4)^(SUM($F$67:CX$67))</f>
        <v>0.14963461538461539</v>
      </c>
      <c r="CY75" s="127">
        <f>$D50*(1+$C$4)^(SUM($F$67:CY$67))</f>
        <v>0.14963461538461539</v>
      </c>
      <c r="CZ75" s="127">
        <f>$D50*(1+$C$4)^(SUM($F$67:CZ$67))</f>
        <v>0.14963461538461539</v>
      </c>
      <c r="DA75" s="127">
        <f>$D50*(1+$C$4)^(SUM($F$67:DA$67))</f>
        <v>0.14963461538461539</v>
      </c>
      <c r="DB75" s="127">
        <f>$D50*(1+$C$4)^(SUM($F$67:DB$67))</f>
        <v>0.14963461538461539</v>
      </c>
      <c r="DC75" s="127">
        <f>$D50*(1+$C$4)^(SUM($F$67:DC$67))</f>
        <v>0.14963461538461539</v>
      </c>
      <c r="DD75" s="127">
        <f>$D50*(1+$C$4)^(SUM($F$67:DD$67))</f>
        <v>0.14963461538461539</v>
      </c>
      <c r="DE75" s="127">
        <f>$D50*(1+$C$4)^(SUM($F$67:DE$67))</f>
        <v>0.14963461538461539</v>
      </c>
      <c r="DF75" s="127">
        <f>$D50*(1+$C$4)^(SUM($F$67:DF$67))</f>
        <v>0.14963461538461539</v>
      </c>
      <c r="DG75" s="127">
        <f>$D50*(1+$C$4)^(SUM($F$67:DG$67))</f>
        <v>0.14963461538461539</v>
      </c>
      <c r="DH75" s="127">
        <f>$D50*(1+$C$4)^(SUM($F$67:DH$67))</f>
        <v>0.14963461538461539</v>
      </c>
      <c r="DI75" s="127">
        <f>$D50*(1+$C$4)^(SUM($F$67:DI$67))</f>
        <v>0.14963461538461539</v>
      </c>
      <c r="DJ75" s="127">
        <f>$D50*(1+$C$4)^(SUM($F$67:DJ$67))</f>
        <v>0.14963461538461539</v>
      </c>
      <c r="DK75" s="127">
        <f>$D50*(1+$C$4)^(SUM($F$67:DK$67))</f>
        <v>0.14963461538461539</v>
      </c>
      <c r="DL75" s="127">
        <f>$D50*(1+$C$4)^(SUM($F$67:DL$67))</f>
        <v>0.14963461538461539</v>
      </c>
      <c r="DM75" s="127">
        <f>$D50*(1+$C$4)^(SUM($F$67:DM$67))</f>
        <v>0.14963461538461539</v>
      </c>
      <c r="DN75" s="127">
        <f>$D50*(1+$C$4)^(SUM($F$67:DN$67))</f>
        <v>0.14963461538461539</v>
      </c>
      <c r="DO75" s="127">
        <f>$D50*(1+$C$4)^(SUM($F$67:DO$67))</f>
        <v>0.14963461538461539</v>
      </c>
      <c r="DP75" s="127">
        <f>$D50*(1+$C$4)^(SUM($F$67:DP$67))</f>
        <v>0.14963461538461539</v>
      </c>
      <c r="DQ75" s="127">
        <f>$D50*(1+$C$4)^(SUM($F$67:DQ$67))</f>
        <v>0.14963461538461539</v>
      </c>
      <c r="DR75" s="127">
        <f>$D50*(1+$C$4)^(SUM($F$67:DR$67))</f>
        <v>0.14963461538461539</v>
      </c>
      <c r="DS75" s="127">
        <f>$D50*(1+$C$4)^(SUM($F$67:DS$67))</f>
        <v>0.14963461538461539</v>
      </c>
      <c r="DT75" s="127">
        <f>$D50*(1+$C$4)^(SUM($F$67:DT$67))</f>
        <v>0.14963461538461539</v>
      </c>
      <c r="DU75" s="127">
        <f>$D50*(1+$C$4)^(SUM($F$67:DU$67))</f>
        <v>0.14963461538461539</v>
      </c>
      <c r="DV75" s="127">
        <f>$D50*(1+$C$4)^(SUM($F$67:DV$67))</f>
        <v>0.14963461538461539</v>
      </c>
      <c r="DW75" s="127">
        <f>$D50*(1+$C$4)^(SUM($F$67:DW$67))</f>
        <v>0.14963461538461539</v>
      </c>
      <c r="DX75" s="127">
        <f>$D50*(1+$C$4)^(SUM($F$67:DX$67))</f>
        <v>0.14963461538461539</v>
      </c>
      <c r="DY75" s="127">
        <f>$D50*(1+$C$4)^(SUM($F$67:DY$67))</f>
        <v>0.14963461538461539</v>
      </c>
      <c r="DZ75" s="127">
        <f>$D50*(1+$C$4)^(SUM($F$67:DZ$67))</f>
        <v>0.14963461538461539</v>
      </c>
      <c r="EA75" s="127">
        <f>$D50*(1+$C$4)^(SUM($F$67:EA$67))</f>
        <v>0.14963461538461539</v>
      </c>
      <c r="EB75" s="127">
        <f>$D50*(1+$C$4)^(SUM($F$67:EB$67))</f>
        <v>0.14963461538461539</v>
      </c>
      <c r="EC75" s="127">
        <f>$D50*(1+$C$4)^(SUM($F$67:EC$67))</f>
        <v>0.14963461538461539</v>
      </c>
      <c r="ED75" s="127">
        <f>$D50*(1+$C$4)^(SUM($F$67:ED$67))</f>
        <v>0.14963461538461539</v>
      </c>
      <c r="EE75" s="127">
        <f>$D50*(1+$C$4)^(SUM($F$67:EE$67))</f>
        <v>0.14963461538461539</v>
      </c>
      <c r="EF75" s="127">
        <f>$D50*(1+$C$4)^(SUM($F$67:EF$67))</f>
        <v>0.14963461538461539</v>
      </c>
      <c r="EG75" s="127">
        <f>$D50*(1+$C$4)^(SUM($F$67:EG$67))</f>
        <v>0.14963461538461539</v>
      </c>
      <c r="EH75" s="127">
        <f>$D50*(1+$C$4)^(SUM($F$67:EH$67))</f>
        <v>0.14963461538461539</v>
      </c>
      <c r="EI75" s="127">
        <f>$D50*(1+$C$4)^(SUM($F$67:EI$67))</f>
        <v>0.14963461538461539</v>
      </c>
      <c r="EJ75" s="127">
        <f>$D50*(1+$C$4)^(SUM($F$67:EJ$67))</f>
        <v>0.14963461538461539</v>
      </c>
      <c r="EK75" s="127">
        <f>$D50*(1+$C$4)^(SUM($F$67:EK$67))</f>
        <v>0.14963461538461539</v>
      </c>
      <c r="EL75" s="127">
        <f>$D50*(1+$C$4)^(SUM($F$67:EL$67))</f>
        <v>0.14963461538461539</v>
      </c>
      <c r="EM75" s="127">
        <f>$D50*(1+$C$4)^(SUM($F$67:EM$67))</f>
        <v>0.14963461538461539</v>
      </c>
      <c r="EN75" s="127">
        <f>$D50*(1+$C$4)^(SUM($F$67:EN$67))</f>
        <v>0.14963461538461539</v>
      </c>
      <c r="EO75" s="127">
        <f>$D50*(1+$C$4)^(SUM($F$67:EO$67))</f>
        <v>0.14963461538461539</v>
      </c>
      <c r="EP75" s="127">
        <f>$D50*(1+$C$4)^(SUM($F$67:EP$67))</f>
        <v>0.14963461538461539</v>
      </c>
      <c r="EQ75" s="127">
        <f>$D50*(1+$C$4)^(SUM($F$67:EQ$67))</f>
        <v>0.14963461538461539</v>
      </c>
      <c r="ER75" s="127">
        <f>$D50*(1+$C$4)^(SUM($F$67:ER$67))</f>
        <v>0.14963461538461539</v>
      </c>
      <c r="ES75" s="127">
        <f>$D50*(1+$C$4)^(SUM($F$67:ES$67))</f>
        <v>0.14963461538461539</v>
      </c>
      <c r="ET75" s="127">
        <f>$D50*(1+$C$4)^(SUM($F$67:ET$67))</f>
        <v>0.14963461538461539</v>
      </c>
      <c r="EU75" s="127">
        <f>$D50*(1+$C$4)^(SUM($F$67:EU$67))</f>
        <v>0.14963461538461539</v>
      </c>
      <c r="EV75" s="127">
        <f>$D50*(1+$C$4)^(SUM($F$67:EV$67))</f>
        <v>0.14963461538461539</v>
      </c>
      <c r="EW75" s="127">
        <f>$D50*(1+$C$4)^(SUM($F$67:EW$67))</f>
        <v>0.14963461538461539</v>
      </c>
      <c r="EX75" s="127">
        <f>$D50*(1+$C$4)^(SUM($F$67:EX$67))</f>
        <v>0.14963461538461539</v>
      </c>
      <c r="EY75" s="127">
        <f>$D50*(1+$C$4)^(SUM($F$67:EY$67))</f>
        <v>0.14963461538461539</v>
      </c>
      <c r="EZ75" s="127">
        <f>$D50*(1+$C$4)^(SUM($F$67:EZ$67))</f>
        <v>0.14963461538461539</v>
      </c>
      <c r="FA75" s="127">
        <f>$D50*(1+$C$4)^(SUM($F$67:FA$67))</f>
        <v>0.14963461538461539</v>
      </c>
      <c r="FB75" s="127">
        <f>$D50*(1+$C$4)^(SUM($F$67:FB$67))</f>
        <v>0.14963461538461539</v>
      </c>
      <c r="FC75" s="127">
        <f>$D50*(1+$C$4)^(SUM($F$67:FC$67))</f>
        <v>0.14963461538461539</v>
      </c>
      <c r="FD75" s="127">
        <f>$D50*(1+$C$4)^(SUM($F$67:FD$67))</f>
        <v>0.14963461538461539</v>
      </c>
      <c r="FE75" s="127">
        <f>$D50*(1+$C$4)^(SUM($F$67:FE$67))</f>
        <v>0.14963461538461539</v>
      </c>
      <c r="FF75" s="127">
        <f>$D50*(1+$C$4)^(SUM($F$67:FF$67))</f>
        <v>0.14963461538461539</v>
      </c>
      <c r="FG75" s="127">
        <f>$D50*(1+$C$4)^(SUM($F$67:FG$67))</f>
        <v>0.14963461538461539</v>
      </c>
      <c r="FH75" s="127">
        <f>$D50*(1+$C$4)^(SUM($F$67:FH$67))</f>
        <v>0.14963461538461539</v>
      </c>
      <c r="FI75" s="127">
        <f>$D50*(1+$C$4)^(SUM($F$67:FI$67))</f>
        <v>0.14963461538461539</v>
      </c>
      <c r="FJ75" s="127">
        <f>$D50*(1+$C$4)^(SUM($F$67:FJ$67))</f>
        <v>0.14963461538461539</v>
      </c>
      <c r="FK75" s="127">
        <f>$D50*(1+$C$4)^(SUM($F$67:FK$67))</f>
        <v>0.14963461538461539</v>
      </c>
      <c r="FL75" s="127">
        <f>$D50*(1+$C$4)^(SUM($F$67:FL$67))</f>
        <v>0.14963461538461539</v>
      </c>
      <c r="FM75" s="127">
        <f>$D50*(1+$C$4)^(SUM($F$67:FM$67))</f>
        <v>0.14963461538461539</v>
      </c>
      <c r="FN75" s="127">
        <f>$D50*(1+$C$4)^(SUM($F$67:FN$67))</f>
        <v>0.14963461538461539</v>
      </c>
      <c r="FO75" s="127">
        <f>$D50*(1+$C$4)^(SUM($F$67:FO$67))</f>
        <v>0.14963461538461539</v>
      </c>
      <c r="FP75" s="127">
        <f>$D50*(1+$C$4)^(SUM($F$67:FP$67))</f>
        <v>0.14963461538461539</v>
      </c>
      <c r="FQ75" s="127">
        <f>$D50*(1+$C$4)^(SUM($F$67:FQ$67))</f>
        <v>0.14963461538461539</v>
      </c>
      <c r="FR75" s="127">
        <f>$D50*(1+$C$4)^(SUM($F$67:FR$67))</f>
        <v>0.14963461538461539</v>
      </c>
      <c r="FS75" s="127">
        <f>$D50*(1+$C$4)^(SUM($F$67:FS$67))</f>
        <v>0.14963461538461539</v>
      </c>
      <c r="FT75" s="127">
        <f>$D50*(1+$C$4)^(SUM($F$67:FT$67))</f>
        <v>0.14963461538461539</v>
      </c>
      <c r="FU75" s="127">
        <f>$D50*(1+$C$4)^(SUM($F$67:FU$67))</f>
        <v>0.14963461538461539</v>
      </c>
      <c r="FV75" s="127">
        <f>$D50*(1+$C$4)^(SUM($F$67:FV$67))</f>
        <v>0.14963461538461539</v>
      </c>
      <c r="FW75" s="127">
        <f>$D50*(1+$C$4)^(SUM($F$67:FW$67))</f>
        <v>0.14963461538461539</v>
      </c>
      <c r="FX75" s="127">
        <f>$D50*(1+$C$4)^(SUM($F$67:FX$67))</f>
        <v>0.14963461538461539</v>
      </c>
      <c r="FY75" s="127">
        <f>$D50*(1+$C$4)^(SUM($F$67:FY$67))</f>
        <v>0.14963461538461539</v>
      </c>
      <c r="FZ75" s="127">
        <f>$D50*(1+$C$4)^(SUM($F$67:FZ$67))</f>
        <v>0.14963461538461539</v>
      </c>
      <c r="GA75" s="127">
        <f>$D50*(1+$C$4)^(SUM($F$67:GA$67))</f>
        <v>0.14963461538461539</v>
      </c>
      <c r="GB75" s="127">
        <f>$D50*(1+$C$4)^(SUM($F$67:GB$67))</f>
        <v>0.14963461538461539</v>
      </c>
      <c r="GC75" s="127">
        <f>$D50*(1+$C$4)^(SUM($F$67:GC$67))</f>
        <v>0.14963461538461539</v>
      </c>
      <c r="GD75" s="127">
        <f>$D50*(1+$C$4)^(SUM($F$67:GD$67))</f>
        <v>0.14963461538461539</v>
      </c>
      <c r="GE75" s="127">
        <f>$D50*(1+$C$4)^(SUM($F$67:GE$67))</f>
        <v>0.14963461538461539</v>
      </c>
      <c r="GF75" s="127">
        <f>$D50*(1+$C$4)^(SUM($F$67:GF$67))</f>
        <v>0.14963461538461539</v>
      </c>
      <c r="GG75" s="127">
        <f>$D50*(1+$C$4)^(SUM($F$67:GG$67))</f>
        <v>0.14963461538461539</v>
      </c>
      <c r="GH75" s="127">
        <f>$D50*(1+$C$4)^(SUM($F$67:GH$67))</f>
        <v>0.14963461538461539</v>
      </c>
      <c r="GI75" s="127">
        <f>$D50*(1+$C$4)^(SUM($F$67:GI$67))</f>
        <v>0.14963461538461539</v>
      </c>
      <c r="GJ75" s="127">
        <f>$D50*(1+$C$4)^(SUM($F$67:GJ$67))</f>
        <v>0.14963461538461539</v>
      </c>
      <c r="GK75" s="127">
        <f>$D50*(1+$C$4)^(SUM($F$67:GK$67))</f>
        <v>0.14963461538461539</v>
      </c>
      <c r="GL75" s="127">
        <f>$D50*(1+$C$4)^(SUM($F$67:GL$67))</f>
        <v>0.14963461538461539</v>
      </c>
      <c r="GM75" s="127">
        <f>$D50*(1+$C$4)^(SUM($F$67:GM$67))</f>
        <v>0.14963461538461539</v>
      </c>
      <c r="GN75" s="127">
        <f>$D50*(1+$C$4)^(SUM($F$67:GN$67))</f>
        <v>0.14963461538461539</v>
      </c>
      <c r="GO75" s="127">
        <f>$D50*(1+$C$4)^(SUM($F$67:GO$67))</f>
        <v>0.14963461538461539</v>
      </c>
      <c r="GP75" s="127">
        <f>$D50*(1+$C$4)^(SUM($F$67:GP$67))</f>
        <v>0.14963461538461539</v>
      </c>
      <c r="GQ75" s="127">
        <f>$D50*(1+$C$4)^(SUM($F$67:GQ$67))</f>
        <v>0.14963461538461539</v>
      </c>
      <c r="GR75" s="127">
        <f>$D50*(1+$C$4)^(SUM($F$67:GR$67))</f>
        <v>0.14963461538461539</v>
      </c>
      <c r="GS75" s="127">
        <f>$D50*(1+$C$4)^(SUM($F$67:GS$67))</f>
        <v>0.14963461538461539</v>
      </c>
      <c r="GT75" s="127">
        <f>$D50*(1+$C$4)^(SUM($F$67:GT$67))</f>
        <v>0.14963461538461539</v>
      </c>
      <c r="GU75" s="127">
        <f>$D50*(1+$C$4)^(SUM($F$67:GU$67))</f>
        <v>0.14963461538461539</v>
      </c>
      <c r="GV75" s="127">
        <f>$D50*(1+$C$4)^(SUM($F$67:GV$67))</f>
        <v>0.14963461538461539</v>
      </c>
      <c r="GW75" s="127">
        <f>$D50*(1+$C$4)^(SUM($F$67:GW$67))</f>
        <v>0.14963461538461539</v>
      </c>
      <c r="GX75" s="127">
        <f>$D50*(1+$C$4)^(SUM($F$67:GX$67))</f>
        <v>0.14963461538461539</v>
      </c>
      <c r="GY75" s="127">
        <f>$D50*(1+$C$4)^(SUM($F$67:GY$67))</f>
        <v>0.14963461538461539</v>
      </c>
      <c r="GZ75" s="127">
        <f>$D50*(1+$C$4)^(SUM($F$67:GZ$67))</f>
        <v>0.14963461538461539</v>
      </c>
      <c r="HA75" s="127">
        <f>$D50*(1+$C$4)^(SUM($F$67:HA$67))</f>
        <v>0.14963461538461539</v>
      </c>
      <c r="HB75" s="127">
        <f>$D50*(1+$C$4)^(SUM($F$67:HB$67))</f>
        <v>0.14963461538461539</v>
      </c>
      <c r="HC75" s="127">
        <f>$D50*(1+$C$4)^(SUM($F$67:HC$67))</f>
        <v>0.14963461538461539</v>
      </c>
      <c r="HD75" s="127">
        <f>$D50*(1+$C$4)^(SUM($F$67:HD$67))</f>
        <v>0.14963461538461539</v>
      </c>
      <c r="HE75" s="127">
        <f>$D50*(1+$C$4)^(SUM($F$67:HE$67))</f>
        <v>0.14963461538461539</v>
      </c>
      <c r="HF75" s="127">
        <f>$D50*(1+$C$4)^(SUM($F$67:HF$67))</f>
        <v>0.14963461538461539</v>
      </c>
      <c r="HG75" s="127">
        <f>$D50*(1+$C$4)^(SUM($F$67:HG$67))</f>
        <v>0.14963461538461539</v>
      </c>
      <c r="HH75" s="127">
        <f>$D50*(1+$C$4)^(SUM($F$67:HH$67))</f>
        <v>0.14963461538461539</v>
      </c>
      <c r="HI75" s="127">
        <f>$D50*(1+$C$4)^(SUM($F$67:HI$67))</f>
        <v>0.14963461538461539</v>
      </c>
      <c r="HJ75" s="127">
        <f>$D50*(1+$C$4)^(SUM($F$67:HJ$67))</f>
        <v>0.14963461538461539</v>
      </c>
      <c r="HK75" s="127">
        <f>$D50*(1+$C$4)^(SUM($F$67:HK$67))</f>
        <v>0.14963461538461539</v>
      </c>
      <c r="HL75" s="127">
        <f>$D50*(1+$C$4)^(SUM($F$67:HL$67))</f>
        <v>0.14963461538461539</v>
      </c>
      <c r="HM75" s="127">
        <f>$D50*(1+$C$4)^(SUM($F$67:HM$67))</f>
        <v>0.14963461538461539</v>
      </c>
      <c r="HN75" s="127">
        <f>$D50*(1+$C$4)^(SUM($F$67:HN$67))</f>
        <v>0.14963461538461539</v>
      </c>
      <c r="HO75" s="127">
        <f>$D50*(1+$C$4)^(SUM($F$67:HO$67))</f>
        <v>0.14963461538461539</v>
      </c>
      <c r="HP75" s="127">
        <f>$D50*(1+$C$4)^(SUM($F$67:HP$67))</f>
        <v>0.14963461538461539</v>
      </c>
      <c r="HQ75" s="127">
        <f>$D50*(1+$C$4)^(SUM($F$67:HQ$67))</f>
        <v>0.14963461538461539</v>
      </c>
      <c r="HR75" s="127">
        <f>$D50*(1+$C$4)^(SUM($F$67:HR$67))</f>
        <v>0.14963461538461539</v>
      </c>
      <c r="HS75" s="127">
        <f>$D50*(1+$C$4)^(SUM($F$67:HS$67))</f>
        <v>0.14963461538461539</v>
      </c>
      <c r="HT75" s="127">
        <f>$D50*(1+$C$4)^(SUM($F$67:HT$67))</f>
        <v>0.14963461538461539</v>
      </c>
      <c r="HU75" s="127">
        <f>$D50*(1+$C$4)^(SUM($F$67:HU$67))</f>
        <v>0.14963461538461539</v>
      </c>
      <c r="HV75" s="127">
        <f>$D50*(1+$C$4)^(SUM($F$67:HV$67))</f>
        <v>0.14963461538461539</v>
      </c>
      <c r="HW75" s="127">
        <f>$D50*(1+$C$4)^(SUM($F$67:HW$67))</f>
        <v>0.14963461538461539</v>
      </c>
      <c r="HX75" s="127">
        <f>$D50*(1+$C$4)^(SUM($F$67:HX$67))</f>
        <v>0.14963461538461539</v>
      </c>
      <c r="HY75" s="127">
        <f>$D50*(1+$C$4)^(SUM($F$67:HY$67))</f>
        <v>0.14963461538461539</v>
      </c>
      <c r="HZ75" s="127">
        <f>$D50*(1+$C$4)^(SUM($F$67:HZ$67))</f>
        <v>0.14963461538461539</v>
      </c>
      <c r="IA75" s="127">
        <f>$D50*(1+$C$4)^(SUM($F$67:IA$67))</f>
        <v>0.14963461538461539</v>
      </c>
      <c r="IB75" s="127">
        <f>$D50*(1+$C$4)^(SUM($F$67:IB$67))</f>
        <v>0.14963461538461539</v>
      </c>
      <c r="IC75" s="127">
        <f>$D50*(1+$C$4)^(SUM($F$67:IC$67))</f>
        <v>0.14963461538461539</v>
      </c>
      <c r="ID75" s="127">
        <f>$D50*(1+$C$4)^(SUM($F$67:ID$67))</f>
        <v>0.14963461538461539</v>
      </c>
      <c r="IE75" s="127">
        <f>$D50*(1+$C$4)^(SUM($F$67:IE$67))</f>
        <v>0.14963461538461539</v>
      </c>
      <c r="IF75" s="127">
        <f>$D50*(1+$C$4)^(SUM($F$67:IF$67))</f>
        <v>0.14963461538461539</v>
      </c>
      <c r="IG75" s="127">
        <f>$D50*(1+$C$4)^(SUM($F$67:IG$67))</f>
        <v>0.14963461538461539</v>
      </c>
      <c r="IH75" s="127">
        <f>$D50*(1+$C$4)^(SUM($F$67:IH$67))</f>
        <v>0.14963461538461539</v>
      </c>
      <c r="II75" s="127">
        <f>$D50*(1+$C$4)^(SUM($F$67:II$67))</f>
        <v>0.14963461538461539</v>
      </c>
      <c r="IJ75" s="127">
        <f>$D50*(1+$C$4)^(SUM($F$67:IJ$67))</f>
        <v>0.14963461538461539</v>
      </c>
      <c r="IK75" s="127">
        <f>$D50*(1+$C$4)^(SUM($F$67:IK$67))</f>
        <v>0.14963461538461539</v>
      </c>
      <c r="IL75" s="127">
        <f>$D50*(1+$C$4)^(SUM($F$67:IL$67))</f>
        <v>0.14963461538461539</v>
      </c>
      <c r="IM75" s="127">
        <f>$D50*(1+$C$4)^(SUM($F$67:IM$67))</f>
        <v>0.14963461538461539</v>
      </c>
      <c r="IN75" s="127">
        <f>$D50*(1+$C$4)^(SUM($F$67:IN$67))</f>
        <v>0.14963461538461539</v>
      </c>
      <c r="IO75" s="127">
        <f>$D50*(1+$C$4)^(SUM($F$67:IO$67))</f>
        <v>0.14963461538461539</v>
      </c>
      <c r="IP75" s="127">
        <f>$D50*(1+$C$4)^(SUM($F$67:IP$67))</f>
        <v>0.14963461538461539</v>
      </c>
      <c r="IQ75" s="127">
        <f>$D50*(1+$C$4)^(SUM($F$67:IQ$67))</f>
        <v>0.14963461538461539</v>
      </c>
      <c r="IR75" s="127">
        <f>$D50*(1+$C$4)^(SUM($F$67:IR$67))</f>
        <v>0.14963461538461539</v>
      </c>
      <c r="IS75" s="127">
        <f>$D50*(1+$C$4)^(SUM($F$67:IS$67))</f>
        <v>0.14963461538461539</v>
      </c>
      <c r="IT75" s="127">
        <f>$D50*(1+$C$4)^(SUM($F$67:IT$67))</f>
        <v>0.14963461538461539</v>
      </c>
      <c r="IU75" s="127">
        <f>$D50*(1+$C$4)^(SUM($F$67:IU$67))</f>
        <v>0.14963461538461539</v>
      </c>
      <c r="IV75" s="127">
        <f>$D50*(1+$C$4)^(SUM($F$67:IV$67))</f>
        <v>0.14963461538461539</v>
      </c>
      <c r="IW75" s="127">
        <f>$D50*(1+$C$4)^(SUM($F$67:IW$67))</f>
        <v>0.14963461538461539</v>
      </c>
      <c r="IX75" s="127">
        <f>$D50*(1+$C$4)^(SUM($F$67:IX$67))</f>
        <v>0.14963461538461539</v>
      </c>
      <c r="IY75" s="127">
        <f>$D50*(1+$C$4)^(SUM($F$67:IY$67))</f>
        <v>0.14963461538461539</v>
      </c>
      <c r="IZ75" s="127">
        <f>$D50*(1+$C$4)^(SUM($F$67:IZ$67))</f>
        <v>0.14963461538461539</v>
      </c>
      <c r="JA75" s="127">
        <f>$D50*(1+$C$4)^(SUM($F$67:JA$67))</f>
        <v>0.14963461538461539</v>
      </c>
      <c r="JB75" s="127">
        <f>$D50*(1+$C$4)^(SUM($F$67:JB$67))</f>
        <v>0.14963461538461539</v>
      </c>
      <c r="JC75" s="127">
        <f>$D50*(1+$C$4)^(SUM($F$67:JC$67))</f>
        <v>0.14963461538461539</v>
      </c>
      <c r="JD75" s="127">
        <f>$D50*(1+$C$4)^(SUM($F$67:JD$67))</f>
        <v>0.14963461538461539</v>
      </c>
      <c r="JE75" s="127">
        <f>$D50*(1+$C$4)^(SUM($F$67:JE$67))</f>
        <v>0.14963461538461539</v>
      </c>
      <c r="JF75" s="127">
        <f>$D50*(1+$C$4)^(SUM($F$67:JF$67))</f>
        <v>0.14963461538461539</v>
      </c>
      <c r="JG75" s="127">
        <f>$D50*(1+$C$4)^(SUM($F$67:JG$67))</f>
        <v>0.14963461538461539</v>
      </c>
      <c r="JH75" s="127">
        <f>$D50*(1+$C$4)^(SUM($F$67:JH$67))</f>
        <v>0.14963461538461539</v>
      </c>
      <c r="JI75" s="127">
        <f>$D50*(1+$C$4)^(SUM($F$67:JI$67))</f>
        <v>0.14963461538461539</v>
      </c>
      <c r="JJ75" s="127">
        <f>$D50*(1+$C$4)^(SUM($F$67:JJ$67))</f>
        <v>0.14963461538461539</v>
      </c>
      <c r="JK75" s="127">
        <f>$D50*(1+$C$4)^(SUM($F$67:JK$67))</f>
        <v>0.14963461538461539</v>
      </c>
      <c r="JL75" s="127">
        <f>$D50*(1+$C$4)^(SUM($F$67:JL$67))</f>
        <v>0.14963461538461539</v>
      </c>
      <c r="JM75" s="127">
        <f>$D50*(1+$C$4)^(SUM($F$67:JM$67))</f>
        <v>0.14963461538461539</v>
      </c>
      <c r="JN75" s="127">
        <f>$D50*(1+$C$4)^(SUM($F$67:JN$67))</f>
        <v>0.14963461538461539</v>
      </c>
      <c r="JO75" s="127">
        <f>$D50*(1+$C$4)^(SUM($F$67:JO$67))</f>
        <v>0.14963461538461539</v>
      </c>
      <c r="JP75" s="127">
        <f>$D50*(1+$C$4)^(SUM($F$67:JP$67))</f>
        <v>0.14963461538461539</v>
      </c>
      <c r="JQ75" s="127">
        <f>$D50*(1+$C$4)^(SUM($F$67:JQ$67))</f>
        <v>0.14963461538461539</v>
      </c>
      <c r="JR75" s="127">
        <f>$D50*(1+$C$4)^(SUM($F$67:JR$67))</f>
        <v>0.14963461538461539</v>
      </c>
      <c r="JS75" s="127">
        <f>$D50*(1+$C$4)^(SUM($F$67:JS$67))</f>
        <v>0.14963461538461539</v>
      </c>
      <c r="JT75" s="127">
        <f>$D50*(1+$C$4)^(SUM($F$67:JT$67))</f>
        <v>0.14963461538461539</v>
      </c>
      <c r="JU75" s="127">
        <f>$D50*(1+$C$4)^(SUM($F$67:JU$67))</f>
        <v>0.14963461538461539</v>
      </c>
      <c r="JV75" s="127">
        <f>$D50*(1+$C$4)^(SUM($F$67:JV$67))</f>
        <v>0.14963461538461539</v>
      </c>
      <c r="JW75" s="127">
        <f>$D50*(1+$C$4)^(SUM($F$67:JW$67))</f>
        <v>0.14963461538461539</v>
      </c>
      <c r="JX75" s="127">
        <f>$D50*(1+$C$4)^(SUM($F$67:JX$67))</f>
        <v>0.14963461538461539</v>
      </c>
      <c r="JY75" s="127">
        <f>$D50*(1+$C$4)^(SUM($F$67:JY$67))</f>
        <v>0.14963461538461539</v>
      </c>
      <c r="JZ75" s="127">
        <f>$D50*(1+$C$4)^(SUM($F$67:JZ$67))</f>
        <v>0.14963461538461539</v>
      </c>
      <c r="KA75" s="127">
        <f>$D50*(1+$C$4)^(SUM($F$67:KA$67))</f>
        <v>0.14963461538461539</v>
      </c>
      <c r="KB75" s="127">
        <f>$D50*(1+$C$4)^(SUM($F$67:KB$67))</f>
        <v>0.14963461538461539</v>
      </c>
      <c r="KC75" s="127">
        <f>$D50*(1+$C$4)^(SUM($F$67:KC$67))</f>
        <v>0.14963461538461539</v>
      </c>
      <c r="KD75" s="127">
        <f>$D50*(1+$C$4)^(SUM($F$67:KD$67))</f>
        <v>0.14963461538461539</v>
      </c>
      <c r="KE75" s="127">
        <f>$D50*(1+$C$4)^(SUM($F$67:KE$67))</f>
        <v>0.14963461538461539</v>
      </c>
      <c r="KF75" s="127">
        <f>$D50*(1+$C$4)^(SUM($F$67:KF$67))</f>
        <v>0.14963461538461539</v>
      </c>
      <c r="KG75" s="127">
        <f>$D50*(1+$C$4)^(SUM($F$67:KG$67))</f>
        <v>0.14963461538461539</v>
      </c>
      <c r="KH75" s="127">
        <f>$D50*(1+$C$4)^(SUM($F$67:KH$67))</f>
        <v>0.14963461538461539</v>
      </c>
      <c r="KI75" s="127">
        <f>$D50*(1+$C$4)^(SUM($F$67:KI$67))</f>
        <v>0.14963461538461539</v>
      </c>
      <c r="KJ75" s="127">
        <f>$D50*(1+$C$4)^(SUM($F$67:KJ$67))</f>
        <v>0.14963461538461539</v>
      </c>
      <c r="KK75" s="127">
        <f>$D50*(1+$C$4)^(SUM($F$67:KK$67))</f>
        <v>0.14963461538461539</v>
      </c>
      <c r="KL75" s="127">
        <f>$D50*(1+$C$4)^(SUM($F$67:KL$67))</f>
        <v>0.14963461538461539</v>
      </c>
      <c r="KM75" s="127">
        <f>$D50*(1+$C$4)^(SUM($F$67:KM$67))</f>
        <v>0.14963461538461539</v>
      </c>
      <c r="KN75" s="127">
        <f>$D50*(1+$C$4)^(SUM($F$67:KN$67))</f>
        <v>0.14963461538461539</v>
      </c>
      <c r="KO75" s="127">
        <f>$D50*(1+$C$4)^(SUM($F$67:KO$67))</f>
        <v>0.14963461538461539</v>
      </c>
      <c r="KP75" s="127">
        <f>$D50*(1+$C$4)^(SUM($F$67:KP$67))</f>
        <v>0.14963461538461539</v>
      </c>
      <c r="KQ75" s="127">
        <f>$D50*(1+$C$4)^(SUM($F$67:KQ$67))</f>
        <v>0.14963461538461539</v>
      </c>
      <c r="KR75" s="127">
        <f>$D50*(1+$C$4)^(SUM($F$67:KR$67))</f>
        <v>0.14963461538461539</v>
      </c>
      <c r="KS75" s="127">
        <f>$D50*(1+$C$4)^(SUM($F$67:KS$67))</f>
        <v>0.14963461538461539</v>
      </c>
      <c r="KT75" s="127">
        <f>$D50*(1+$C$4)^(SUM($F$67:KT$67))</f>
        <v>0.14963461538461539</v>
      </c>
      <c r="KU75" s="127">
        <f>$D50*(1+$C$4)^(SUM($F$67:KU$67))</f>
        <v>0.14963461538461539</v>
      </c>
      <c r="KV75" s="127">
        <f>$D50*(1+$C$4)^(SUM($F$67:KV$67))</f>
        <v>0.14963461538461539</v>
      </c>
      <c r="KW75" s="127">
        <f>$D50*(1+$C$4)^(SUM($F$67:KW$67))</f>
        <v>0.14963461538461539</v>
      </c>
      <c r="KX75" s="127">
        <f>$D50*(1+$C$4)^(SUM($F$67:KX$67))</f>
        <v>0.14963461538461539</v>
      </c>
      <c r="KY75" s="127">
        <f>$D50*(1+$C$4)^(SUM($F$67:KY$67))</f>
        <v>0.14963461538461539</v>
      </c>
      <c r="KZ75" s="127">
        <f>$D50*(1+$C$4)^(SUM($F$67:KZ$67))</f>
        <v>0.14963461538461539</v>
      </c>
      <c r="LA75" s="127">
        <f>$D50*(1+$C$4)^(SUM($F$67:LA$67))</f>
        <v>0.14963461538461539</v>
      </c>
      <c r="LB75" s="127">
        <f>$D50*(1+$C$4)^(SUM($F$67:LB$67))</f>
        <v>0.14963461538461539</v>
      </c>
      <c r="LC75" s="127">
        <f>$D50*(1+$C$4)^(SUM($F$67:LC$67))</f>
        <v>0.14963461538461539</v>
      </c>
      <c r="LD75" s="127">
        <f>$D50*(1+$C$4)^(SUM($F$67:LD$67))</f>
        <v>0.14963461538461539</v>
      </c>
      <c r="LE75" s="127">
        <f>$D50*(1+$C$4)^(SUM($F$67:LE$67))</f>
        <v>0.14963461538461539</v>
      </c>
      <c r="LF75" s="127">
        <f>$D50*(1+$C$4)^(SUM($F$67:LF$67))</f>
        <v>0.14963461538461539</v>
      </c>
      <c r="LG75" s="127">
        <f>$D50*(1+$C$4)^(SUM($F$67:LG$67))</f>
        <v>0.14963461538461539</v>
      </c>
      <c r="LH75" s="127">
        <f>$D50*(1+$C$4)^(SUM($F$67:LH$67))</f>
        <v>0.14963461538461539</v>
      </c>
      <c r="LI75" s="127">
        <f>$D50*(1+$C$4)^(SUM($F$67:LI$67))</f>
        <v>0.14963461538461539</v>
      </c>
      <c r="LJ75" s="127">
        <f>$D50*(1+$C$4)^(SUM($F$67:LJ$67))</f>
        <v>0.14963461538461539</v>
      </c>
      <c r="LK75" s="127">
        <f>$D50*(1+$C$4)^(SUM($F$67:LK$67))</f>
        <v>0.14963461538461539</v>
      </c>
      <c r="LL75" s="127">
        <f>$D50*(1+$C$4)^(SUM($F$67:LL$67))</f>
        <v>0.14963461538461539</v>
      </c>
      <c r="LM75" s="127">
        <f>$D50*(1+$C$4)^(SUM($F$67:LM$67))</f>
        <v>0.14963461538461539</v>
      </c>
      <c r="LN75" s="127">
        <f>$D50*(1+$C$4)^(SUM($F$67:LN$67))</f>
        <v>0.14963461538461539</v>
      </c>
      <c r="LO75" s="127">
        <f>$D50*(1+$C$4)^(SUM($F$67:LO$67))</f>
        <v>0.14963461538461539</v>
      </c>
      <c r="LP75" s="127">
        <f>$D50*(1+$C$4)^(SUM($F$67:LP$67))</f>
        <v>0.14963461538461539</v>
      </c>
      <c r="LQ75" s="127">
        <f>$D50*(1+$C$4)^(SUM($F$67:LQ$67))</f>
        <v>0.14963461538461539</v>
      </c>
      <c r="LR75" s="127">
        <f>$D50*(1+$C$4)^(SUM($F$67:LR$67))</f>
        <v>0.14963461538461539</v>
      </c>
      <c r="LS75" s="127">
        <f>$D50*(1+$C$4)^(SUM($F$67:LS$67))</f>
        <v>0.14963461538461539</v>
      </c>
      <c r="LT75" s="127">
        <f>$D50*(1+$C$4)^(SUM($F$67:LT$67))</f>
        <v>0.14963461538461539</v>
      </c>
      <c r="LU75" s="127">
        <f>$D50*(1+$C$4)^(SUM($F$67:LU$67))</f>
        <v>0.14963461538461539</v>
      </c>
      <c r="LV75" s="127">
        <f>$D50*(1+$C$4)^(SUM($F$67:LV$67))</f>
        <v>0.14963461538461539</v>
      </c>
      <c r="LW75" s="127">
        <f>$D50*(1+$C$4)^(SUM($F$67:LW$67))</f>
        <v>0.14963461538461539</v>
      </c>
      <c r="LX75" s="127">
        <f>$D50*(1+$C$4)^(SUM($F$67:LX$67))</f>
        <v>0.14963461538461539</v>
      </c>
      <c r="LY75" s="127">
        <f>$D50*(1+$C$4)^(SUM($F$67:LY$67))</f>
        <v>0.14963461538461539</v>
      </c>
      <c r="LZ75" s="127">
        <f>$D50*(1+$C$4)^(SUM($F$67:LZ$67))</f>
        <v>0.14963461538461539</v>
      </c>
      <c r="MA75" s="127">
        <f>$D50*(1+$C$4)^(SUM($F$67:MA$67))</f>
        <v>0.14963461538461539</v>
      </c>
      <c r="MB75" s="127">
        <f>$D50*(1+$C$4)^(SUM($F$67:MB$67))</f>
        <v>0.14963461538461539</v>
      </c>
      <c r="MC75" s="127">
        <f>$D50*(1+$C$4)^(SUM($F$67:MC$67))</f>
        <v>0.14963461538461539</v>
      </c>
      <c r="MD75" s="127">
        <f>$D50*(1+$C$4)^(SUM($F$67:MD$67))</f>
        <v>0.14963461538461539</v>
      </c>
      <c r="ME75" s="127">
        <f>$D50*(1+$C$4)^(SUM($F$67:ME$67))</f>
        <v>0.14963461538461539</v>
      </c>
      <c r="MF75" s="127">
        <f>$D50*(1+$C$4)^(SUM($F$67:MF$67))</f>
        <v>0.14963461538461539</v>
      </c>
      <c r="MG75" s="127">
        <f>$D50*(1+$C$4)^(SUM($F$67:MG$67))</f>
        <v>0.14963461538461539</v>
      </c>
      <c r="MH75" s="127">
        <f>$D50*(1+$C$4)^(SUM($F$67:MH$67))</f>
        <v>0.14963461538461539</v>
      </c>
      <c r="MI75" s="127">
        <f>$D50*(1+$C$4)^(SUM($F$67:MI$67))</f>
        <v>0.14963461538461539</v>
      </c>
      <c r="MJ75" s="127">
        <f>$D50*(1+$C$4)^(SUM($F$67:MJ$67))</f>
        <v>0.14963461538461539</v>
      </c>
      <c r="MK75" s="127">
        <f>$D50*(1+$C$4)^(SUM($F$67:MK$67))</f>
        <v>0.14963461538461539</v>
      </c>
      <c r="ML75" s="127">
        <f>$D50*(1+$C$4)^(SUM($F$67:ML$67))</f>
        <v>0.14963461538461539</v>
      </c>
      <c r="MM75" s="127">
        <f>$D50*(1+$C$4)^(SUM($F$67:MM$67))</f>
        <v>0.14963461538461539</v>
      </c>
      <c r="MN75" s="127">
        <f>$D50*(1+$C$4)^(SUM($F$67:MN$67))</f>
        <v>0.14963461538461539</v>
      </c>
      <c r="MO75" s="127">
        <f>$D50*(1+$C$4)^(SUM($F$67:MO$67))</f>
        <v>0.14963461538461539</v>
      </c>
      <c r="MP75" s="127">
        <f>$D50*(1+$C$4)^(SUM($F$67:MP$67))</f>
        <v>0.14963461538461539</v>
      </c>
      <c r="MQ75" s="127">
        <f>$D50*(1+$C$4)^(SUM($F$67:MQ$67))</f>
        <v>0.14963461538461539</v>
      </c>
      <c r="MR75" s="127">
        <f>$D50*(1+$C$4)^(SUM($F$67:MR$67))</f>
        <v>0.14963461538461539</v>
      </c>
      <c r="MS75" s="127">
        <f>$D50*(1+$C$4)^(SUM($F$67:MS$67))</f>
        <v>0.14963461538461539</v>
      </c>
      <c r="MT75" s="127">
        <f>$D50*(1+$C$4)^(SUM($F$67:MT$67))</f>
        <v>0.14963461538461539</v>
      </c>
      <c r="MU75" s="127">
        <f>$D50*(1+$C$4)^(SUM($F$67:MU$67))</f>
        <v>0.14963461538461539</v>
      </c>
      <c r="MV75" s="127">
        <f>$D50*(1+$C$4)^(SUM($F$67:MV$67))</f>
        <v>0.14963461538461539</v>
      </c>
      <c r="MW75" s="127">
        <f>$D50*(1+$C$4)^(SUM($F$67:MW$67))</f>
        <v>0.14963461538461539</v>
      </c>
      <c r="MX75" s="127">
        <f>$D50*(1+$C$4)^(SUM($F$67:MX$67))</f>
        <v>0.14963461538461539</v>
      </c>
      <c r="MY75" s="127">
        <f>$D50*(1+$C$4)^(SUM($F$67:MY$67))</f>
        <v>0.14963461538461539</v>
      </c>
      <c r="MZ75" s="127">
        <f>$D50*(1+$C$4)^(SUM($F$67:MZ$67))</f>
        <v>0.14963461538461539</v>
      </c>
      <c r="NA75" s="127">
        <f>$D50*(1+$C$4)^(SUM($F$67:NA$67))</f>
        <v>0.14963461538461539</v>
      </c>
      <c r="NB75" s="127">
        <f>$D50*(1+$C$4)^(SUM($F$67:NB$67))</f>
        <v>0.14963461538461539</v>
      </c>
      <c r="NC75" s="127">
        <f>$D50*(1+$C$4)^(SUM($F$67:NC$67))</f>
        <v>0.14963461538461539</v>
      </c>
      <c r="ND75" s="127">
        <f>$D50*(1+$C$4)^(SUM($F$67:ND$67))</f>
        <v>0.14963461538461539</v>
      </c>
      <c r="NE75" s="127">
        <f>$D50*(1+$C$4)^(SUM($F$67:NE$67))</f>
        <v>0.14963461538461539</v>
      </c>
      <c r="NF75" s="127">
        <f>$D50*(1+$C$4)^(SUM($F$67:NF$67))</f>
        <v>0.14963461538461539</v>
      </c>
      <c r="NG75" s="127">
        <f>$D50*(1+$C$4)^(SUM($F$67:NG$67))</f>
        <v>0.14963461538461539</v>
      </c>
      <c r="NH75" s="127">
        <f>$D50*(1+$C$4)^(SUM($F$67:NH$67))</f>
        <v>0.14963461538461539</v>
      </c>
      <c r="NI75" s="127">
        <f>$D50*(1+$C$4)^(SUM($F$67:NI$67))</f>
        <v>0.14963461538461539</v>
      </c>
      <c r="NJ75" s="127">
        <f>$D50*(1+$C$4)^(SUM($F$67:NJ$67))</f>
        <v>0.14963461538461539</v>
      </c>
      <c r="NK75" s="127">
        <f>$D50*(1+$C$4)^(SUM($F$67:NK$67))</f>
        <v>0.14963461538461539</v>
      </c>
      <c r="NL75" s="127">
        <f>$D50*(1+$C$4)^(SUM($F$67:NL$67))</f>
        <v>0.14963461538461539</v>
      </c>
      <c r="NM75" s="127">
        <f>$D50*(1+$C$4)^(SUM($F$67:NM$67))</f>
        <v>0.14963461538461539</v>
      </c>
      <c r="NN75" s="127">
        <f>$D50*(1+$C$4)^(SUM($F$67:NN$67))</f>
        <v>0.14963461538461539</v>
      </c>
      <c r="NO75" s="127">
        <f>$D50*(1+$C$4)^(SUM($F$67:NO$67))</f>
        <v>0.14963461538461539</v>
      </c>
      <c r="NP75" s="127">
        <f>$D50*(1+$C$4)^(SUM($F$67:NP$67))</f>
        <v>0.14963461538461539</v>
      </c>
      <c r="NQ75" s="127">
        <f>$D50*(1+$C$4)^(SUM($F$67:NQ$67))</f>
        <v>0.14963461538461539</v>
      </c>
      <c r="NR75" s="127">
        <f>$D50*(1+$C$4)^(SUM($F$67:NR$67))</f>
        <v>0.14963461538461539</v>
      </c>
      <c r="NS75" s="127">
        <f>$D50*(1+$C$4)^(SUM($F$67:NS$67))</f>
        <v>0.14963461538461539</v>
      </c>
      <c r="NT75" s="127">
        <f>$D50*(1+$C$4)^(SUM($F$67:NT$67))</f>
        <v>0.14963461538461539</v>
      </c>
      <c r="NU75" s="127">
        <f>$D50*(1+$C$4)^(SUM($F$67:NU$67))</f>
        <v>0.14963461538461539</v>
      </c>
      <c r="NV75" s="127">
        <f>$D50*(1+$C$4)^(SUM($F$67:NV$67))</f>
        <v>0.14963461538461539</v>
      </c>
      <c r="NW75" s="127">
        <f>$D50*(1+$C$4)^(SUM($F$67:NW$67))</f>
        <v>0.14963461538461539</v>
      </c>
      <c r="NX75" s="127">
        <f>$D50*(1+$C$4)^(SUM($F$67:NX$67))</f>
        <v>0.14963461538461539</v>
      </c>
      <c r="NY75" s="127">
        <f>$D50*(1+$C$4)^(SUM($F$67:NY$67))</f>
        <v>0.14963461538461539</v>
      </c>
      <c r="NZ75" s="127">
        <f>$D50*(1+$C$4)^(SUM($F$67:NZ$67))</f>
        <v>0.14963461538461539</v>
      </c>
      <c r="OA75" s="127">
        <f>$D50*(1+$C$4)^(SUM($F$67:OA$67))</f>
        <v>0.14963461538461539</v>
      </c>
      <c r="OB75" s="127">
        <f>$D50*(1+$C$4)^(SUM($F$67:OB$67))</f>
        <v>0.14963461538461539</v>
      </c>
      <c r="OC75" s="127">
        <f>$D50*(1+$C$4)^(SUM($F$67:OC$67))</f>
        <v>0.14963461538461539</v>
      </c>
      <c r="OD75" s="127">
        <f>$D50*(1+$C$4)^(SUM($F$67:OD$67))</f>
        <v>0.14963461538461539</v>
      </c>
      <c r="OE75" s="127">
        <f>$D50*(1+$C$4)^(SUM($F$67:OE$67))</f>
        <v>0.14963461538461539</v>
      </c>
      <c r="OF75" s="127">
        <f>$D50*(1+$C$4)^(SUM($F$67:OF$67))</f>
        <v>0.14963461538461539</v>
      </c>
      <c r="OG75" s="127">
        <f>$D50*(1+$C$4)^(SUM($F$67:OG$67))</f>
        <v>0.14963461538461539</v>
      </c>
      <c r="OH75" s="127">
        <f>$D50*(1+$C$4)^(SUM($F$67:OH$67))</f>
        <v>0.14963461538461539</v>
      </c>
      <c r="OI75" s="127">
        <f>$D50*(1+$C$4)^(SUM($F$67:OI$67))</f>
        <v>0.14963461538461539</v>
      </c>
      <c r="OJ75" s="127">
        <f>$D50*(1+$C$4)^(SUM($F$67:OJ$67))</f>
        <v>0.14963461538461539</v>
      </c>
      <c r="OK75" s="127">
        <f>$D50*(1+$C$4)^(SUM($F$67:OK$67))</f>
        <v>0.14963461538461539</v>
      </c>
      <c r="OL75" s="127">
        <f>$D50*(1+$C$4)^(SUM($F$67:OL$67))</f>
        <v>0.14963461538461539</v>
      </c>
      <c r="OM75" s="127">
        <f>$D50*(1+$C$4)^(SUM($F$67:OM$67))</f>
        <v>0.14963461538461539</v>
      </c>
      <c r="ON75" s="127">
        <f>$D50*(1+$C$4)^(SUM($F$67:ON$67))</f>
        <v>0.14963461538461539</v>
      </c>
      <c r="OO75" s="127">
        <f>$D50*(1+$C$4)^(SUM($F$67:OO$67))</f>
        <v>0.14963461538461539</v>
      </c>
      <c r="OP75" s="127">
        <f>$D50*(1+$C$4)^(SUM($F$67:OP$67))</f>
        <v>0.14963461538461539</v>
      </c>
      <c r="OQ75" s="127">
        <f>$D50*(1+$C$4)^(SUM($F$67:OQ$67))</f>
        <v>0.14963461538461539</v>
      </c>
      <c r="OR75" s="127">
        <f>$D50*(1+$C$4)^(SUM($F$67:OR$67))</f>
        <v>0.14963461538461539</v>
      </c>
      <c r="OS75" s="127">
        <f>$D50*(1+$C$4)^(SUM($F$67:OS$67))</f>
        <v>0.14963461538461539</v>
      </c>
      <c r="OT75" s="127">
        <f>$D50*(1+$C$4)^(SUM($F$67:OT$67))</f>
        <v>0.14963461538461539</v>
      </c>
      <c r="OU75" s="127">
        <f>$D50*(1+$C$4)^(SUM($F$67:OU$67))</f>
        <v>0.14963461538461539</v>
      </c>
      <c r="OV75" s="127">
        <f>$D50*(1+$C$4)^(SUM($F$67:OV$67))</f>
        <v>0.14963461538461539</v>
      </c>
      <c r="OW75" s="127">
        <f>$D50*(1+$C$4)^(SUM($F$67:OW$67))</f>
        <v>0.14963461538461539</v>
      </c>
      <c r="OX75" s="127">
        <f>$D50*(1+$C$4)^(SUM($F$67:OX$67))</f>
        <v>0.14963461538461539</v>
      </c>
      <c r="OY75" s="127">
        <f>$D50*(1+$C$4)^(SUM($F$67:OY$67))</f>
        <v>0.14963461538461539</v>
      </c>
      <c r="OZ75" s="127">
        <f>$D50*(1+$C$4)^(SUM($F$67:OZ$67))</f>
        <v>0.14963461538461539</v>
      </c>
      <c r="PA75" s="127">
        <f>$D50*(1+$C$4)^(SUM($F$67:PA$67))</f>
        <v>0.14963461538461539</v>
      </c>
      <c r="PB75" s="127">
        <f>$D50*(1+$C$4)^(SUM($F$67:PB$67))</f>
        <v>0.14963461538461539</v>
      </c>
      <c r="PC75" s="127">
        <f>$D50*(1+$C$4)^(SUM($F$67:PC$67))</f>
        <v>0.14963461538461539</v>
      </c>
      <c r="PD75" s="127">
        <f>$D50*(1+$C$4)^(SUM($F$67:PD$67))</f>
        <v>0.14963461538461539</v>
      </c>
      <c r="PE75" s="127">
        <f>$D50*(1+$C$4)^(SUM($F$67:PE$67))</f>
        <v>0.14963461538461539</v>
      </c>
      <c r="PF75" s="127">
        <f>$D50*(1+$C$4)^(SUM($F$67:PF$67))</f>
        <v>0.14963461538461539</v>
      </c>
      <c r="PG75" s="127">
        <f>$D50*(1+$C$4)^(SUM($F$67:PG$67))</f>
        <v>0.14963461538461539</v>
      </c>
      <c r="PH75" s="127">
        <f>$D50*(1+$C$4)^(SUM($F$67:PH$67))</f>
        <v>0.14963461538461539</v>
      </c>
      <c r="PI75" s="127">
        <f>$D50*(1+$C$4)^(SUM($F$67:PI$67))</f>
        <v>0.14963461538461539</v>
      </c>
      <c r="PJ75" s="127">
        <f>$D50*(1+$C$4)^(SUM($F$67:PJ$67))</f>
        <v>0.14963461538461539</v>
      </c>
      <c r="PK75" s="127">
        <f>$D50*(1+$C$4)^(SUM($F$67:PK$67))</f>
        <v>0.14963461538461539</v>
      </c>
      <c r="PL75" s="127">
        <f>$D50*(1+$C$4)^(SUM($F$67:PL$67))</f>
        <v>0.14963461538461539</v>
      </c>
      <c r="PM75" s="127">
        <f>$D50*(1+$C$4)^(SUM($F$67:PM$67))</f>
        <v>0.14963461538461539</v>
      </c>
      <c r="PN75" s="127">
        <f>$D50*(1+$C$4)^(SUM($F$67:PN$67))</f>
        <v>0.14963461538461539</v>
      </c>
      <c r="PO75" s="127">
        <f>$D50*(1+$C$4)^(SUM($F$67:PO$67))</f>
        <v>0.14963461538461539</v>
      </c>
      <c r="PP75" s="127">
        <f>$D50*(1+$C$4)^(SUM($F$67:PP$67))</f>
        <v>0.14963461538461539</v>
      </c>
      <c r="PQ75" s="127">
        <f>$D50*(1+$C$4)^(SUM($F$67:PQ$67))</f>
        <v>0.14963461538461539</v>
      </c>
      <c r="PR75" s="127">
        <f>$D50*(1+$C$4)^(SUM($F$67:PR$67))</f>
        <v>0.14963461538461539</v>
      </c>
      <c r="PS75" s="127">
        <f>$D50*(1+$C$4)^(SUM($F$67:PS$67))</f>
        <v>0.14963461538461539</v>
      </c>
      <c r="PT75" s="127">
        <f>$D50*(1+$C$4)^(SUM($F$67:PT$67))</f>
        <v>0.14963461538461539</v>
      </c>
      <c r="PU75" s="127">
        <f>$D50*(1+$C$4)^(SUM($F$67:PU$67))</f>
        <v>0.14963461538461539</v>
      </c>
      <c r="PV75" s="127">
        <f>$D50*(1+$C$4)^(SUM($F$67:PV$67))</f>
        <v>0.14963461538461539</v>
      </c>
      <c r="PW75" s="127">
        <f>$D50*(1+$C$4)^(SUM($F$67:PW$67))</f>
        <v>0.14963461538461539</v>
      </c>
      <c r="PX75" s="127">
        <f>$D50*(1+$C$4)^(SUM($F$67:PX$67))</f>
        <v>0.14963461538461539</v>
      </c>
      <c r="PY75" s="127">
        <f>$D50*(1+$C$4)^(SUM($F$67:PY$67))</f>
        <v>0.14963461538461539</v>
      </c>
      <c r="PZ75" s="127">
        <f>$D50*(1+$C$4)^(SUM($F$67:PZ$67))</f>
        <v>0.14963461538461539</v>
      </c>
      <c r="QA75" s="127">
        <f>$D50*(1+$C$4)^(SUM($F$67:QA$67))</f>
        <v>0.14963461538461539</v>
      </c>
      <c r="QB75" s="127">
        <f>$D50*(1+$C$4)^(SUM($F$67:QB$67))</f>
        <v>0.14963461538461539</v>
      </c>
      <c r="QC75" s="127">
        <f>$D50*(1+$C$4)^(SUM($F$67:QC$67))</f>
        <v>0.14963461538461539</v>
      </c>
      <c r="QD75" s="127">
        <f>$D50*(1+$C$4)^(SUM($F$67:QD$67))</f>
        <v>0.14963461538461539</v>
      </c>
      <c r="QE75" s="127">
        <f>$D50*(1+$C$4)^(SUM($F$67:QE$67))</f>
        <v>0.14963461538461539</v>
      </c>
      <c r="QF75" s="127">
        <f>$D50*(1+$C$4)^(SUM($F$67:QF$67))</f>
        <v>0.14963461538461539</v>
      </c>
      <c r="QG75" s="127">
        <f>$D50*(1+$C$4)^(SUM($F$67:QG$67))</f>
        <v>0.14963461538461539</v>
      </c>
      <c r="QH75" s="127">
        <f>$D50*(1+$C$4)^(SUM($F$67:QH$67))</f>
        <v>0.14963461538461539</v>
      </c>
      <c r="QI75" s="127">
        <f>$D50*(1+$C$4)^(SUM($F$67:QI$67))</f>
        <v>0.14963461538461539</v>
      </c>
      <c r="QJ75" s="127">
        <f>$D50*(1+$C$4)^(SUM($F$67:QJ$67))</f>
        <v>0.14963461538461539</v>
      </c>
      <c r="QK75" s="127">
        <f>$D50*(1+$C$4)^(SUM($F$67:QK$67))</f>
        <v>0.14963461538461539</v>
      </c>
      <c r="QL75" s="127">
        <f>$D50*(1+$C$4)^(SUM($F$67:QL$67))</f>
        <v>0.14963461538461539</v>
      </c>
      <c r="QM75" s="127">
        <f>$D50*(1+$C$4)^(SUM($F$67:QM$67))</f>
        <v>0.14963461538461539</v>
      </c>
      <c r="QN75" s="127">
        <f>$D50*(1+$C$4)^(SUM($F$67:QN$67))</f>
        <v>0.14963461538461539</v>
      </c>
      <c r="QO75" s="127">
        <f>$D50*(1+$C$4)^(SUM($F$67:QO$67))</f>
        <v>0.14963461538461539</v>
      </c>
      <c r="QP75" s="127">
        <f>$D50*(1+$C$4)^(SUM($F$67:QP$67))</f>
        <v>0.14963461538461539</v>
      </c>
      <c r="QQ75" s="127">
        <f>$D50*(1+$C$4)^(SUM($F$67:QQ$67))</f>
        <v>0.14963461538461539</v>
      </c>
      <c r="QR75" s="127">
        <f>$D50*(1+$C$4)^(SUM($F$67:QR$67))</f>
        <v>0.14963461538461539</v>
      </c>
      <c r="QS75" s="127">
        <f>$D50*(1+$C$4)^(SUM($F$67:QS$67))</f>
        <v>0.14963461538461539</v>
      </c>
      <c r="QT75" s="127">
        <f>$D50*(1+$C$4)^(SUM($F$67:QT$67))</f>
        <v>0.14963461538461539</v>
      </c>
      <c r="QU75" s="127">
        <f>$D50*(1+$C$4)^(SUM($F$67:QU$67))</f>
        <v>0.14963461538461539</v>
      </c>
      <c r="QV75" s="127">
        <f>$D50*(1+$C$4)^(SUM($F$67:QV$67))</f>
        <v>0.14963461538461539</v>
      </c>
      <c r="QW75" s="127">
        <f>$D50*(1+$C$4)^(SUM($F$67:QW$67))</f>
        <v>0.14963461538461539</v>
      </c>
      <c r="QX75" s="127">
        <f>$D50*(1+$C$4)^(SUM($F$67:QX$67))</f>
        <v>0.14963461538461539</v>
      </c>
      <c r="QY75" s="127">
        <f>$D50*(1+$C$4)^(SUM($F$67:QY$67))</f>
        <v>0.14963461538461539</v>
      </c>
      <c r="QZ75" s="127">
        <f>$D50*(1+$C$4)^(SUM($F$67:QZ$67))</f>
        <v>0.14963461538461539</v>
      </c>
      <c r="RA75" s="127">
        <f>$D50*(1+$C$4)^(SUM($F$67:RA$67))</f>
        <v>0.14963461538461539</v>
      </c>
      <c r="RB75" s="127">
        <f>$D50*(1+$C$4)^(SUM($F$67:RB$67))</f>
        <v>0.14963461538461539</v>
      </c>
      <c r="RC75" s="127">
        <f>$D50*(1+$C$4)^(SUM($F$67:RC$67))</f>
        <v>0.14963461538461539</v>
      </c>
      <c r="RD75" s="127">
        <f>$D50*(1+$C$4)^(SUM($F$67:RD$67))</f>
        <v>0.14963461538461539</v>
      </c>
      <c r="RE75" s="127">
        <f>$D50*(1+$C$4)^(SUM($F$67:RE$67))</f>
        <v>0.14963461538461539</v>
      </c>
      <c r="RF75" s="127">
        <f>$D50*(1+$C$4)^(SUM($F$67:RF$67))</f>
        <v>0.14963461538461539</v>
      </c>
      <c r="RG75" s="127">
        <f>$D50*(1+$C$4)^(SUM($F$67:RG$67))</f>
        <v>0.14963461538461539</v>
      </c>
      <c r="RH75" s="127">
        <f>$D50*(1+$C$4)^(SUM($F$67:RH$67))</f>
        <v>0.14963461538461539</v>
      </c>
      <c r="RI75" s="127">
        <f>$D50*(1+$C$4)^(SUM($F$67:RI$67))</f>
        <v>0.14963461538461539</v>
      </c>
      <c r="RJ75" s="127">
        <f>$D50*(1+$C$4)^(SUM($F$67:RJ$67))</f>
        <v>0.14963461538461539</v>
      </c>
      <c r="RK75" s="127">
        <f>$D50*(1+$C$4)^(SUM($F$67:RK$67))</f>
        <v>0.14963461538461539</v>
      </c>
      <c r="RL75" s="127">
        <f>$D50*(1+$C$4)^(SUM($F$67:RL$67))</f>
        <v>0.14963461538461539</v>
      </c>
      <c r="RM75" s="127">
        <f>$D50*(1+$C$4)^(SUM($F$67:RM$67))</f>
        <v>0.14963461538461539</v>
      </c>
      <c r="RN75" s="127">
        <f>$D50*(1+$C$4)^(SUM($F$67:RN$67))</f>
        <v>0.14963461538461539</v>
      </c>
      <c r="RO75" s="127">
        <f>$D50*(1+$C$4)^(SUM($F$67:RO$67))</f>
        <v>0.14963461538461539</v>
      </c>
      <c r="RP75" s="127">
        <f>$D50*(1+$C$4)^(SUM($F$67:RP$67))</f>
        <v>0.14963461538461539</v>
      </c>
      <c r="RQ75" s="127">
        <f>$D50*(1+$C$4)^(SUM($F$67:RQ$67))</f>
        <v>0.14963461538461539</v>
      </c>
      <c r="RR75" s="127">
        <f>$D50*(1+$C$4)^(SUM($F$67:RR$67))</f>
        <v>0.14963461538461539</v>
      </c>
    </row>
    <row r="76" spans="1:486" s="9" customFormat="1">
      <c r="A76" s="289"/>
      <c r="B76" s="39" t="s">
        <v>230</v>
      </c>
      <c r="E76" s="127">
        <f t="shared" ref="E76:E80" si="28">D51</f>
        <v>0.14763552631578947</v>
      </c>
      <c r="F76" s="127">
        <f>$D51*(1+$C$4)^(SUM($F$67:F$67))</f>
        <v>0.14763552631578947</v>
      </c>
      <c r="G76" s="127">
        <f>$D51*(1+$C$4)^(SUM($F$67:G$67))</f>
        <v>0.14763552631578947</v>
      </c>
      <c r="H76" s="127">
        <f>$D51*(1+$C$4)^(SUM($F$67:H$67))</f>
        <v>0.14763552631578947</v>
      </c>
      <c r="I76" s="127">
        <f>$D51*(1+$C$4)^(SUM($F$67:I$67))</f>
        <v>0.14763552631578947</v>
      </c>
      <c r="J76" s="127">
        <f>$D51*(1+$C$4)^(SUM($F$67:J$67))</f>
        <v>0.14763552631578947</v>
      </c>
      <c r="K76" s="127">
        <f>$D51*(1+$C$4)^(SUM($F$67:K$67))</f>
        <v>0.14763552631578947</v>
      </c>
      <c r="L76" s="127">
        <f>$D51*(1+$C$4)^(SUM($F$67:L$67))</f>
        <v>0.14763552631578947</v>
      </c>
      <c r="M76" s="127">
        <f>$D51*(1+$C$4)^(SUM($F$67:M$67))</f>
        <v>0.14763552631578947</v>
      </c>
      <c r="N76" s="127">
        <f>$D51*(1+$C$4)^(SUM($F$67:N$67))</f>
        <v>0.14763552631578947</v>
      </c>
      <c r="O76" s="127">
        <f>$D51*(1+$C$4)^(SUM($F$67:O$67))</f>
        <v>0.14763552631578947</v>
      </c>
      <c r="P76" s="127">
        <f>$D51*(1+$C$4)^(SUM($F$67:P$67))</f>
        <v>0.14763552631578947</v>
      </c>
      <c r="Q76" s="127">
        <f>$D51*(1+$C$4)^(SUM($F$67:Q$67))</f>
        <v>0.14763552631578947</v>
      </c>
      <c r="R76" s="127">
        <f>$D51*(1+$C$4)^(SUM($F$67:R$67))</f>
        <v>0.14763552631578947</v>
      </c>
      <c r="S76" s="127">
        <f>$D51*(1+$C$4)^(SUM($F$67:S$67))</f>
        <v>0.14763552631578947</v>
      </c>
      <c r="T76" s="127">
        <f>$D51*(1+$C$4)^(SUM($F$67:T$67))</f>
        <v>0.14763552631578947</v>
      </c>
      <c r="U76" s="127">
        <f>$D51*(1+$C$4)^(SUM($F$67:U$67))</f>
        <v>0.14763552631578947</v>
      </c>
      <c r="V76" s="127">
        <f>$D51*(1+$C$4)^(SUM($F$67:V$67))</f>
        <v>0.14763552631578947</v>
      </c>
      <c r="W76" s="127">
        <f>$D51*(1+$C$4)^(SUM($F$67:W$67))</f>
        <v>0.14763552631578947</v>
      </c>
      <c r="X76" s="127">
        <f>$D51*(1+$C$4)^(SUM($F$67:X$67))</f>
        <v>0.14763552631578947</v>
      </c>
      <c r="Y76" s="127">
        <f>$D51*(1+$C$4)^(SUM($F$67:Y$67))</f>
        <v>0.14763552631578947</v>
      </c>
      <c r="Z76" s="127">
        <f>$D51*(1+$C$4)^(SUM($F$67:Z$67))</f>
        <v>0.14763552631578947</v>
      </c>
      <c r="AA76" s="127">
        <f>$D51*(1+$C$4)^(SUM($F$67:AA$67))</f>
        <v>0.14763552631578947</v>
      </c>
      <c r="AB76" s="127">
        <f>$D51*(1+$C$4)^(SUM($F$67:AB$67))</f>
        <v>0.14763552631578947</v>
      </c>
      <c r="AC76" s="127">
        <f>$D51*(1+$C$4)^(SUM($F$67:AC$67))</f>
        <v>0.14763552631578947</v>
      </c>
      <c r="AD76" s="127">
        <f>$D51*(1+$C$4)^(SUM($F$67:AD$67))</f>
        <v>0.14763552631578947</v>
      </c>
      <c r="AE76" s="127">
        <f>$D51*(1+$C$4)^(SUM($F$67:AE$67))</f>
        <v>0.14763552631578947</v>
      </c>
      <c r="AF76" s="127">
        <f>$D51*(1+$C$4)^(SUM($F$67:AF$67))</f>
        <v>0.14763552631578947</v>
      </c>
      <c r="AG76" s="127">
        <f>$D51*(1+$C$4)^(SUM($F$67:AG$67))</f>
        <v>0.14763552631578947</v>
      </c>
      <c r="AH76" s="127">
        <f>$D51*(1+$C$4)^(SUM($F$67:AH$67))</f>
        <v>0.14763552631578947</v>
      </c>
      <c r="AI76" s="127">
        <f>$D51*(1+$C$4)^(SUM($F$67:AI$67))</f>
        <v>0.14763552631578947</v>
      </c>
      <c r="AJ76" s="127">
        <f>$D51*(1+$C$4)^(SUM($F$67:AJ$67))</f>
        <v>0.14763552631578947</v>
      </c>
      <c r="AK76" s="127">
        <f>$D51*(1+$C$4)^(SUM($F$67:AK$67))</f>
        <v>0.14763552631578947</v>
      </c>
      <c r="AL76" s="127">
        <f>$D51*(1+$C$4)^(SUM($F$67:AL$67))</f>
        <v>0.14763552631578947</v>
      </c>
      <c r="AM76" s="127">
        <f>$D51*(1+$C$4)^(SUM($F$67:AM$67))</f>
        <v>0.14763552631578947</v>
      </c>
      <c r="AN76" s="127">
        <f>$D51*(1+$C$4)^(SUM($F$67:AN$67))</f>
        <v>0.14763552631578947</v>
      </c>
      <c r="AO76" s="127">
        <f>$D51*(1+$C$4)^(SUM($F$67:AO$67))</f>
        <v>0.14763552631578947</v>
      </c>
      <c r="AP76" s="127">
        <f>$D51*(1+$C$4)^(SUM($F$67:AP$67))</f>
        <v>0.14763552631578947</v>
      </c>
      <c r="AQ76" s="127">
        <f>$D51*(1+$C$4)^(SUM($F$67:AQ$67))</f>
        <v>0.14763552631578947</v>
      </c>
      <c r="AR76" s="127">
        <f>$D51*(1+$C$4)^(SUM($F$67:AR$67))</f>
        <v>0.14763552631578947</v>
      </c>
      <c r="AS76" s="127">
        <f>$D51*(1+$C$4)^(SUM($F$67:AS$67))</f>
        <v>0.14763552631578947</v>
      </c>
      <c r="AT76" s="127">
        <f>$D51*(1+$C$4)^(SUM($F$67:AT$67))</f>
        <v>0.14763552631578947</v>
      </c>
      <c r="AU76" s="127">
        <f>$D51*(1+$C$4)^(SUM($F$67:AU$67))</f>
        <v>0.14763552631578947</v>
      </c>
      <c r="AV76" s="127">
        <f>$D51*(1+$C$4)^(SUM($F$67:AV$67))</f>
        <v>0.14763552631578947</v>
      </c>
      <c r="AW76" s="127">
        <f>$D51*(1+$C$4)^(SUM($F$67:AW$67))</f>
        <v>0.14763552631578947</v>
      </c>
      <c r="AX76" s="127">
        <f>$D51*(1+$C$4)^(SUM($F$67:AX$67))</f>
        <v>0.14763552631578947</v>
      </c>
      <c r="AY76" s="127">
        <f>$D51*(1+$C$4)^(SUM($F$67:AY$67))</f>
        <v>0.14763552631578947</v>
      </c>
      <c r="AZ76" s="127">
        <f>$D51*(1+$C$4)^(SUM($F$67:AZ$67))</f>
        <v>0.14763552631578947</v>
      </c>
      <c r="BA76" s="127">
        <f>$D51*(1+$C$4)^(SUM($F$67:BA$67))</f>
        <v>0.14763552631578947</v>
      </c>
      <c r="BB76" s="127">
        <f>$D51*(1+$C$4)^(SUM($F$67:BB$67))</f>
        <v>0.14763552631578947</v>
      </c>
      <c r="BC76" s="127">
        <f>$D51*(1+$C$4)^(SUM($F$67:BC$67))</f>
        <v>0.14763552631578947</v>
      </c>
      <c r="BD76" s="127">
        <f>$D51*(1+$C$4)^(SUM($F$67:BD$67))</f>
        <v>0.14763552631578947</v>
      </c>
      <c r="BE76" s="127">
        <f>$D51*(1+$C$4)^(SUM($F$67:BE$67))</f>
        <v>0.14763552631578947</v>
      </c>
      <c r="BF76" s="127">
        <f>$D51*(1+$C$4)^(SUM($F$67:BF$67))</f>
        <v>0.14763552631578947</v>
      </c>
      <c r="BG76" s="127">
        <f>$D51*(1+$C$4)^(SUM($F$67:BG$67))</f>
        <v>0.14763552631578947</v>
      </c>
      <c r="BH76" s="127">
        <f>$D51*(1+$C$4)^(SUM($F$67:BH$67))</f>
        <v>0.14763552631578947</v>
      </c>
      <c r="BI76" s="127">
        <f>$D51*(1+$C$4)^(SUM($F$67:BI$67))</f>
        <v>0.14763552631578947</v>
      </c>
      <c r="BJ76" s="127">
        <f>$D51*(1+$C$4)^(SUM($F$67:BJ$67))</f>
        <v>0.14763552631578947</v>
      </c>
      <c r="BK76" s="127">
        <f>$D51*(1+$C$4)^(SUM($F$67:BK$67))</f>
        <v>0.14763552631578947</v>
      </c>
      <c r="BL76" s="127">
        <f>$D51*(1+$C$4)^(SUM($F$67:BL$67))</f>
        <v>0.14763552631578947</v>
      </c>
      <c r="BM76" s="127">
        <f>$D51*(1+$C$4)^(SUM($F$67:BM$67))</f>
        <v>0.14763552631578947</v>
      </c>
      <c r="BN76" s="127">
        <f>$D51*(1+$C$4)^(SUM($F$67:BN$67))</f>
        <v>0.14763552631578947</v>
      </c>
      <c r="BO76" s="127">
        <f>$D51*(1+$C$4)^(SUM($F$67:BO$67))</f>
        <v>0.14763552631578947</v>
      </c>
      <c r="BP76" s="127">
        <f>$D51*(1+$C$4)^(SUM($F$67:BP$67))</f>
        <v>0.14763552631578947</v>
      </c>
      <c r="BQ76" s="127">
        <f>$D51*(1+$C$4)^(SUM($F$67:BQ$67))</f>
        <v>0.14763552631578947</v>
      </c>
      <c r="BR76" s="127">
        <f>$D51*(1+$C$4)^(SUM($F$67:BR$67))</f>
        <v>0.14763552631578947</v>
      </c>
      <c r="BS76" s="127">
        <f>$D51*(1+$C$4)^(SUM($F$67:BS$67))</f>
        <v>0.14763552631578947</v>
      </c>
      <c r="BT76" s="127">
        <f>$D51*(1+$C$4)^(SUM($F$67:BT$67))</f>
        <v>0.14763552631578947</v>
      </c>
      <c r="BU76" s="127">
        <f>$D51*(1+$C$4)^(SUM($F$67:BU$67))</f>
        <v>0.14763552631578947</v>
      </c>
      <c r="BV76" s="127">
        <f>$D51*(1+$C$4)^(SUM($F$67:BV$67))</f>
        <v>0.14763552631578947</v>
      </c>
      <c r="BW76" s="127">
        <f>$D51*(1+$C$4)^(SUM($F$67:BW$67))</f>
        <v>0.14763552631578947</v>
      </c>
      <c r="BX76" s="127">
        <f>$D51*(1+$C$4)^(SUM($F$67:BX$67))</f>
        <v>0.14763552631578947</v>
      </c>
      <c r="BY76" s="127">
        <f>$D51*(1+$C$4)^(SUM($F$67:BY$67))</f>
        <v>0.14763552631578947</v>
      </c>
      <c r="BZ76" s="127">
        <f>$D51*(1+$C$4)^(SUM($F$67:BZ$67))</f>
        <v>0.14763552631578947</v>
      </c>
      <c r="CA76" s="127">
        <f>$D51*(1+$C$4)^(SUM($F$67:CA$67))</f>
        <v>0.14763552631578947</v>
      </c>
      <c r="CB76" s="127">
        <f>$D51*(1+$C$4)^(SUM($F$67:CB$67))</f>
        <v>0.14763552631578947</v>
      </c>
      <c r="CC76" s="127">
        <f>$D51*(1+$C$4)^(SUM($F$67:CC$67))</f>
        <v>0.14763552631578947</v>
      </c>
      <c r="CD76" s="127">
        <f>$D51*(1+$C$4)^(SUM($F$67:CD$67))</f>
        <v>0.14763552631578947</v>
      </c>
      <c r="CE76" s="127">
        <f>$D51*(1+$C$4)^(SUM($F$67:CE$67))</f>
        <v>0.14763552631578947</v>
      </c>
      <c r="CF76" s="127">
        <f>$D51*(1+$C$4)^(SUM($F$67:CF$67))</f>
        <v>0.14763552631578947</v>
      </c>
      <c r="CG76" s="127">
        <f>$D51*(1+$C$4)^(SUM($F$67:CG$67))</f>
        <v>0.14763552631578947</v>
      </c>
      <c r="CH76" s="127">
        <f>$D51*(1+$C$4)^(SUM($F$67:CH$67))</f>
        <v>0.14763552631578947</v>
      </c>
      <c r="CI76" s="127">
        <f>$D51*(1+$C$4)^(SUM($F$67:CI$67))</f>
        <v>0.14763552631578947</v>
      </c>
      <c r="CJ76" s="127">
        <f>$D51*(1+$C$4)^(SUM($F$67:CJ$67))</f>
        <v>0.14763552631578947</v>
      </c>
      <c r="CK76" s="127">
        <f>$D51*(1+$C$4)^(SUM($F$67:CK$67))</f>
        <v>0.14763552631578947</v>
      </c>
      <c r="CL76" s="127">
        <f>$D51*(1+$C$4)^(SUM($F$67:CL$67))</f>
        <v>0.14763552631578947</v>
      </c>
      <c r="CM76" s="127">
        <f>$D51*(1+$C$4)^(SUM($F$67:CM$67))</f>
        <v>0.14763552631578947</v>
      </c>
      <c r="CN76" s="127">
        <f>$D51*(1+$C$4)^(SUM($F$67:CN$67))</f>
        <v>0.14763552631578947</v>
      </c>
      <c r="CO76" s="127">
        <f>$D51*(1+$C$4)^(SUM($F$67:CO$67))</f>
        <v>0.14763552631578947</v>
      </c>
      <c r="CP76" s="127">
        <f>$D51*(1+$C$4)^(SUM($F$67:CP$67))</f>
        <v>0.14763552631578947</v>
      </c>
      <c r="CQ76" s="127">
        <f>$D51*(1+$C$4)^(SUM($F$67:CQ$67))</f>
        <v>0.14763552631578947</v>
      </c>
      <c r="CR76" s="127">
        <f>$D51*(1+$C$4)^(SUM($F$67:CR$67))</f>
        <v>0.14763552631578947</v>
      </c>
      <c r="CS76" s="127">
        <f>$D51*(1+$C$4)^(SUM($F$67:CS$67))</f>
        <v>0.14763552631578947</v>
      </c>
      <c r="CT76" s="127">
        <f>$D51*(1+$C$4)^(SUM($F$67:CT$67))</f>
        <v>0.14763552631578947</v>
      </c>
      <c r="CU76" s="127">
        <f>$D51*(1+$C$4)^(SUM($F$67:CU$67))</f>
        <v>0.14763552631578947</v>
      </c>
      <c r="CV76" s="127">
        <f>$D51*(1+$C$4)^(SUM($F$67:CV$67))</f>
        <v>0.14763552631578947</v>
      </c>
      <c r="CW76" s="127">
        <f>$D51*(1+$C$4)^(SUM($F$67:CW$67))</f>
        <v>0.14763552631578947</v>
      </c>
      <c r="CX76" s="127">
        <f>$D51*(1+$C$4)^(SUM($F$67:CX$67))</f>
        <v>0.14763552631578947</v>
      </c>
      <c r="CY76" s="127">
        <f>$D51*(1+$C$4)^(SUM($F$67:CY$67))</f>
        <v>0.14763552631578947</v>
      </c>
      <c r="CZ76" s="127">
        <f>$D51*(1+$C$4)^(SUM($F$67:CZ$67))</f>
        <v>0.14763552631578947</v>
      </c>
      <c r="DA76" s="127">
        <f>$D51*(1+$C$4)^(SUM($F$67:DA$67))</f>
        <v>0.14763552631578947</v>
      </c>
      <c r="DB76" s="127">
        <f>$D51*(1+$C$4)^(SUM($F$67:DB$67))</f>
        <v>0.14763552631578947</v>
      </c>
      <c r="DC76" s="127">
        <f>$D51*(1+$C$4)^(SUM($F$67:DC$67))</f>
        <v>0.14763552631578947</v>
      </c>
      <c r="DD76" s="127">
        <f>$D51*(1+$C$4)^(SUM($F$67:DD$67))</f>
        <v>0.14763552631578947</v>
      </c>
      <c r="DE76" s="127">
        <f>$D51*(1+$C$4)^(SUM($F$67:DE$67))</f>
        <v>0.14763552631578947</v>
      </c>
      <c r="DF76" s="127">
        <f>$D51*(1+$C$4)^(SUM($F$67:DF$67))</f>
        <v>0.14763552631578947</v>
      </c>
      <c r="DG76" s="127">
        <f>$D51*(1+$C$4)^(SUM($F$67:DG$67))</f>
        <v>0.14763552631578947</v>
      </c>
      <c r="DH76" s="127">
        <f>$D51*(1+$C$4)^(SUM($F$67:DH$67))</f>
        <v>0.14763552631578947</v>
      </c>
      <c r="DI76" s="127">
        <f>$D51*(1+$C$4)^(SUM($F$67:DI$67))</f>
        <v>0.14763552631578947</v>
      </c>
      <c r="DJ76" s="127">
        <f>$D51*(1+$C$4)^(SUM($F$67:DJ$67))</f>
        <v>0.14763552631578947</v>
      </c>
      <c r="DK76" s="127">
        <f>$D51*(1+$C$4)^(SUM($F$67:DK$67))</f>
        <v>0.14763552631578947</v>
      </c>
      <c r="DL76" s="127">
        <f>$D51*(1+$C$4)^(SUM($F$67:DL$67))</f>
        <v>0.14763552631578947</v>
      </c>
      <c r="DM76" s="127">
        <f>$D51*(1+$C$4)^(SUM($F$67:DM$67))</f>
        <v>0.14763552631578947</v>
      </c>
      <c r="DN76" s="127">
        <f>$D51*(1+$C$4)^(SUM($F$67:DN$67))</f>
        <v>0.14763552631578947</v>
      </c>
      <c r="DO76" s="127">
        <f>$D51*(1+$C$4)^(SUM($F$67:DO$67))</f>
        <v>0.14763552631578947</v>
      </c>
      <c r="DP76" s="127">
        <f>$D51*(1+$C$4)^(SUM($F$67:DP$67))</f>
        <v>0.14763552631578947</v>
      </c>
      <c r="DQ76" s="127">
        <f>$D51*(1+$C$4)^(SUM($F$67:DQ$67))</f>
        <v>0.14763552631578947</v>
      </c>
      <c r="DR76" s="127">
        <f>$D51*(1+$C$4)^(SUM($F$67:DR$67))</f>
        <v>0.14763552631578947</v>
      </c>
      <c r="DS76" s="127">
        <f>$D51*(1+$C$4)^(SUM($F$67:DS$67))</f>
        <v>0.14763552631578947</v>
      </c>
      <c r="DT76" s="127">
        <f>$D51*(1+$C$4)^(SUM($F$67:DT$67))</f>
        <v>0.14763552631578947</v>
      </c>
      <c r="DU76" s="127">
        <f>$D51*(1+$C$4)^(SUM($F$67:DU$67))</f>
        <v>0.14763552631578947</v>
      </c>
      <c r="DV76" s="127">
        <f>$D51*(1+$C$4)^(SUM($F$67:DV$67))</f>
        <v>0.14763552631578947</v>
      </c>
      <c r="DW76" s="127">
        <f>$D51*(1+$C$4)^(SUM($F$67:DW$67))</f>
        <v>0.14763552631578947</v>
      </c>
      <c r="DX76" s="127">
        <f>$D51*(1+$C$4)^(SUM($F$67:DX$67))</f>
        <v>0.14763552631578947</v>
      </c>
      <c r="DY76" s="127">
        <f>$D51*(1+$C$4)^(SUM($F$67:DY$67))</f>
        <v>0.14763552631578947</v>
      </c>
      <c r="DZ76" s="127">
        <f>$D51*(1+$C$4)^(SUM($F$67:DZ$67))</f>
        <v>0.14763552631578947</v>
      </c>
      <c r="EA76" s="127">
        <f>$D51*(1+$C$4)^(SUM($F$67:EA$67))</f>
        <v>0.14763552631578947</v>
      </c>
      <c r="EB76" s="127">
        <f>$D51*(1+$C$4)^(SUM($F$67:EB$67))</f>
        <v>0.14763552631578947</v>
      </c>
      <c r="EC76" s="127">
        <f>$D51*(1+$C$4)^(SUM($F$67:EC$67))</f>
        <v>0.14763552631578947</v>
      </c>
      <c r="ED76" s="127">
        <f>$D51*(1+$C$4)^(SUM($F$67:ED$67))</f>
        <v>0.14763552631578947</v>
      </c>
      <c r="EE76" s="127">
        <f>$D51*(1+$C$4)^(SUM($F$67:EE$67))</f>
        <v>0.14763552631578947</v>
      </c>
      <c r="EF76" s="127">
        <f>$D51*(1+$C$4)^(SUM($F$67:EF$67))</f>
        <v>0.14763552631578947</v>
      </c>
      <c r="EG76" s="127">
        <f>$D51*(1+$C$4)^(SUM($F$67:EG$67))</f>
        <v>0.14763552631578947</v>
      </c>
      <c r="EH76" s="127">
        <f>$D51*(1+$C$4)^(SUM($F$67:EH$67))</f>
        <v>0.14763552631578947</v>
      </c>
      <c r="EI76" s="127">
        <f>$D51*(1+$C$4)^(SUM($F$67:EI$67))</f>
        <v>0.14763552631578947</v>
      </c>
      <c r="EJ76" s="127">
        <f>$D51*(1+$C$4)^(SUM($F$67:EJ$67))</f>
        <v>0.14763552631578947</v>
      </c>
      <c r="EK76" s="127">
        <f>$D51*(1+$C$4)^(SUM($F$67:EK$67))</f>
        <v>0.14763552631578947</v>
      </c>
      <c r="EL76" s="127">
        <f>$D51*(1+$C$4)^(SUM($F$67:EL$67))</f>
        <v>0.14763552631578947</v>
      </c>
      <c r="EM76" s="127">
        <f>$D51*(1+$C$4)^(SUM($F$67:EM$67))</f>
        <v>0.14763552631578947</v>
      </c>
      <c r="EN76" s="127">
        <f>$D51*(1+$C$4)^(SUM($F$67:EN$67))</f>
        <v>0.14763552631578947</v>
      </c>
      <c r="EO76" s="127">
        <f>$D51*(1+$C$4)^(SUM($F$67:EO$67))</f>
        <v>0.14763552631578947</v>
      </c>
      <c r="EP76" s="127">
        <f>$D51*(1+$C$4)^(SUM($F$67:EP$67))</f>
        <v>0.14763552631578947</v>
      </c>
      <c r="EQ76" s="127">
        <f>$D51*(1+$C$4)^(SUM($F$67:EQ$67))</f>
        <v>0.14763552631578947</v>
      </c>
      <c r="ER76" s="127">
        <f>$D51*(1+$C$4)^(SUM($F$67:ER$67))</f>
        <v>0.14763552631578947</v>
      </c>
      <c r="ES76" s="127">
        <f>$D51*(1+$C$4)^(SUM($F$67:ES$67))</f>
        <v>0.14763552631578947</v>
      </c>
      <c r="ET76" s="127">
        <f>$D51*(1+$C$4)^(SUM($F$67:ET$67))</f>
        <v>0.14763552631578947</v>
      </c>
      <c r="EU76" s="127">
        <f>$D51*(1+$C$4)^(SUM($F$67:EU$67))</f>
        <v>0.14763552631578947</v>
      </c>
      <c r="EV76" s="127">
        <f>$D51*(1+$C$4)^(SUM($F$67:EV$67))</f>
        <v>0.14763552631578947</v>
      </c>
      <c r="EW76" s="127">
        <f>$D51*(1+$C$4)^(SUM($F$67:EW$67))</f>
        <v>0.14763552631578947</v>
      </c>
      <c r="EX76" s="127">
        <f>$D51*(1+$C$4)^(SUM($F$67:EX$67))</f>
        <v>0.14763552631578947</v>
      </c>
      <c r="EY76" s="127">
        <f>$D51*(1+$C$4)^(SUM($F$67:EY$67))</f>
        <v>0.14763552631578947</v>
      </c>
      <c r="EZ76" s="127">
        <f>$D51*(1+$C$4)^(SUM($F$67:EZ$67))</f>
        <v>0.14763552631578947</v>
      </c>
      <c r="FA76" s="127">
        <f>$D51*(1+$C$4)^(SUM($F$67:FA$67))</f>
        <v>0.14763552631578947</v>
      </c>
      <c r="FB76" s="127">
        <f>$D51*(1+$C$4)^(SUM($F$67:FB$67))</f>
        <v>0.14763552631578947</v>
      </c>
      <c r="FC76" s="127">
        <f>$D51*(1+$C$4)^(SUM($F$67:FC$67))</f>
        <v>0.14763552631578947</v>
      </c>
      <c r="FD76" s="127">
        <f>$D51*(1+$C$4)^(SUM($F$67:FD$67))</f>
        <v>0.14763552631578947</v>
      </c>
      <c r="FE76" s="127">
        <f>$D51*(1+$C$4)^(SUM($F$67:FE$67))</f>
        <v>0.14763552631578947</v>
      </c>
      <c r="FF76" s="127">
        <f>$D51*(1+$C$4)^(SUM($F$67:FF$67))</f>
        <v>0.14763552631578947</v>
      </c>
      <c r="FG76" s="127">
        <f>$D51*(1+$C$4)^(SUM($F$67:FG$67))</f>
        <v>0.14763552631578947</v>
      </c>
      <c r="FH76" s="127">
        <f>$D51*(1+$C$4)^(SUM($F$67:FH$67))</f>
        <v>0.14763552631578947</v>
      </c>
      <c r="FI76" s="127">
        <f>$D51*(1+$C$4)^(SUM($F$67:FI$67))</f>
        <v>0.14763552631578947</v>
      </c>
      <c r="FJ76" s="127">
        <f>$D51*(1+$C$4)^(SUM($F$67:FJ$67))</f>
        <v>0.14763552631578947</v>
      </c>
      <c r="FK76" s="127">
        <f>$D51*(1+$C$4)^(SUM($F$67:FK$67))</f>
        <v>0.14763552631578947</v>
      </c>
      <c r="FL76" s="127">
        <f>$D51*(1+$C$4)^(SUM($F$67:FL$67))</f>
        <v>0.14763552631578947</v>
      </c>
      <c r="FM76" s="127">
        <f>$D51*(1+$C$4)^(SUM($F$67:FM$67))</f>
        <v>0.14763552631578947</v>
      </c>
      <c r="FN76" s="127">
        <f>$D51*(1+$C$4)^(SUM($F$67:FN$67))</f>
        <v>0.14763552631578947</v>
      </c>
      <c r="FO76" s="127">
        <f>$D51*(1+$C$4)^(SUM($F$67:FO$67))</f>
        <v>0.14763552631578947</v>
      </c>
      <c r="FP76" s="127">
        <f>$D51*(1+$C$4)^(SUM($F$67:FP$67))</f>
        <v>0.14763552631578947</v>
      </c>
      <c r="FQ76" s="127">
        <f>$D51*(1+$C$4)^(SUM($F$67:FQ$67))</f>
        <v>0.14763552631578947</v>
      </c>
      <c r="FR76" s="127">
        <f>$D51*(1+$C$4)^(SUM($F$67:FR$67))</f>
        <v>0.14763552631578947</v>
      </c>
      <c r="FS76" s="127">
        <f>$D51*(1+$C$4)^(SUM($F$67:FS$67))</f>
        <v>0.14763552631578947</v>
      </c>
      <c r="FT76" s="127">
        <f>$D51*(1+$C$4)^(SUM($F$67:FT$67))</f>
        <v>0.14763552631578947</v>
      </c>
      <c r="FU76" s="127">
        <f>$D51*(1+$C$4)^(SUM($F$67:FU$67))</f>
        <v>0.14763552631578947</v>
      </c>
      <c r="FV76" s="127">
        <f>$D51*(1+$C$4)^(SUM($F$67:FV$67))</f>
        <v>0.14763552631578947</v>
      </c>
      <c r="FW76" s="127">
        <f>$D51*(1+$C$4)^(SUM($F$67:FW$67))</f>
        <v>0.14763552631578947</v>
      </c>
      <c r="FX76" s="127">
        <f>$D51*(1+$C$4)^(SUM($F$67:FX$67))</f>
        <v>0.14763552631578947</v>
      </c>
      <c r="FY76" s="127">
        <f>$D51*(1+$C$4)^(SUM($F$67:FY$67))</f>
        <v>0.14763552631578947</v>
      </c>
      <c r="FZ76" s="127">
        <f>$D51*(1+$C$4)^(SUM($F$67:FZ$67))</f>
        <v>0.14763552631578947</v>
      </c>
      <c r="GA76" s="127">
        <f>$D51*(1+$C$4)^(SUM($F$67:GA$67))</f>
        <v>0.14763552631578947</v>
      </c>
      <c r="GB76" s="127">
        <f>$D51*(1+$C$4)^(SUM($F$67:GB$67))</f>
        <v>0.14763552631578947</v>
      </c>
      <c r="GC76" s="127">
        <f>$D51*(1+$C$4)^(SUM($F$67:GC$67))</f>
        <v>0.14763552631578947</v>
      </c>
      <c r="GD76" s="127">
        <f>$D51*(1+$C$4)^(SUM($F$67:GD$67))</f>
        <v>0.14763552631578947</v>
      </c>
      <c r="GE76" s="127">
        <f>$D51*(1+$C$4)^(SUM($F$67:GE$67))</f>
        <v>0.14763552631578947</v>
      </c>
      <c r="GF76" s="127">
        <f>$D51*(1+$C$4)^(SUM($F$67:GF$67))</f>
        <v>0.14763552631578947</v>
      </c>
      <c r="GG76" s="127">
        <f>$D51*(1+$C$4)^(SUM($F$67:GG$67))</f>
        <v>0.14763552631578947</v>
      </c>
      <c r="GH76" s="127">
        <f>$D51*(1+$C$4)^(SUM($F$67:GH$67))</f>
        <v>0.14763552631578947</v>
      </c>
      <c r="GI76" s="127">
        <f>$D51*(1+$C$4)^(SUM($F$67:GI$67))</f>
        <v>0.14763552631578947</v>
      </c>
      <c r="GJ76" s="127">
        <f>$D51*(1+$C$4)^(SUM($F$67:GJ$67))</f>
        <v>0.14763552631578947</v>
      </c>
      <c r="GK76" s="127">
        <f>$D51*(1+$C$4)^(SUM($F$67:GK$67))</f>
        <v>0.14763552631578947</v>
      </c>
      <c r="GL76" s="127">
        <f>$D51*(1+$C$4)^(SUM($F$67:GL$67))</f>
        <v>0.14763552631578947</v>
      </c>
      <c r="GM76" s="127">
        <f>$D51*(1+$C$4)^(SUM($F$67:GM$67))</f>
        <v>0.14763552631578947</v>
      </c>
      <c r="GN76" s="127">
        <f>$D51*(1+$C$4)^(SUM($F$67:GN$67))</f>
        <v>0.14763552631578947</v>
      </c>
      <c r="GO76" s="127">
        <f>$D51*(1+$C$4)^(SUM($F$67:GO$67))</f>
        <v>0.14763552631578947</v>
      </c>
      <c r="GP76" s="127">
        <f>$D51*(1+$C$4)^(SUM($F$67:GP$67))</f>
        <v>0.14763552631578947</v>
      </c>
      <c r="GQ76" s="127">
        <f>$D51*(1+$C$4)^(SUM($F$67:GQ$67))</f>
        <v>0.14763552631578947</v>
      </c>
      <c r="GR76" s="127">
        <f>$D51*(1+$C$4)^(SUM($F$67:GR$67))</f>
        <v>0.14763552631578947</v>
      </c>
      <c r="GS76" s="127">
        <f>$D51*(1+$C$4)^(SUM($F$67:GS$67))</f>
        <v>0.14763552631578947</v>
      </c>
      <c r="GT76" s="127">
        <f>$D51*(1+$C$4)^(SUM($F$67:GT$67))</f>
        <v>0.14763552631578947</v>
      </c>
      <c r="GU76" s="127">
        <f>$D51*(1+$C$4)^(SUM($F$67:GU$67))</f>
        <v>0.14763552631578947</v>
      </c>
      <c r="GV76" s="127">
        <f>$D51*(1+$C$4)^(SUM($F$67:GV$67))</f>
        <v>0.14763552631578947</v>
      </c>
      <c r="GW76" s="127">
        <f>$D51*(1+$C$4)^(SUM($F$67:GW$67))</f>
        <v>0.14763552631578947</v>
      </c>
      <c r="GX76" s="127">
        <f>$D51*(1+$C$4)^(SUM($F$67:GX$67))</f>
        <v>0.14763552631578947</v>
      </c>
      <c r="GY76" s="127">
        <f>$D51*(1+$C$4)^(SUM($F$67:GY$67))</f>
        <v>0.14763552631578947</v>
      </c>
      <c r="GZ76" s="127">
        <f>$D51*(1+$C$4)^(SUM($F$67:GZ$67))</f>
        <v>0.14763552631578947</v>
      </c>
      <c r="HA76" s="127">
        <f>$D51*(1+$C$4)^(SUM($F$67:HA$67))</f>
        <v>0.14763552631578947</v>
      </c>
      <c r="HB76" s="127">
        <f>$D51*(1+$C$4)^(SUM($F$67:HB$67))</f>
        <v>0.14763552631578947</v>
      </c>
      <c r="HC76" s="127">
        <f>$D51*(1+$C$4)^(SUM($F$67:HC$67))</f>
        <v>0.14763552631578947</v>
      </c>
      <c r="HD76" s="127">
        <f>$D51*(1+$C$4)^(SUM($F$67:HD$67))</f>
        <v>0.14763552631578947</v>
      </c>
      <c r="HE76" s="127">
        <f>$D51*(1+$C$4)^(SUM($F$67:HE$67))</f>
        <v>0.14763552631578947</v>
      </c>
      <c r="HF76" s="127">
        <f>$D51*(1+$C$4)^(SUM($F$67:HF$67))</f>
        <v>0.14763552631578947</v>
      </c>
      <c r="HG76" s="127">
        <f>$D51*(1+$C$4)^(SUM($F$67:HG$67))</f>
        <v>0.14763552631578947</v>
      </c>
      <c r="HH76" s="127">
        <f>$D51*(1+$C$4)^(SUM($F$67:HH$67))</f>
        <v>0.14763552631578947</v>
      </c>
      <c r="HI76" s="127">
        <f>$D51*(1+$C$4)^(SUM($F$67:HI$67))</f>
        <v>0.14763552631578947</v>
      </c>
      <c r="HJ76" s="127">
        <f>$D51*(1+$C$4)^(SUM($F$67:HJ$67))</f>
        <v>0.14763552631578947</v>
      </c>
      <c r="HK76" s="127">
        <f>$D51*(1+$C$4)^(SUM($F$67:HK$67))</f>
        <v>0.14763552631578947</v>
      </c>
      <c r="HL76" s="127">
        <f>$D51*(1+$C$4)^(SUM($F$67:HL$67))</f>
        <v>0.14763552631578947</v>
      </c>
      <c r="HM76" s="127">
        <f>$D51*(1+$C$4)^(SUM($F$67:HM$67))</f>
        <v>0.14763552631578947</v>
      </c>
      <c r="HN76" s="127">
        <f>$D51*(1+$C$4)^(SUM($F$67:HN$67))</f>
        <v>0.14763552631578947</v>
      </c>
      <c r="HO76" s="127">
        <f>$D51*(1+$C$4)^(SUM($F$67:HO$67))</f>
        <v>0.14763552631578947</v>
      </c>
      <c r="HP76" s="127">
        <f>$D51*(1+$C$4)^(SUM($F$67:HP$67))</f>
        <v>0.14763552631578947</v>
      </c>
      <c r="HQ76" s="127">
        <f>$D51*(1+$C$4)^(SUM($F$67:HQ$67))</f>
        <v>0.14763552631578947</v>
      </c>
      <c r="HR76" s="127">
        <f>$D51*(1+$C$4)^(SUM($F$67:HR$67))</f>
        <v>0.14763552631578947</v>
      </c>
      <c r="HS76" s="127">
        <f>$D51*(1+$C$4)^(SUM($F$67:HS$67))</f>
        <v>0.14763552631578947</v>
      </c>
      <c r="HT76" s="127">
        <f>$D51*(1+$C$4)^(SUM($F$67:HT$67))</f>
        <v>0.14763552631578947</v>
      </c>
      <c r="HU76" s="127">
        <f>$D51*(1+$C$4)^(SUM($F$67:HU$67))</f>
        <v>0.14763552631578947</v>
      </c>
      <c r="HV76" s="127">
        <f>$D51*(1+$C$4)^(SUM($F$67:HV$67))</f>
        <v>0.14763552631578947</v>
      </c>
      <c r="HW76" s="127">
        <f>$D51*(1+$C$4)^(SUM($F$67:HW$67))</f>
        <v>0.14763552631578947</v>
      </c>
      <c r="HX76" s="127">
        <f>$D51*(1+$C$4)^(SUM($F$67:HX$67))</f>
        <v>0.14763552631578947</v>
      </c>
      <c r="HY76" s="127">
        <f>$D51*(1+$C$4)^(SUM($F$67:HY$67))</f>
        <v>0.14763552631578947</v>
      </c>
      <c r="HZ76" s="127">
        <f>$D51*(1+$C$4)^(SUM($F$67:HZ$67))</f>
        <v>0.14763552631578947</v>
      </c>
      <c r="IA76" s="127">
        <f>$D51*(1+$C$4)^(SUM($F$67:IA$67))</f>
        <v>0.14763552631578947</v>
      </c>
      <c r="IB76" s="127">
        <f>$D51*(1+$C$4)^(SUM($F$67:IB$67))</f>
        <v>0.14763552631578947</v>
      </c>
      <c r="IC76" s="127">
        <f>$D51*(1+$C$4)^(SUM($F$67:IC$67))</f>
        <v>0.14763552631578947</v>
      </c>
      <c r="ID76" s="127">
        <f>$D51*(1+$C$4)^(SUM($F$67:ID$67))</f>
        <v>0.14763552631578947</v>
      </c>
      <c r="IE76" s="127">
        <f>$D51*(1+$C$4)^(SUM($F$67:IE$67))</f>
        <v>0.14763552631578947</v>
      </c>
      <c r="IF76" s="127">
        <f>$D51*(1+$C$4)^(SUM($F$67:IF$67))</f>
        <v>0.14763552631578947</v>
      </c>
      <c r="IG76" s="127">
        <f>$D51*(1+$C$4)^(SUM($F$67:IG$67))</f>
        <v>0.14763552631578947</v>
      </c>
      <c r="IH76" s="127">
        <f>$D51*(1+$C$4)^(SUM($F$67:IH$67))</f>
        <v>0.14763552631578947</v>
      </c>
      <c r="II76" s="127">
        <f>$D51*(1+$C$4)^(SUM($F$67:II$67))</f>
        <v>0.14763552631578947</v>
      </c>
      <c r="IJ76" s="127">
        <f>$D51*(1+$C$4)^(SUM($F$67:IJ$67))</f>
        <v>0.14763552631578947</v>
      </c>
      <c r="IK76" s="127">
        <f>$D51*(1+$C$4)^(SUM($F$67:IK$67))</f>
        <v>0.14763552631578947</v>
      </c>
      <c r="IL76" s="127">
        <f>$D51*(1+$C$4)^(SUM($F$67:IL$67))</f>
        <v>0.14763552631578947</v>
      </c>
      <c r="IM76" s="127">
        <f>$D51*(1+$C$4)^(SUM($F$67:IM$67))</f>
        <v>0.14763552631578947</v>
      </c>
      <c r="IN76" s="127">
        <f>$D51*(1+$C$4)^(SUM($F$67:IN$67))</f>
        <v>0.14763552631578947</v>
      </c>
      <c r="IO76" s="127">
        <f>$D51*(1+$C$4)^(SUM($F$67:IO$67))</f>
        <v>0.14763552631578947</v>
      </c>
      <c r="IP76" s="127">
        <f>$D51*(1+$C$4)^(SUM($F$67:IP$67))</f>
        <v>0.14763552631578947</v>
      </c>
      <c r="IQ76" s="127">
        <f>$D51*(1+$C$4)^(SUM($F$67:IQ$67))</f>
        <v>0.14763552631578947</v>
      </c>
      <c r="IR76" s="127">
        <f>$D51*(1+$C$4)^(SUM($F$67:IR$67))</f>
        <v>0.14763552631578947</v>
      </c>
      <c r="IS76" s="127">
        <f>$D51*(1+$C$4)^(SUM($F$67:IS$67))</f>
        <v>0.14763552631578947</v>
      </c>
      <c r="IT76" s="127">
        <f>$D51*(1+$C$4)^(SUM($F$67:IT$67))</f>
        <v>0.14763552631578947</v>
      </c>
      <c r="IU76" s="127">
        <f>$D51*(1+$C$4)^(SUM($F$67:IU$67))</f>
        <v>0.14763552631578947</v>
      </c>
      <c r="IV76" s="127">
        <f>$D51*(1+$C$4)^(SUM($F$67:IV$67))</f>
        <v>0.14763552631578947</v>
      </c>
      <c r="IW76" s="127">
        <f>$D51*(1+$C$4)^(SUM($F$67:IW$67))</f>
        <v>0.14763552631578947</v>
      </c>
      <c r="IX76" s="127">
        <f>$D51*(1+$C$4)^(SUM($F$67:IX$67))</f>
        <v>0.14763552631578947</v>
      </c>
      <c r="IY76" s="127">
        <f>$D51*(1+$C$4)^(SUM($F$67:IY$67))</f>
        <v>0.14763552631578947</v>
      </c>
      <c r="IZ76" s="127">
        <f>$D51*(1+$C$4)^(SUM($F$67:IZ$67))</f>
        <v>0.14763552631578947</v>
      </c>
      <c r="JA76" s="127">
        <f>$D51*(1+$C$4)^(SUM($F$67:JA$67))</f>
        <v>0.14763552631578947</v>
      </c>
      <c r="JB76" s="127">
        <f>$D51*(1+$C$4)^(SUM($F$67:JB$67))</f>
        <v>0.14763552631578947</v>
      </c>
      <c r="JC76" s="127">
        <f>$D51*(1+$C$4)^(SUM($F$67:JC$67))</f>
        <v>0.14763552631578947</v>
      </c>
      <c r="JD76" s="127">
        <f>$D51*(1+$C$4)^(SUM($F$67:JD$67))</f>
        <v>0.14763552631578947</v>
      </c>
      <c r="JE76" s="127">
        <f>$D51*(1+$C$4)^(SUM($F$67:JE$67))</f>
        <v>0.14763552631578947</v>
      </c>
      <c r="JF76" s="127">
        <f>$D51*(1+$C$4)^(SUM($F$67:JF$67))</f>
        <v>0.14763552631578947</v>
      </c>
      <c r="JG76" s="127">
        <f>$D51*(1+$C$4)^(SUM($F$67:JG$67))</f>
        <v>0.14763552631578947</v>
      </c>
      <c r="JH76" s="127">
        <f>$D51*(1+$C$4)^(SUM($F$67:JH$67))</f>
        <v>0.14763552631578947</v>
      </c>
      <c r="JI76" s="127">
        <f>$D51*(1+$C$4)^(SUM($F$67:JI$67))</f>
        <v>0.14763552631578947</v>
      </c>
      <c r="JJ76" s="127">
        <f>$D51*(1+$C$4)^(SUM($F$67:JJ$67))</f>
        <v>0.14763552631578947</v>
      </c>
      <c r="JK76" s="127">
        <f>$D51*(1+$C$4)^(SUM($F$67:JK$67))</f>
        <v>0.14763552631578947</v>
      </c>
      <c r="JL76" s="127">
        <f>$D51*(1+$C$4)^(SUM($F$67:JL$67))</f>
        <v>0.14763552631578947</v>
      </c>
      <c r="JM76" s="127">
        <f>$D51*(1+$C$4)^(SUM($F$67:JM$67))</f>
        <v>0.14763552631578947</v>
      </c>
      <c r="JN76" s="127">
        <f>$D51*(1+$C$4)^(SUM($F$67:JN$67))</f>
        <v>0.14763552631578947</v>
      </c>
      <c r="JO76" s="127">
        <f>$D51*(1+$C$4)^(SUM($F$67:JO$67))</f>
        <v>0.14763552631578947</v>
      </c>
      <c r="JP76" s="127">
        <f>$D51*(1+$C$4)^(SUM($F$67:JP$67))</f>
        <v>0.14763552631578947</v>
      </c>
      <c r="JQ76" s="127">
        <f>$D51*(1+$C$4)^(SUM($F$67:JQ$67))</f>
        <v>0.14763552631578947</v>
      </c>
      <c r="JR76" s="127">
        <f>$D51*(1+$C$4)^(SUM($F$67:JR$67))</f>
        <v>0.14763552631578947</v>
      </c>
      <c r="JS76" s="127">
        <f>$D51*(1+$C$4)^(SUM($F$67:JS$67))</f>
        <v>0.14763552631578947</v>
      </c>
      <c r="JT76" s="127">
        <f>$D51*(1+$C$4)^(SUM($F$67:JT$67))</f>
        <v>0.14763552631578947</v>
      </c>
      <c r="JU76" s="127">
        <f>$D51*(1+$C$4)^(SUM($F$67:JU$67))</f>
        <v>0.14763552631578947</v>
      </c>
      <c r="JV76" s="127">
        <f>$D51*(1+$C$4)^(SUM($F$67:JV$67))</f>
        <v>0.14763552631578947</v>
      </c>
      <c r="JW76" s="127">
        <f>$D51*(1+$C$4)^(SUM($F$67:JW$67))</f>
        <v>0.14763552631578947</v>
      </c>
      <c r="JX76" s="127">
        <f>$D51*(1+$C$4)^(SUM($F$67:JX$67))</f>
        <v>0.14763552631578947</v>
      </c>
      <c r="JY76" s="127">
        <f>$D51*(1+$C$4)^(SUM($F$67:JY$67))</f>
        <v>0.14763552631578947</v>
      </c>
      <c r="JZ76" s="127">
        <f>$D51*(1+$C$4)^(SUM($F$67:JZ$67))</f>
        <v>0.14763552631578947</v>
      </c>
      <c r="KA76" s="127">
        <f>$D51*(1+$C$4)^(SUM($F$67:KA$67))</f>
        <v>0.14763552631578947</v>
      </c>
      <c r="KB76" s="127">
        <f>$D51*(1+$C$4)^(SUM($F$67:KB$67))</f>
        <v>0.14763552631578947</v>
      </c>
      <c r="KC76" s="127">
        <f>$D51*(1+$C$4)^(SUM($F$67:KC$67))</f>
        <v>0.14763552631578947</v>
      </c>
      <c r="KD76" s="127">
        <f>$D51*(1+$C$4)^(SUM($F$67:KD$67))</f>
        <v>0.14763552631578947</v>
      </c>
      <c r="KE76" s="127">
        <f>$D51*(1+$C$4)^(SUM($F$67:KE$67))</f>
        <v>0.14763552631578947</v>
      </c>
      <c r="KF76" s="127">
        <f>$D51*(1+$C$4)^(SUM($F$67:KF$67))</f>
        <v>0.14763552631578947</v>
      </c>
      <c r="KG76" s="127">
        <f>$D51*(1+$C$4)^(SUM($F$67:KG$67))</f>
        <v>0.14763552631578947</v>
      </c>
      <c r="KH76" s="127">
        <f>$D51*(1+$C$4)^(SUM($F$67:KH$67))</f>
        <v>0.14763552631578947</v>
      </c>
      <c r="KI76" s="127">
        <f>$D51*(1+$C$4)^(SUM($F$67:KI$67))</f>
        <v>0.14763552631578947</v>
      </c>
      <c r="KJ76" s="127">
        <f>$D51*(1+$C$4)^(SUM($F$67:KJ$67))</f>
        <v>0.14763552631578947</v>
      </c>
      <c r="KK76" s="127">
        <f>$D51*(1+$C$4)^(SUM($F$67:KK$67))</f>
        <v>0.14763552631578947</v>
      </c>
      <c r="KL76" s="127">
        <f>$D51*(1+$C$4)^(SUM($F$67:KL$67))</f>
        <v>0.14763552631578947</v>
      </c>
      <c r="KM76" s="127">
        <f>$D51*(1+$C$4)^(SUM($F$67:KM$67))</f>
        <v>0.14763552631578947</v>
      </c>
      <c r="KN76" s="127">
        <f>$D51*(1+$C$4)^(SUM($F$67:KN$67))</f>
        <v>0.14763552631578947</v>
      </c>
      <c r="KO76" s="127">
        <f>$D51*(1+$C$4)^(SUM($F$67:KO$67))</f>
        <v>0.14763552631578947</v>
      </c>
      <c r="KP76" s="127">
        <f>$D51*(1+$C$4)^(SUM($F$67:KP$67))</f>
        <v>0.14763552631578947</v>
      </c>
      <c r="KQ76" s="127">
        <f>$D51*(1+$C$4)^(SUM($F$67:KQ$67))</f>
        <v>0.14763552631578947</v>
      </c>
      <c r="KR76" s="127">
        <f>$D51*(1+$C$4)^(SUM($F$67:KR$67))</f>
        <v>0.14763552631578947</v>
      </c>
      <c r="KS76" s="127">
        <f>$D51*(1+$C$4)^(SUM($F$67:KS$67))</f>
        <v>0.14763552631578947</v>
      </c>
      <c r="KT76" s="127">
        <f>$D51*(1+$C$4)^(SUM($F$67:KT$67))</f>
        <v>0.14763552631578947</v>
      </c>
      <c r="KU76" s="127">
        <f>$D51*(1+$C$4)^(SUM($F$67:KU$67))</f>
        <v>0.14763552631578947</v>
      </c>
      <c r="KV76" s="127">
        <f>$D51*(1+$C$4)^(SUM($F$67:KV$67))</f>
        <v>0.14763552631578947</v>
      </c>
      <c r="KW76" s="127">
        <f>$D51*(1+$C$4)^(SUM($F$67:KW$67))</f>
        <v>0.14763552631578947</v>
      </c>
      <c r="KX76" s="127">
        <f>$D51*(1+$C$4)^(SUM($F$67:KX$67))</f>
        <v>0.14763552631578947</v>
      </c>
      <c r="KY76" s="127">
        <f>$D51*(1+$C$4)^(SUM($F$67:KY$67))</f>
        <v>0.14763552631578947</v>
      </c>
      <c r="KZ76" s="127">
        <f>$D51*(1+$C$4)^(SUM($F$67:KZ$67))</f>
        <v>0.14763552631578947</v>
      </c>
      <c r="LA76" s="127">
        <f>$D51*(1+$C$4)^(SUM($F$67:LA$67))</f>
        <v>0.14763552631578947</v>
      </c>
      <c r="LB76" s="127">
        <f>$D51*(1+$C$4)^(SUM($F$67:LB$67))</f>
        <v>0.14763552631578947</v>
      </c>
      <c r="LC76" s="127">
        <f>$D51*(1+$C$4)^(SUM($F$67:LC$67))</f>
        <v>0.14763552631578947</v>
      </c>
      <c r="LD76" s="127">
        <f>$D51*(1+$C$4)^(SUM($F$67:LD$67))</f>
        <v>0.14763552631578947</v>
      </c>
      <c r="LE76" s="127">
        <f>$D51*(1+$C$4)^(SUM($F$67:LE$67))</f>
        <v>0.14763552631578947</v>
      </c>
      <c r="LF76" s="127">
        <f>$D51*(1+$C$4)^(SUM($F$67:LF$67))</f>
        <v>0.14763552631578947</v>
      </c>
      <c r="LG76" s="127">
        <f>$D51*(1+$C$4)^(SUM($F$67:LG$67))</f>
        <v>0.14763552631578947</v>
      </c>
      <c r="LH76" s="127">
        <f>$D51*(1+$C$4)^(SUM($F$67:LH$67))</f>
        <v>0.14763552631578947</v>
      </c>
      <c r="LI76" s="127">
        <f>$D51*(1+$C$4)^(SUM($F$67:LI$67))</f>
        <v>0.14763552631578947</v>
      </c>
      <c r="LJ76" s="127">
        <f>$D51*(1+$C$4)^(SUM($F$67:LJ$67))</f>
        <v>0.14763552631578947</v>
      </c>
      <c r="LK76" s="127">
        <f>$D51*(1+$C$4)^(SUM($F$67:LK$67))</f>
        <v>0.14763552631578947</v>
      </c>
      <c r="LL76" s="127">
        <f>$D51*(1+$C$4)^(SUM($F$67:LL$67))</f>
        <v>0.14763552631578947</v>
      </c>
      <c r="LM76" s="127">
        <f>$D51*(1+$C$4)^(SUM($F$67:LM$67))</f>
        <v>0.14763552631578947</v>
      </c>
      <c r="LN76" s="127">
        <f>$D51*(1+$C$4)^(SUM($F$67:LN$67))</f>
        <v>0.14763552631578947</v>
      </c>
      <c r="LO76" s="127">
        <f>$D51*(1+$C$4)^(SUM($F$67:LO$67))</f>
        <v>0.14763552631578947</v>
      </c>
      <c r="LP76" s="127">
        <f>$D51*(1+$C$4)^(SUM($F$67:LP$67))</f>
        <v>0.14763552631578947</v>
      </c>
      <c r="LQ76" s="127">
        <f>$D51*(1+$C$4)^(SUM($F$67:LQ$67))</f>
        <v>0.14763552631578947</v>
      </c>
      <c r="LR76" s="127">
        <f>$D51*(1+$C$4)^(SUM($F$67:LR$67))</f>
        <v>0.14763552631578947</v>
      </c>
      <c r="LS76" s="127">
        <f>$D51*(1+$C$4)^(SUM($F$67:LS$67))</f>
        <v>0.14763552631578947</v>
      </c>
      <c r="LT76" s="127">
        <f>$D51*(1+$C$4)^(SUM($F$67:LT$67))</f>
        <v>0.14763552631578947</v>
      </c>
      <c r="LU76" s="127">
        <f>$D51*(1+$C$4)^(SUM($F$67:LU$67))</f>
        <v>0.14763552631578947</v>
      </c>
      <c r="LV76" s="127">
        <f>$D51*(1+$C$4)^(SUM($F$67:LV$67))</f>
        <v>0.14763552631578947</v>
      </c>
      <c r="LW76" s="127">
        <f>$D51*(1+$C$4)^(SUM($F$67:LW$67))</f>
        <v>0.14763552631578947</v>
      </c>
      <c r="LX76" s="127">
        <f>$D51*(1+$C$4)^(SUM($F$67:LX$67))</f>
        <v>0.14763552631578947</v>
      </c>
      <c r="LY76" s="127">
        <f>$D51*(1+$C$4)^(SUM($F$67:LY$67))</f>
        <v>0.14763552631578947</v>
      </c>
      <c r="LZ76" s="127">
        <f>$D51*(1+$C$4)^(SUM($F$67:LZ$67))</f>
        <v>0.14763552631578947</v>
      </c>
      <c r="MA76" s="127">
        <f>$D51*(1+$C$4)^(SUM($F$67:MA$67))</f>
        <v>0.14763552631578947</v>
      </c>
      <c r="MB76" s="127">
        <f>$D51*(1+$C$4)^(SUM($F$67:MB$67))</f>
        <v>0.14763552631578947</v>
      </c>
      <c r="MC76" s="127">
        <f>$D51*(1+$C$4)^(SUM($F$67:MC$67))</f>
        <v>0.14763552631578947</v>
      </c>
      <c r="MD76" s="127">
        <f>$D51*(1+$C$4)^(SUM($F$67:MD$67))</f>
        <v>0.14763552631578947</v>
      </c>
      <c r="ME76" s="127">
        <f>$D51*(1+$C$4)^(SUM($F$67:ME$67))</f>
        <v>0.14763552631578947</v>
      </c>
      <c r="MF76" s="127">
        <f>$D51*(1+$C$4)^(SUM($F$67:MF$67))</f>
        <v>0.14763552631578947</v>
      </c>
      <c r="MG76" s="127">
        <f>$D51*(1+$C$4)^(SUM($F$67:MG$67))</f>
        <v>0.14763552631578947</v>
      </c>
      <c r="MH76" s="127">
        <f>$D51*(1+$C$4)^(SUM($F$67:MH$67))</f>
        <v>0.14763552631578947</v>
      </c>
      <c r="MI76" s="127">
        <f>$D51*(1+$C$4)^(SUM($F$67:MI$67))</f>
        <v>0.14763552631578947</v>
      </c>
      <c r="MJ76" s="127">
        <f>$D51*(1+$C$4)^(SUM($F$67:MJ$67))</f>
        <v>0.14763552631578947</v>
      </c>
      <c r="MK76" s="127">
        <f>$D51*(1+$C$4)^(SUM($F$67:MK$67))</f>
        <v>0.14763552631578947</v>
      </c>
      <c r="ML76" s="127">
        <f>$D51*(1+$C$4)^(SUM($F$67:ML$67))</f>
        <v>0.14763552631578947</v>
      </c>
      <c r="MM76" s="127">
        <f>$D51*(1+$C$4)^(SUM($F$67:MM$67))</f>
        <v>0.14763552631578947</v>
      </c>
      <c r="MN76" s="127">
        <f>$D51*(1+$C$4)^(SUM($F$67:MN$67))</f>
        <v>0.14763552631578947</v>
      </c>
      <c r="MO76" s="127">
        <f>$D51*(1+$C$4)^(SUM($F$67:MO$67))</f>
        <v>0.14763552631578947</v>
      </c>
      <c r="MP76" s="127">
        <f>$D51*(1+$C$4)^(SUM($F$67:MP$67))</f>
        <v>0.14763552631578947</v>
      </c>
      <c r="MQ76" s="127">
        <f>$D51*(1+$C$4)^(SUM($F$67:MQ$67))</f>
        <v>0.14763552631578947</v>
      </c>
      <c r="MR76" s="127">
        <f>$D51*(1+$C$4)^(SUM($F$67:MR$67))</f>
        <v>0.14763552631578947</v>
      </c>
      <c r="MS76" s="127">
        <f>$D51*(1+$C$4)^(SUM($F$67:MS$67))</f>
        <v>0.14763552631578947</v>
      </c>
      <c r="MT76" s="127">
        <f>$D51*(1+$C$4)^(SUM($F$67:MT$67))</f>
        <v>0.14763552631578947</v>
      </c>
      <c r="MU76" s="127">
        <f>$D51*(1+$C$4)^(SUM($F$67:MU$67))</f>
        <v>0.14763552631578947</v>
      </c>
      <c r="MV76" s="127">
        <f>$D51*(1+$C$4)^(SUM($F$67:MV$67))</f>
        <v>0.14763552631578947</v>
      </c>
      <c r="MW76" s="127">
        <f>$D51*(1+$C$4)^(SUM($F$67:MW$67))</f>
        <v>0.14763552631578947</v>
      </c>
      <c r="MX76" s="127">
        <f>$D51*(1+$C$4)^(SUM($F$67:MX$67))</f>
        <v>0.14763552631578947</v>
      </c>
      <c r="MY76" s="127">
        <f>$D51*(1+$C$4)^(SUM($F$67:MY$67))</f>
        <v>0.14763552631578947</v>
      </c>
      <c r="MZ76" s="127">
        <f>$D51*(1+$C$4)^(SUM($F$67:MZ$67))</f>
        <v>0.14763552631578947</v>
      </c>
      <c r="NA76" s="127">
        <f>$D51*(1+$C$4)^(SUM($F$67:NA$67))</f>
        <v>0.14763552631578947</v>
      </c>
      <c r="NB76" s="127">
        <f>$D51*(1+$C$4)^(SUM($F$67:NB$67))</f>
        <v>0.14763552631578947</v>
      </c>
      <c r="NC76" s="127">
        <f>$D51*(1+$C$4)^(SUM($F$67:NC$67))</f>
        <v>0.14763552631578947</v>
      </c>
      <c r="ND76" s="127">
        <f>$D51*(1+$C$4)^(SUM($F$67:ND$67))</f>
        <v>0.14763552631578947</v>
      </c>
      <c r="NE76" s="127">
        <f>$D51*(1+$C$4)^(SUM($F$67:NE$67))</f>
        <v>0.14763552631578947</v>
      </c>
      <c r="NF76" s="127">
        <f>$D51*(1+$C$4)^(SUM($F$67:NF$67))</f>
        <v>0.14763552631578947</v>
      </c>
      <c r="NG76" s="127">
        <f>$D51*(1+$C$4)^(SUM($F$67:NG$67))</f>
        <v>0.14763552631578947</v>
      </c>
      <c r="NH76" s="127">
        <f>$D51*(1+$C$4)^(SUM($F$67:NH$67))</f>
        <v>0.14763552631578947</v>
      </c>
      <c r="NI76" s="127">
        <f>$D51*(1+$C$4)^(SUM($F$67:NI$67))</f>
        <v>0.14763552631578947</v>
      </c>
      <c r="NJ76" s="127">
        <f>$D51*(1+$C$4)^(SUM($F$67:NJ$67))</f>
        <v>0.14763552631578947</v>
      </c>
      <c r="NK76" s="127">
        <f>$D51*(1+$C$4)^(SUM($F$67:NK$67))</f>
        <v>0.14763552631578947</v>
      </c>
      <c r="NL76" s="127">
        <f>$D51*(1+$C$4)^(SUM($F$67:NL$67))</f>
        <v>0.14763552631578947</v>
      </c>
      <c r="NM76" s="127">
        <f>$D51*(1+$C$4)^(SUM($F$67:NM$67))</f>
        <v>0.14763552631578947</v>
      </c>
      <c r="NN76" s="127">
        <f>$D51*(1+$C$4)^(SUM($F$67:NN$67))</f>
        <v>0.14763552631578947</v>
      </c>
      <c r="NO76" s="127">
        <f>$D51*(1+$C$4)^(SUM($F$67:NO$67))</f>
        <v>0.14763552631578947</v>
      </c>
      <c r="NP76" s="127">
        <f>$D51*(1+$C$4)^(SUM($F$67:NP$67))</f>
        <v>0.14763552631578947</v>
      </c>
      <c r="NQ76" s="127">
        <f>$D51*(1+$C$4)^(SUM($F$67:NQ$67))</f>
        <v>0.14763552631578947</v>
      </c>
      <c r="NR76" s="127">
        <f>$D51*(1+$C$4)^(SUM($F$67:NR$67))</f>
        <v>0.14763552631578947</v>
      </c>
      <c r="NS76" s="127">
        <f>$D51*(1+$C$4)^(SUM($F$67:NS$67))</f>
        <v>0.14763552631578947</v>
      </c>
      <c r="NT76" s="127">
        <f>$D51*(1+$C$4)^(SUM($F$67:NT$67))</f>
        <v>0.14763552631578947</v>
      </c>
      <c r="NU76" s="127">
        <f>$D51*(1+$C$4)^(SUM($F$67:NU$67))</f>
        <v>0.14763552631578947</v>
      </c>
      <c r="NV76" s="127">
        <f>$D51*(1+$C$4)^(SUM($F$67:NV$67))</f>
        <v>0.14763552631578947</v>
      </c>
      <c r="NW76" s="127">
        <f>$D51*(1+$C$4)^(SUM($F$67:NW$67))</f>
        <v>0.14763552631578947</v>
      </c>
      <c r="NX76" s="127">
        <f>$D51*(1+$C$4)^(SUM($F$67:NX$67))</f>
        <v>0.14763552631578947</v>
      </c>
      <c r="NY76" s="127">
        <f>$D51*(1+$C$4)^(SUM($F$67:NY$67))</f>
        <v>0.14763552631578947</v>
      </c>
      <c r="NZ76" s="127">
        <f>$D51*(1+$C$4)^(SUM($F$67:NZ$67))</f>
        <v>0.14763552631578947</v>
      </c>
      <c r="OA76" s="127">
        <f>$D51*(1+$C$4)^(SUM($F$67:OA$67))</f>
        <v>0.14763552631578947</v>
      </c>
      <c r="OB76" s="127">
        <f>$D51*(1+$C$4)^(SUM($F$67:OB$67))</f>
        <v>0.14763552631578947</v>
      </c>
      <c r="OC76" s="127">
        <f>$D51*(1+$C$4)^(SUM($F$67:OC$67))</f>
        <v>0.14763552631578947</v>
      </c>
      <c r="OD76" s="127">
        <f>$D51*(1+$C$4)^(SUM($F$67:OD$67))</f>
        <v>0.14763552631578947</v>
      </c>
      <c r="OE76" s="127">
        <f>$D51*(1+$C$4)^(SUM($F$67:OE$67))</f>
        <v>0.14763552631578947</v>
      </c>
      <c r="OF76" s="127">
        <f>$D51*(1+$C$4)^(SUM($F$67:OF$67))</f>
        <v>0.14763552631578947</v>
      </c>
      <c r="OG76" s="127">
        <f>$D51*(1+$C$4)^(SUM($F$67:OG$67))</f>
        <v>0.14763552631578947</v>
      </c>
      <c r="OH76" s="127">
        <f>$D51*(1+$C$4)^(SUM($F$67:OH$67))</f>
        <v>0.14763552631578947</v>
      </c>
      <c r="OI76" s="127">
        <f>$D51*(1+$C$4)^(SUM($F$67:OI$67))</f>
        <v>0.14763552631578947</v>
      </c>
      <c r="OJ76" s="127">
        <f>$D51*(1+$C$4)^(SUM($F$67:OJ$67))</f>
        <v>0.14763552631578947</v>
      </c>
      <c r="OK76" s="127">
        <f>$D51*(1+$C$4)^(SUM($F$67:OK$67))</f>
        <v>0.14763552631578947</v>
      </c>
      <c r="OL76" s="127">
        <f>$D51*(1+$C$4)^(SUM($F$67:OL$67))</f>
        <v>0.14763552631578947</v>
      </c>
      <c r="OM76" s="127">
        <f>$D51*(1+$C$4)^(SUM($F$67:OM$67))</f>
        <v>0.14763552631578947</v>
      </c>
      <c r="ON76" s="127">
        <f>$D51*(1+$C$4)^(SUM($F$67:ON$67))</f>
        <v>0.14763552631578947</v>
      </c>
      <c r="OO76" s="127">
        <f>$D51*(1+$C$4)^(SUM($F$67:OO$67))</f>
        <v>0.14763552631578947</v>
      </c>
      <c r="OP76" s="127">
        <f>$D51*(1+$C$4)^(SUM($F$67:OP$67))</f>
        <v>0.14763552631578947</v>
      </c>
      <c r="OQ76" s="127">
        <f>$D51*(1+$C$4)^(SUM($F$67:OQ$67))</f>
        <v>0.14763552631578947</v>
      </c>
      <c r="OR76" s="127">
        <f>$D51*(1+$C$4)^(SUM($F$67:OR$67))</f>
        <v>0.14763552631578947</v>
      </c>
      <c r="OS76" s="127">
        <f>$D51*(1+$C$4)^(SUM($F$67:OS$67))</f>
        <v>0.14763552631578947</v>
      </c>
      <c r="OT76" s="127">
        <f>$D51*(1+$C$4)^(SUM($F$67:OT$67))</f>
        <v>0.14763552631578947</v>
      </c>
      <c r="OU76" s="127">
        <f>$D51*(1+$C$4)^(SUM($F$67:OU$67))</f>
        <v>0.14763552631578947</v>
      </c>
      <c r="OV76" s="127">
        <f>$D51*(1+$C$4)^(SUM($F$67:OV$67))</f>
        <v>0.14763552631578947</v>
      </c>
      <c r="OW76" s="127">
        <f>$D51*(1+$C$4)^(SUM($F$67:OW$67))</f>
        <v>0.14763552631578947</v>
      </c>
      <c r="OX76" s="127">
        <f>$D51*(1+$C$4)^(SUM($F$67:OX$67))</f>
        <v>0.14763552631578947</v>
      </c>
      <c r="OY76" s="127">
        <f>$D51*(1+$C$4)^(SUM($F$67:OY$67))</f>
        <v>0.14763552631578947</v>
      </c>
      <c r="OZ76" s="127">
        <f>$D51*(1+$C$4)^(SUM($F$67:OZ$67))</f>
        <v>0.14763552631578947</v>
      </c>
      <c r="PA76" s="127">
        <f>$D51*(1+$C$4)^(SUM($F$67:PA$67))</f>
        <v>0.14763552631578947</v>
      </c>
      <c r="PB76" s="127">
        <f>$D51*(1+$C$4)^(SUM($F$67:PB$67))</f>
        <v>0.14763552631578947</v>
      </c>
      <c r="PC76" s="127">
        <f>$D51*(1+$C$4)^(SUM($F$67:PC$67))</f>
        <v>0.14763552631578947</v>
      </c>
      <c r="PD76" s="127">
        <f>$D51*(1+$C$4)^(SUM($F$67:PD$67))</f>
        <v>0.14763552631578947</v>
      </c>
      <c r="PE76" s="127">
        <f>$D51*(1+$C$4)^(SUM($F$67:PE$67))</f>
        <v>0.14763552631578947</v>
      </c>
      <c r="PF76" s="127">
        <f>$D51*(1+$C$4)^(SUM($F$67:PF$67))</f>
        <v>0.14763552631578947</v>
      </c>
      <c r="PG76" s="127">
        <f>$D51*(1+$C$4)^(SUM($F$67:PG$67))</f>
        <v>0.14763552631578947</v>
      </c>
      <c r="PH76" s="127">
        <f>$D51*(1+$C$4)^(SUM($F$67:PH$67))</f>
        <v>0.14763552631578947</v>
      </c>
      <c r="PI76" s="127">
        <f>$D51*(1+$C$4)^(SUM($F$67:PI$67))</f>
        <v>0.14763552631578947</v>
      </c>
      <c r="PJ76" s="127">
        <f>$D51*(1+$C$4)^(SUM($F$67:PJ$67))</f>
        <v>0.14763552631578947</v>
      </c>
      <c r="PK76" s="127">
        <f>$D51*(1+$C$4)^(SUM($F$67:PK$67))</f>
        <v>0.14763552631578947</v>
      </c>
      <c r="PL76" s="127">
        <f>$D51*(1+$C$4)^(SUM($F$67:PL$67))</f>
        <v>0.14763552631578947</v>
      </c>
      <c r="PM76" s="127">
        <f>$D51*(1+$C$4)^(SUM($F$67:PM$67))</f>
        <v>0.14763552631578947</v>
      </c>
      <c r="PN76" s="127">
        <f>$D51*(1+$C$4)^(SUM($F$67:PN$67))</f>
        <v>0.14763552631578947</v>
      </c>
      <c r="PO76" s="127">
        <f>$D51*(1+$C$4)^(SUM($F$67:PO$67))</f>
        <v>0.14763552631578947</v>
      </c>
      <c r="PP76" s="127">
        <f>$D51*(1+$C$4)^(SUM($F$67:PP$67))</f>
        <v>0.14763552631578947</v>
      </c>
      <c r="PQ76" s="127">
        <f>$D51*(1+$C$4)^(SUM($F$67:PQ$67))</f>
        <v>0.14763552631578947</v>
      </c>
      <c r="PR76" s="127">
        <f>$D51*(1+$C$4)^(SUM($F$67:PR$67))</f>
        <v>0.14763552631578947</v>
      </c>
      <c r="PS76" s="127">
        <f>$D51*(1+$C$4)^(SUM($F$67:PS$67))</f>
        <v>0.14763552631578947</v>
      </c>
      <c r="PT76" s="127">
        <f>$D51*(1+$C$4)^(SUM($F$67:PT$67))</f>
        <v>0.14763552631578947</v>
      </c>
      <c r="PU76" s="127">
        <f>$D51*(1+$C$4)^(SUM($F$67:PU$67))</f>
        <v>0.14763552631578947</v>
      </c>
      <c r="PV76" s="127">
        <f>$D51*(1+$C$4)^(SUM($F$67:PV$67))</f>
        <v>0.14763552631578947</v>
      </c>
      <c r="PW76" s="127">
        <f>$D51*(1+$C$4)^(SUM($F$67:PW$67))</f>
        <v>0.14763552631578947</v>
      </c>
      <c r="PX76" s="127">
        <f>$D51*(1+$C$4)^(SUM($F$67:PX$67))</f>
        <v>0.14763552631578947</v>
      </c>
      <c r="PY76" s="127">
        <f>$D51*(1+$C$4)^(SUM($F$67:PY$67))</f>
        <v>0.14763552631578947</v>
      </c>
      <c r="PZ76" s="127">
        <f>$D51*(1+$C$4)^(SUM($F$67:PZ$67))</f>
        <v>0.14763552631578947</v>
      </c>
      <c r="QA76" s="127">
        <f>$D51*(1+$C$4)^(SUM($F$67:QA$67))</f>
        <v>0.14763552631578947</v>
      </c>
      <c r="QB76" s="127">
        <f>$D51*(1+$C$4)^(SUM($F$67:QB$67))</f>
        <v>0.14763552631578947</v>
      </c>
      <c r="QC76" s="127">
        <f>$D51*(1+$C$4)^(SUM($F$67:QC$67))</f>
        <v>0.14763552631578947</v>
      </c>
      <c r="QD76" s="127">
        <f>$D51*(1+$C$4)^(SUM($F$67:QD$67))</f>
        <v>0.14763552631578947</v>
      </c>
      <c r="QE76" s="127">
        <f>$D51*(1+$C$4)^(SUM($F$67:QE$67))</f>
        <v>0.14763552631578947</v>
      </c>
      <c r="QF76" s="127">
        <f>$D51*(1+$C$4)^(SUM($F$67:QF$67))</f>
        <v>0.14763552631578947</v>
      </c>
      <c r="QG76" s="127">
        <f>$D51*(1+$C$4)^(SUM($F$67:QG$67))</f>
        <v>0.14763552631578947</v>
      </c>
      <c r="QH76" s="127">
        <f>$D51*(1+$C$4)^(SUM($F$67:QH$67))</f>
        <v>0.14763552631578947</v>
      </c>
      <c r="QI76" s="127">
        <f>$D51*(1+$C$4)^(SUM($F$67:QI$67))</f>
        <v>0.14763552631578947</v>
      </c>
      <c r="QJ76" s="127">
        <f>$D51*(1+$C$4)^(SUM($F$67:QJ$67))</f>
        <v>0.14763552631578947</v>
      </c>
      <c r="QK76" s="127">
        <f>$D51*(1+$C$4)^(SUM($F$67:QK$67))</f>
        <v>0.14763552631578947</v>
      </c>
      <c r="QL76" s="127">
        <f>$D51*(1+$C$4)^(SUM($F$67:QL$67))</f>
        <v>0.14763552631578947</v>
      </c>
      <c r="QM76" s="127">
        <f>$D51*(1+$C$4)^(SUM($F$67:QM$67))</f>
        <v>0.14763552631578947</v>
      </c>
      <c r="QN76" s="127">
        <f>$D51*(1+$C$4)^(SUM($F$67:QN$67))</f>
        <v>0.14763552631578947</v>
      </c>
      <c r="QO76" s="127">
        <f>$D51*(1+$C$4)^(SUM($F$67:QO$67))</f>
        <v>0.14763552631578947</v>
      </c>
      <c r="QP76" s="127">
        <f>$D51*(1+$C$4)^(SUM($F$67:QP$67))</f>
        <v>0.14763552631578947</v>
      </c>
      <c r="QQ76" s="127">
        <f>$D51*(1+$C$4)^(SUM($F$67:QQ$67))</f>
        <v>0.14763552631578947</v>
      </c>
      <c r="QR76" s="127">
        <f>$D51*(1+$C$4)^(SUM($F$67:QR$67))</f>
        <v>0.14763552631578947</v>
      </c>
      <c r="QS76" s="127">
        <f>$D51*(1+$C$4)^(SUM($F$67:QS$67))</f>
        <v>0.14763552631578947</v>
      </c>
      <c r="QT76" s="127">
        <f>$D51*(1+$C$4)^(SUM($F$67:QT$67))</f>
        <v>0.14763552631578947</v>
      </c>
      <c r="QU76" s="127">
        <f>$D51*(1+$C$4)^(SUM($F$67:QU$67))</f>
        <v>0.14763552631578947</v>
      </c>
      <c r="QV76" s="127">
        <f>$D51*(1+$C$4)^(SUM($F$67:QV$67))</f>
        <v>0.14763552631578947</v>
      </c>
      <c r="QW76" s="127">
        <f>$D51*(1+$C$4)^(SUM($F$67:QW$67))</f>
        <v>0.14763552631578947</v>
      </c>
      <c r="QX76" s="127">
        <f>$D51*(1+$C$4)^(SUM($F$67:QX$67))</f>
        <v>0.14763552631578947</v>
      </c>
      <c r="QY76" s="127">
        <f>$D51*(1+$C$4)^(SUM($F$67:QY$67))</f>
        <v>0.14763552631578947</v>
      </c>
      <c r="QZ76" s="127">
        <f>$D51*(1+$C$4)^(SUM($F$67:QZ$67))</f>
        <v>0.14763552631578947</v>
      </c>
      <c r="RA76" s="127">
        <f>$D51*(1+$C$4)^(SUM($F$67:RA$67))</f>
        <v>0.14763552631578947</v>
      </c>
      <c r="RB76" s="127">
        <f>$D51*(1+$C$4)^(SUM($F$67:RB$67))</f>
        <v>0.14763552631578947</v>
      </c>
      <c r="RC76" s="127">
        <f>$D51*(1+$C$4)^(SUM($F$67:RC$67))</f>
        <v>0.14763552631578947</v>
      </c>
      <c r="RD76" s="127">
        <f>$D51*(1+$C$4)^(SUM($F$67:RD$67))</f>
        <v>0.14763552631578947</v>
      </c>
      <c r="RE76" s="127">
        <f>$D51*(1+$C$4)^(SUM($F$67:RE$67))</f>
        <v>0.14763552631578947</v>
      </c>
      <c r="RF76" s="127">
        <f>$D51*(1+$C$4)^(SUM($F$67:RF$67))</f>
        <v>0.14763552631578947</v>
      </c>
      <c r="RG76" s="127">
        <f>$D51*(1+$C$4)^(SUM($F$67:RG$67))</f>
        <v>0.14763552631578947</v>
      </c>
      <c r="RH76" s="127">
        <f>$D51*(1+$C$4)^(SUM($F$67:RH$67))</f>
        <v>0.14763552631578947</v>
      </c>
      <c r="RI76" s="127">
        <f>$D51*(1+$C$4)^(SUM($F$67:RI$67))</f>
        <v>0.14763552631578947</v>
      </c>
      <c r="RJ76" s="127">
        <f>$D51*(1+$C$4)^(SUM($F$67:RJ$67))</f>
        <v>0.14763552631578947</v>
      </c>
      <c r="RK76" s="127">
        <f>$D51*(1+$C$4)^(SUM($F$67:RK$67))</f>
        <v>0.14763552631578947</v>
      </c>
      <c r="RL76" s="127">
        <f>$D51*(1+$C$4)^(SUM($F$67:RL$67))</f>
        <v>0.14763552631578947</v>
      </c>
      <c r="RM76" s="127">
        <f>$D51*(1+$C$4)^(SUM($F$67:RM$67))</f>
        <v>0.14763552631578947</v>
      </c>
      <c r="RN76" s="127">
        <f>$D51*(1+$C$4)^(SUM($F$67:RN$67))</f>
        <v>0.14763552631578947</v>
      </c>
      <c r="RO76" s="127">
        <f>$D51*(1+$C$4)^(SUM($F$67:RO$67))</f>
        <v>0.14763552631578947</v>
      </c>
      <c r="RP76" s="127">
        <f>$D51*(1+$C$4)^(SUM($F$67:RP$67))</f>
        <v>0.14763552631578947</v>
      </c>
      <c r="RQ76" s="127">
        <f>$D51*(1+$C$4)^(SUM($F$67:RQ$67))</f>
        <v>0.14763552631578947</v>
      </c>
      <c r="RR76" s="127">
        <f>$D51*(1+$C$4)^(SUM($F$67:RR$67))</f>
        <v>0.14763552631578947</v>
      </c>
    </row>
    <row r="77" spans="1:486" s="9" customFormat="1">
      <c r="A77" s="289"/>
      <c r="B77" s="39" t="s">
        <v>231</v>
      </c>
      <c r="E77" s="127">
        <f t="shared" si="28"/>
        <v>0.14786064599762344</v>
      </c>
      <c r="F77" s="127">
        <f>$D52*(1+$C$4)^(SUM($F$67:F$67))</f>
        <v>0.14786064599762344</v>
      </c>
      <c r="G77" s="127">
        <f>$D52*(1+$C$4)^(SUM($F$67:G$67))</f>
        <v>0.14786064599762344</v>
      </c>
      <c r="H77" s="127">
        <f>$D52*(1+$C$4)^(SUM($F$67:H$67))</f>
        <v>0.14786064599762344</v>
      </c>
      <c r="I77" s="127">
        <f>$D52*(1+$C$4)^(SUM($F$67:I$67))</f>
        <v>0.14786064599762344</v>
      </c>
      <c r="J77" s="127">
        <f>$D52*(1+$C$4)^(SUM($F$67:J$67))</f>
        <v>0.14786064599762344</v>
      </c>
      <c r="K77" s="127">
        <f>$D52*(1+$C$4)^(SUM($F$67:K$67))</f>
        <v>0.14786064599762344</v>
      </c>
      <c r="L77" s="127">
        <f>$D52*(1+$C$4)^(SUM($F$67:L$67))</f>
        <v>0.14786064599762344</v>
      </c>
      <c r="M77" s="127">
        <f>$D52*(1+$C$4)^(SUM($F$67:M$67))</f>
        <v>0.14786064599762344</v>
      </c>
      <c r="N77" s="127">
        <f>$D52*(1+$C$4)^(SUM($F$67:N$67))</f>
        <v>0.14786064599762344</v>
      </c>
      <c r="O77" s="127">
        <f>$D52*(1+$C$4)^(SUM($F$67:O$67))</f>
        <v>0.14786064599762344</v>
      </c>
      <c r="P77" s="127">
        <f>$D52*(1+$C$4)^(SUM($F$67:P$67))</f>
        <v>0.14786064599762344</v>
      </c>
      <c r="Q77" s="127">
        <f>$D52*(1+$C$4)^(SUM($F$67:Q$67))</f>
        <v>0.14786064599762344</v>
      </c>
      <c r="R77" s="127">
        <f>$D52*(1+$C$4)^(SUM($F$67:R$67))</f>
        <v>0.14786064599762344</v>
      </c>
      <c r="S77" s="127">
        <f>$D52*(1+$C$4)^(SUM($F$67:S$67))</f>
        <v>0.14786064599762344</v>
      </c>
      <c r="T77" s="127">
        <f>$D52*(1+$C$4)^(SUM($F$67:T$67))</f>
        <v>0.14786064599762344</v>
      </c>
      <c r="U77" s="127">
        <f>$D52*(1+$C$4)^(SUM($F$67:U$67))</f>
        <v>0.14786064599762344</v>
      </c>
      <c r="V77" s="127">
        <f>$D52*(1+$C$4)^(SUM($F$67:V$67))</f>
        <v>0.14786064599762344</v>
      </c>
      <c r="W77" s="127">
        <f>$D52*(1+$C$4)^(SUM($F$67:W$67))</f>
        <v>0.14786064599762344</v>
      </c>
      <c r="X77" s="127">
        <f>$D52*(1+$C$4)^(SUM($F$67:X$67))</f>
        <v>0.14786064599762344</v>
      </c>
      <c r="Y77" s="127">
        <f>$D52*(1+$C$4)^(SUM($F$67:Y$67))</f>
        <v>0.14786064599762344</v>
      </c>
      <c r="Z77" s="127">
        <f>$D52*(1+$C$4)^(SUM($F$67:Z$67))</f>
        <v>0.14786064599762344</v>
      </c>
      <c r="AA77" s="127">
        <f>$D52*(1+$C$4)^(SUM($F$67:AA$67))</f>
        <v>0.14786064599762344</v>
      </c>
      <c r="AB77" s="127">
        <f>$D52*(1+$C$4)^(SUM($F$67:AB$67))</f>
        <v>0.14786064599762344</v>
      </c>
      <c r="AC77" s="127">
        <f>$D52*(1+$C$4)^(SUM($F$67:AC$67))</f>
        <v>0.14786064599762344</v>
      </c>
      <c r="AD77" s="127">
        <f>$D52*(1+$C$4)^(SUM($F$67:AD$67))</f>
        <v>0.14786064599762344</v>
      </c>
      <c r="AE77" s="127">
        <f>$D52*(1+$C$4)^(SUM($F$67:AE$67))</f>
        <v>0.14786064599762344</v>
      </c>
      <c r="AF77" s="127">
        <f>$D52*(1+$C$4)^(SUM($F$67:AF$67))</f>
        <v>0.14786064599762344</v>
      </c>
      <c r="AG77" s="127">
        <f>$D52*(1+$C$4)^(SUM($F$67:AG$67))</f>
        <v>0.14786064599762344</v>
      </c>
      <c r="AH77" s="127">
        <f>$D52*(1+$C$4)^(SUM($F$67:AH$67))</f>
        <v>0.14786064599762344</v>
      </c>
      <c r="AI77" s="127">
        <f>$D52*(1+$C$4)^(SUM($F$67:AI$67))</f>
        <v>0.14786064599762344</v>
      </c>
      <c r="AJ77" s="127">
        <f>$D52*(1+$C$4)^(SUM($F$67:AJ$67))</f>
        <v>0.14786064599762344</v>
      </c>
      <c r="AK77" s="127">
        <f>$D52*(1+$C$4)^(SUM($F$67:AK$67))</f>
        <v>0.14786064599762344</v>
      </c>
      <c r="AL77" s="127">
        <f>$D52*(1+$C$4)^(SUM($F$67:AL$67))</f>
        <v>0.14786064599762344</v>
      </c>
      <c r="AM77" s="127">
        <f>$D52*(1+$C$4)^(SUM($F$67:AM$67))</f>
        <v>0.14786064599762344</v>
      </c>
      <c r="AN77" s="127">
        <f>$D52*(1+$C$4)^(SUM($F$67:AN$67))</f>
        <v>0.14786064599762344</v>
      </c>
      <c r="AO77" s="127">
        <f>$D52*(1+$C$4)^(SUM($F$67:AO$67))</f>
        <v>0.14786064599762344</v>
      </c>
      <c r="AP77" s="127">
        <f>$D52*(1+$C$4)^(SUM($F$67:AP$67))</f>
        <v>0.14786064599762344</v>
      </c>
      <c r="AQ77" s="127">
        <f>$D52*(1+$C$4)^(SUM($F$67:AQ$67))</f>
        <v>0.14786064599762344</v>
      </c>
      <c r="AR77" s="127">
        <f>$D52*(1+$C$4)^(SUM($F$67:AR$67))</f>
        <v>0.14786064599762344</v>
      </c>
      <c r="AS77" s="127">
        <f>$D52*(1+$C$4)^(SUM($F$67:AS$67))</f>
        <v>0.14786064599762344</v>
      </c>
      <c r="AT77" s="127">
        <f>$D52*(1+$C$4)^(SUM($F$67:AT$67))</f>
        <v>0.14786064599762344</v>
      </c>
      <c r="AU77" s="127">
        <f>$D52*(1+$C$4)^(SUM($F$67:AU$67))</f>
        <v>0.14786064599762344</v>
      </c>
      <c r="AV77" s="127">
        <f>$D52*(1+$C$4)^(SUM($F$67:AV$67))</f>
        <v>0.14786064599762344</v>
      </c>
      <c r="AW77" s="127">
        <f>$D52*(1+$C$4)^(SUM($F$67:AW$67))</f>
        <v>0.14786064599762344</v>
      </c>
      <c r="AX77" s="127">
        <f>$D52*(1+$C$4)^(SUM($F$67:AX$67))</f>
        <v>0.14786064599762344</v>
      </c>
      <c r="AY77" s="127">
        <f>$D52*(1+$C$4)^(SUM($F$67:AY$67))</f>
        <v>0.14786064599762344</v>
      </c>
      <c r="AZ77" s="127">
        <f>$D52*(1+$C$4)^(SUM($F$67:AZ$67))</f>
        <v>0.14786064599762344</v>
      </c>
      <c r="BA77" s="127">
        <f>$D52*(1+$C$4)^(SUM($F$67:BA$67))</f>
        <v>0.14786064599762344</v>
      </c>
      <c r="BB77" s="127">
        <f>$D52*(1+$C$4)^(SUM($F$67:BB$67))</f>
        <v>0.14786064599762344</v>
      </c>
      <c r="BC77" s="127">
        <f>$D52*(1+$C$4)^(SUM($F$67:BC$67))</f>
        <v>0.14786064599762344</v>
      </c>
      <c r="BD77" s="127">
        <f>$D52*(1+$C$4)^(SUM($F$67:BD$67))</f>
        <v>0.14786064599762344</v>
      </c>
      <c r="BE77" s="127">
        <f>$D52*(1+$C$4)^(SUM($F$67:BE$67))</f>
        <v>0.14786064599762344</v>
      </c>
      <c r="BF77" s="127">
        <f>$D52*(1+$C$4)^(SUM($F$67:BF$67))</f>
        <v>0.14786064599762344</v>
      </c>
      <c r="BG77" s="127">
        <f>$D52*(1+$C$4)^(SUM($F$67:BG$67))</f>
        <v>0.14786064599762344</v>
      </c>
      <c r="BH77" s="127">
        <f>$D52*(1+$C$4)^(SUM($F$67:BH$67))</f>
        <v>0.14786064599762344</v>
      </c>
      <c r="BI77" s="127">
        <f>$D52*(1+$C$4)^(SUM($F$67:BI$67))</f>
        <v>0.14786064599762344</v>
      </c>
      <c r="BJ77" s="127">
        <f>$D52*(1+$C$4)^(SUM($F$67:BJ$67))</f>
        <v>0.14786064599762344</v>
      </c>
      <c r="BK77" s="127">
        <f>$D52*(1+$C$4)^(SUM($F$67:BK$67))</f>
        <v>0.14786064599762344</v>
      </c>
      <c r="BL77" s="127">
        <f>$D52*(1+$C$4)^(SUM($F$67:BL$67))</f>
        <v>0.14786064599762344</v>
      </c>
      <c r="BM77" s="127">
        <f>$D52*(1+$C$4)^(SUM($F$67:BM$67))</f>
        <v>0.14786064599762344</v>
      </c>
      <c r="BN77" s="127">
        <f>$D52*(1+$C$4)^(SUM($F$67:BN$67))</f>
        <v>0.14786064599762344</v>
      </c>
      <c r="BO77" s="127">
        <f>$D52*(1+$C$4)^(SUM($F$67:BO$67))</f>
        <v>0.14786064599762344</v>
      </c>
      <c r="BP77" s="127">
        <f>$D52*(1+$C$4)^(SUM($F$67:BP$67))</f>
        <v>0.14786064599762344</v>
      </c>
      <c r="BQ77" s="127">
        <f>$D52*(1+$C$4)^(SUM($F$67:BQ$67))</f>
        <v>0.14786064599762344</v>
      </c>
      <c r="BR77" s="127">
        <f>$D52*(1+$C$4)^(SUM($F$67:BR$67))</f>
        <v>0.14786064599762344</v>
      </c>
      <c r="BS77" s="127">
        <f>$D52*(1+$C$4)^(SUM($F$67:BS$67))</f>
        <v>0.14786064599762344</v>
      </c>
      <c r="BT77" s="127">
        <f>$D52*(1+$C$4)^(SUM($F$67:BT$67))</f>
        <v>0.14786064599762344</v>
      </c>
      <c r="BU77" s="127">
        <f>$D52*(1+$C$4)^(SUM($F$67:BU$67))</f>
        <v>0.14786064599762344</v>
      </c>
      <c r="BV77" s="127">
        <f>$D52*(1+$C$4)^(SUM($F$67:BV$67))</f>
        <v>0.14786064599762344</v>
      </c>
      <c r="BW77" s="127">
        <f>$D52*(1+$C$4)^(SUM($F$67:BW$67))</f>
        <v>0.14786064599762344</v>
      </c>
      <c r="BX77" s="127">
        <f>$D52*(1+$C$4)^(SUM($F$67:BX$67))</f>
        <v>0.14786064599762344</v>
      </c>
      <c r="BY77" s="127">
        <f>$D52*(1+$C$4)^(SUM($F$67:BY$67))</f>
        <v>0.14786064599762344</v>
      </c>
      <c r="BZ77" s="127">
        <f>$D52*(1+$C$4)^(SUM($F$67:BZ$67))</f>
        <v>0.14786064599762344</v>
      </c>
      <c r="CA77" s="127">
        <f>$D52*(1+$C$4)^(SUM($F$67:CA$67))</f>
        <v>0.14786064599762344</v>
      </c>
      <c r="CB77" s="127">
        <f>$D52*(1+$C$4)^(SUM($F$67:CB$67))</f>
        <v>0.14786064599762344</v>
      </c>
      <c r="CC77" s="127">
        <f>$D52*(1+$C$4)^(SUM($F$67:CC$67))</f>
        <v>0.14786064599762344</v>
      </c>
      <c r="CD77" s="127">
        <f>$D52*(1+$C$4)^(SUM($F$67:CD$67))</f>
        <v>0.14786064599762344</v>
      </c>
      <c r="CE77" s="127">
        <f>$D52*(1+$C$4)^(SUM($F$67:CE$67))</f>
        <v>0.14786064599762344</v>
      </c>
      <c r="CF77" s="127">
        <f>$D52*(1+$C$4)^(SUM($F$67:CF$67))</f>
        <v>0.14786064599762344</v>
      </c>
      <c r="CG77" s="127">
        <f>$D52*(1+$C$4)^(SUM($F$67:CG$67))</f>
        <v>0.14786064599762344</v>
      </c>
      <c r="CH77" s="127">
        <f>$D52*(1+$C$4)^(SUM($F$67:CH$67))</f>
        <v>0.14786064599762344</v>
      </c>
      <c r="CI77" s="127">
        <f>$D52*(1+$C$4)^(SUM($F$67:CI$67))</f>
        <v>0.14786064599762344</v>
      </c>
      <c r="CJ77" s="127">
        <f>$D52*(1+$C$4)^(SUM($F$67:CJ$67))</f>
        <v>0.14786064599762344</v>
      </c>
      <c r="CK77" s="127">
        <f>$D52*(1+$C$4)^(SUM($F$67:CK$67))</f>
        <v>0.14786064599762344</v>
      </c>
      <c r="CL77" s="127">
        <f>$D52*(1+$C$4)^(SUM($F$67:CL$67))</f>
        <v>0.14786064599762344</v>
      </c>
      <c r="CM77" s="127">
        <f>$D52*(1+$C$4)^(SUM($F$67:CM$67))</f>
        <v>0.14786064599762344</v>
      </c>
      <c r="CN77" s="127">
        <f>$D52*(1+$C$4)^(SUM($F$67:CN$67))</f>
        <v>0.14786064599762344</v>
      </c>
      <c r="CO77" s="127">
        <f>$D52*(1+$C$4)^(SUM($F$67:CO$67))</f>
        <v>0.14786064599762344</v>
      </c>
      <c r="CP77" s="127">
        <f>$D52*(1+$C$4)^(SUM($F$67:CP$67))</f>
        <v>0.14786064599762344</v>
      </c>
      <c r="CQ77" s="127">
        <f>$D52*(1+$C$4)^(SUM($F$67:CQ$67))</f>
        <v>0.14786064599762344</v>
      </c>
      <c r="CR77" s="127">
        <f>$D52*(1+$C$4)^(SUM($F$67:CR$67))</f>
        <v>0.14786064599762344</v>
      </c>
      <c r="CS77" s="127">
        <f>$D52*(1+$C$4)^(SUM($F$67:CS$67))</f>
        <v>0.14786064599762344</v>
      </c>
      <c r="CT77" s="127">
        <f>$D52*(1+$C$4)^(SUM($F$67:CT$67))</f>
        <v>0.14786064599762344</v>
      </c>
      <c r="CU77" s="127">
        <f>$D52*(1+$C$4)^(SUM($F$67:CU$67))</f>
        <v>0.14786064599762344</v>
      </c>
      <c r="CV77" s="127">
        <f>$D52*(1+$C$4)^(SUM($F$67:CV$67))</f>
        <v>0.14786064599762344</v>
      </c>
      <c r="CW77" s="127">
        <f>$D52*(1+$C$4)^(SUM($F$67:CW$67))</f>
        <v>0.14786064599762344</v>
      </c>
      <c r="CX77" s="127">
        <f>$D52*(1+$C$4)^(SUM($F$67:CX$67))</f>
        <v>0.14786064599762344</v>
      </c>
      <c r="CY77" s="127">
        <f>$D52*(1+$C$4)^(SUM($F$67:CY$67))</f>
        <v>0.14786064599762344</v>
      </c>
      <c r="CZ77" s="127">
        <f>$D52*(1+$C$4)^(SUM($F$67:CZ$67))</f>
        <v>0.14786064599762344</v>
      </c>
      <c r="DA77" s="127">
        <f>$D52*(1+$C$4)^(SUM($F$67:DA$67))</f>
        <v>0.14786064599762344</v>
      </c>
      <c r="DB77" s="127">
        <f>$D52*(1+$C$4)^(SUM($F$67:DB$67))</f>
        <v>0.14786064599762344</v>
      </c>
      <c r="DC77" s="127">
        <f>$D52*(1+$C$4)^(SUM($F$67:DC$67))</f>
        <v>0.14786064599762344</v>
      </c>
      <c r="DD77" s="127">
        <f>$D52*(1+$C$4)^(SUM($F$67:DD$67))</f>
        <v>0.14786064599762344</v>
      </c>
      <c r="DE77" s="127">
        <f>$D52*(1+$C$4)^(SUM($F$67:DE$67))</f>
        <v>0.14786064599762344</v>
      </c>
      <c r="DF77" s="127">
        <f>$D52*(1+$C$4)^(SUM($F$67:DF$67))</f>
        <v>0.14786064599762344</v>
      </c>
      <c r="DG77" s="127">
        <f>$D52*(1+$C$4)^(SUM($F$67:DG$67))</f>
        <v>0.14786064599762344</v>
      </c>
      <c r="DH77" s="127">
        <f>$D52*(1+$C$4)^(SUM($F$67:DH$67))</f>
        <v>0.14786064599762344</v>
      </c>
      <c r="DI77" s="127">
        <f>$D52*(1+$C$4)^(SUM($F$67:DI$67))</f>
        <v>0.14786064599762344</v>
      </c>
      <c r="DJ77" s="127">
        <f>$D52*(1+$C$4)^(SUM($F$67:DJ$67))</f>
        <v>0.14786064599762344</v>
      </c>
      <c r="DK77" s="127">
        <f>$D52*(1+$C$4)^(SUM($F$67:DK$67))</f>
        <v>0.14786064599762344</v>
      </c>
      <c r="DL77" s="127">
        <f>$D52*(1+$C$4)^(SUM($F$67:DL$67))</f>
        <v>0.14786064599762344</v>
      </c>
      <c r="DM77" s="127">
        <f>$D52*(1+$C$4)^(SUM($F$67:DM$67))</f>
        <v>0.14786064599762344</v>
      </c>
      <c r="DN77" s="127">
        <f>$D52*(1+$C$4)^(SUM($F$67:DN$67))</f>
        <v>0.14786064599762344</v>
      </c>
      <c r="DO77" s="127">
        <f>$D52*(1+$C$4)^(SUM($F$67:DO$67))</f>
        <v>0.14786064599762344</v>
      </c>
      <c r="DP77" s="127">
        <f>$D52*(1+$C$4)^(SUM($F$67:DP$67))</f>
        <v>0.14786064599762344</v>
      </c>
      <c r="DQ77" s="127">
        <f>$D52*(1+$C$4)^(SUM($F$67:DQ$67))</f>
        <v>0.14786064599762344</v>
      </c>
      <c r="DR77" s="127">
        <f>$D52*(1+$C$4)^(SUM($F$67:DR$67))</f>
        <v>0.14786064599762344</v>
      </c>
      <c r="DS77" s="127">
        <f>$D52*(1+$C$4)^(SUM($F$67:DS$67))</f>
        <v>0.14786064599762344</v>
      </c>
      <c r="DT77" s="127">
        <f>$D52*(1+$C$4)^(SUM($F$67:DT$67))</f>
        <v>0.14786064599762344</v>
      </c>
      <c r="DU77" s="127">
        <f>$D52*(1+$C$4)^(SUM($F$67:DU$67))</f>
        <v>0.14786064599762344</v>
      </c>
      <c r="DV77" s="127">
        <f>$D52*(1+$C$4)^(SUM($F$67:DV$67))</f>
        <v>0.14786064599762344</v>
      </c>
      <c r="DW77" s="127">
        <f>$D52*(1+$C$4)^(SUM($F$67:DW$67))</f>
        <v>0.14786064599762344</v>
      </c>
      <c r="DX77" s="127">
        <f>$D52*(1+$C$4)^(SUM($F$67:DX$67))</f>
        <v>0.14786064599762344</v>
      </c>
      <c r="DY77" s="127">
        <f>$D52*(1+$C$4)^(SUM($F$67:DY$67))</f>
        <v>0.14786064599762344</v>
      </c>
      <c r="DZ77" s="127">
        <f>$D52*(1+$C$4)^(SUM($F$67:DZ$67))</f>
        <v>0.14786064599762344</v>
      </c>
      <c r="EA77" s="127">
        <f>$D52*(1+$C$4)^(SUM($F$67:EA$67))</f>
        <v>0.14786064599762344</v>
      </c>
      <c r="EB77" s="127">
        <f>$D52*(1+$C$4)^(SUM($F$67:EB$67))</f>
        <v>0.14786064599762344</v>
      </c>
      <c r="EC77" s="127">
        <f>$D52*(1+$C$4)^(SUM($F$67:EC$67))</f>
        <v>0.14786064599762344</v>
      </c>
      <c r="ED77" s="127">
        <f>$D52*(1+$C$4)^(SUM($F$67:ED$67))</f>
        <v>0.14786064599762344</v>
      </c>
      <c r="EE77" s="127">
        <f>$D52*(1+$C$4)^(SUM($F$67:EE$67))</f>
        <v>0.14786064599762344</v>
      </c>
      <c r="EF77" s="127">
        <f>$D52*(1+$C$4)^(SUM($F$67:EF$67))</f>
        <v>0.14786064599762344</v>
      </c>
      <c r="EG77" s="127">
        <f>$D52*(1+$C$4)^(SUM($F$67:EG$67))</f>
        <v>0.14786064599762344</v>
      </c>
      <c r="EH77" s="127">
        <f>$D52*(1+$C$4)^(SUM($F$67:EH$67))</f>
        <v>0.14786064599762344</v>
      </c>
      <c r="EI77" s="127">
        <f>$D52*(1+$C$4)^(SUM($F$67:EI$67))</f>
        <v>0.14786064599762344</v>
      </c>
      <c r="EJ77" s="127">
        <f>$D52*(1+$C$4)^(SUM($F$67:EJ$67))</f>
        <v>0.14786064599762344</v>
      </c>
      <c r="EK77" s="127">
        <f>$D52*(1+$C$4)^(SUM($F$67:EK$67))</f>
        <v>0.14786064599762344</v>
      </c>
      <c r="EL77" s="127">
        <f>$D52*(1+$C$4)^(SUM($F$67:EL$67))</f>
        <v>0.14786064599762344</v>
      </c>
      <c r="EM77" s="127">
        <f>$D52*(1+$C$4)^(SUM($F$67:EM$67))</f>
        <v>0.14786064599762344</v>
      </c>
      <c r="EN77" s="127">
        <f>$D52*(1+$C$4)^(SUM($F$67:EN$67))</f>
        <v>0.14786064599762344</v>
      </c>
      <c r="EO77" s="127">
        <f>$D52*(1+$C$4)^(SUM($F$67:EO$67))</f>
        <v>0.14786064599762344</v>
      </c>
      <c r="EP77" s="127">
        <f>$D52*(1+$C$4)^(SUM($F$67:EP$67))</f>
        <v>0.14786064599762344</v>
      </c>
      <c r="EQ77" s="127">
        <f>$D52*(1+$C$4)^(SUM($F$67:EQ$67))</f>
        <v>0.14786064599762344</v>
      </c>
      <c r="ER77" s="127">
        <f>$D52*(1+$C$4)^(SUM($F$67:ER$67))</f>
        <v>0.14786064599762344</v>
      </c>
      <c r="ES77" s="127">
        <f>$D52*(1+$C$4)^(SUM($F$67:ES$67))</f>
        <v>0.14786064599762344</v>
      </c>
      <c r="ET77" s="127">
        <f>$D52*(1+$C$4)^(SUM($F$67:ET$67))</f>
        <v>0.14786064599762344</v>
      </c>
      <c r="EU77" s="127">
        <f>$D52*(1+$C$4)^(SUM($F$67:EU$67))</f>
        <v>0.14786064599762344</v>
      </c>
      <c r="EV77" s="127">
        <f>$D52*(1+$C$4)^(SUM($F$67:EV$67))</f>
        <v>0.14786064599762344</v>
      </c>
      <c r="EW77" s="127">
        <f>$D52*(1+$C$4)^(SUM($F$67:EW$67))</f>
        <v>0.14786064599762344</v>
      </c>
      <c r="EX77" s="127">
        <f>$D52*(1+$C$4)^(SUM($F$67:EX$67))</f>
        <v>0.14786064599762344</v>
      </c>
      <c r="EY77" s="127">
        <f>$D52*(1+$C$4)^(SUM($F$67:EY$67))</f>
        <v>0.14786064599762344</v>
      </c>
      <c r="EZ77" s="127">
        <f>$D52*(1+$C$4)^(SUM($F$67:EZ$67))</f>
        <v>0.14786064599762344</v>
      </c>
      <c r="FA77" s="127">
        <f>$D52*(1+$C$4)^(SUM($F$67:FA$67))</f>
        <v>0.14786064599762344</v>
      </c>
      <c r="FB77" s="127">
        <f>$D52*(1+$C$4)^(SUM($F$67:FB$67))</f>
        <v>0.14786064599762344</v>
      </c>
      <c r="FC77" s="127">
        <f>$D52*(1+$C$4)^(SUM($F$67:FC$67))</f>
        <v>0.14786064599762344</v>
      </c>
      <c r="FD77" s="127">
        <f>$D52*(1+$C$4)^(SUM($F$67:FD$67))</f>
        <v>0.14786064599762344</v>
      </c>
      <c r="FE77" s="127">
        <f>$D52*(1+$C$4)^(SUM($F$67:FE$67))</f>
        <v>0.14786064599762344</v>
      </c>
      <c r="FF77" s="127">
        <f>$D52*(1+$C$4)^(SUM($F$67:FF$67))</f>
        <v>0.14786064599762344</v>
      </c>
      <c r="FG77" s="127">
        <f>$D52*(1+$C$4)^(SUM($F$67:FG$67))</f>
        <v>0.14786064599762344</v>
      </c>
      <c r="FH77" s="127">
        <f>$D52*(1+$C$4)^(SUM($F$67:FH$67))</f>
        <v>0.14786064599762344</v>
      </c>
      <c r="FI77" s="127">
        <f>$D52*(1+$C$4)^(SUM($F$67:FI$67))</f>
        <v>0.14786064599762344</v>
      </c>
      <c r="FJ77" s="127">
        <f>$D52*(1+$C$4)^(SUM($F$67:FJ$67))</f>
        <v>0.14786064599762344</v>
      </c>
      <c r="FK77" s="127">
        <f>$D52*(1+$C$4)^(SUM($F$67:FK$67))</f>
        <v>0.14786064599762344</v>
      </c>
      <c r="FL77" s="127">
        <f>$D52*(1+$C$4)^(SUM($F$67:FL$67))</f>
        <v>0.14786064599762344</v>
      </c>
      <c r="FM77" s="127">
        <f>$D52*(1+$C$4)^(SUM($F$67:FM$67))</f>
        <v>0.14786064599762344</v>
      </c>
      <c r="FN77" s="127">
        <f>$D52*(1+$C$4)^(SUM($F$67:FN$67))</f>
        <v>0.14786064599762344</v>
      </c>
      <c r="FO77" s="127">
        <f>$D52*(1+$C$4)^(SUM($F$67:FO$67))</f>
        <v>0.14786064599762344</v>
      </c>
      <c r="FP77" s="127">
        <f>$D52*(1+$C$4)^(SUM($F$67:FP$67))</f>
        <v>0.14786064599762344</v>
      </c>
      <c r="FQ77" s="127">
        <f>$D52*(1+$C$4)^(SUM($F$67:FQ$67))</f>
        <v>0.14786064599762344</v>
      </c>
      <c r="FR77" s="127">
        <f>$D52*(1+$C$4)^(SUM($F$67:FR$67))</f>
        <v>0.14786064599762344</v>
      </c>
      <c r="FS77" s="127">
        <f>$D52*(1+$C$4)^(SUM($F$67:FS$67))</f>
        <v>0.14786064599762344</v>
      </c>
      <c r="FT77" s="127">
        <f>$D52*(1+$C$4)^(SUM($F$67:FT$67))</f>
        <v>0.14786064599762344</v>
      </c>
      <c r="FU77" s="127">
        <f>$D52*(1+$C$4)^(SUM($F$67:FU$67))</f>
        <v>0.14786064599762344</v>
      </c>
      <c r="FV77" s="127">
        <f>$D52*(1+$C$4)^(SUM($F$67:FV$67))</f>
        <v>0.14786064599762344</v>
      </c>
      <c r="FW77" s="127">
        <f>$D52*(1+$C$4)^(SUM($F$67:FW$67))</f>
        <v>0.14786064599762344</v>
      </c>
      <c r="FX77" s="127">
        <f>$D52*(1+$C$4)^(SUM($F$67:FX$67))</f>
        <v>0.14786064599762344</v>
      </c>
      <c r="FY77" s="127">
        <f>$D52*(1+$C$4)^(SUM($F$67:FY$67))</f>
        <v>0.14786064599762344</v>
      </c>
      <c r="FZ77" s="127">
        <f>$D52*(1+$C$4)^(SUM($F$67:FZ$67))</f>
        <v>0.14786064599762344</v>
      </c>
      <c r="GA77" s="127">
        <f>$D52*(1+$C$4)^(SUM($F$67:GA$67))</f>
        <v>0.14786064599762344</v>
      </c>
      <c r="GB77" s="127">
        <f>$D52*(1+$C$4)^(SUM($F$67:GB$67))</f>
        <v>0.14786064599762344</v>
      </c>
      <c r="GC77" s="127">
        <f>$D52*(1+$C$4)^(SUM($F$67:GC$67))</f>
        <v>0.14786064599762344</v>
      </c>
      <c r="GD77" s="127">
        <f>$D52*(1+$C$4)^(SUM($F$67:GD$67))</f>
        <v>0.14786064599762344</v>
      </c>
      <c r="GE77" s="127">
        <f>$D52*(1+$C$4)^(SUM($F$67:GE$67))</f>
        <v>0.14786064599762344</v>
      </c>
      <c r="GF77" s="127">
        <f>$D52*(1+$C$4)^(SUM($F$67:GF$67))</f>
        <v>0.14786064599762344</v>
      </c>
      <c r="GG77" s="127">
        <f>$D52*(1+$C$4)^(SUM($F$67:GG$67))</f>
        <v>0.14786064599762344</v>
      </c>
      <c r="GH77" s="127">
        <f>$D52*(1+$C$4)^(SUM($F$67:GH$67))</f>
        <v>0.14786064599762344</v>
      </c>
      <c r="GI77" s="127">
        <f>$D52*(1+$C$4)^(SUM($F$67:GI$67))</f>
        <v>0.14786064599762344</v>
      </c>
      <c r="GJ77" s="127">
        <f>$D52*(1+$C$4)^(SUM($F$67:GJ$67))</f>
        <v>0.14786064599762344</v>
      </c>
      <c r="GK77" s="127">
        <f>$D52*(1+$C$4)^(SUM($F$67:GK$67))</f>
        <v>0.14786064599762344</v>
      </c>
      <c r="GL77" s="127">
        <f>$D52*(1+$C$4)^(SUM($F$67:GL$67))</f>
        <v>0.14786064599762344</v>
      </c>
      <c r="GM77" s="127">
        <f>$D52*(1+$C$4)^(SUM($F$67:GM$67))</f>
        <v>0.14786064599762344</v>
      </c>
      <c r="GN77" s="127">
        <f>$D52*(1+$C$4)^(SUM($F$67:GN$67))</f>
        <v>0.14786064599762344</v>
      </c>
      <c r="GO77" s="127">
        <f>$D52*(1+$C$4)^(SUM($F$67:GO$67))</f>
        <v>0.14786064599762344</v>
      </c>
      <c r="GP77" s="127">
        <f>$D52*(1+$C$4)^(SUM($F$67:GP$67))</f>
        <v>0.14786064599762344</v>
      </c>
      <c r="GQ77" s="127">
        <f>$D52*(1+$C$4)^(SUM($F$67:GQ$67))</f>
        <v>0.14786064599762344</v>
      </c>
      <c r="GR77" s="127">
        <f>$D52*(1+$C$4)^(SUM($F$67:GR$67))</f>
        <v>0.14786064599762344</v>
      </c>
      <c r="GS77" s="127">
        <f>$D52*(1+$C$4)^(SUM($F$67:GS$67))</f>
        <v>0.14786064599762344</v>
      </c>
      <c r="GT77" s="127">
        <f>$D52*(1+$C$4)^(SUM($F$67:GT$67))</f>
        <v>0.14786064599762344</v>
      </c>
      <c r="GU77" s="127">
        <f>$D52*(1+$C$4)^(SUM($F$67:GU$67))</f>
        <v>0.14786064599762344</v>
      </c>
      <c r="GV77" s="127">
        <f>$D52*(1+$C$4)^(SUM($F$67:GV$67))</f>
        <v>0.14786064599762344</v>
      </c>
      <c r="GW77" s="127">
        <f>$D52*(1+$C$4)^(SUM($F$67:GW$67))</f>
        <v>0.14786064599762344</v>
      </c>
      <c r="GX77" s="127">
        <f>$D52*(1+$C$4)^(SUM($F$67:GX$67))</f>
        <v>0.14786064599762344</v>
      </c>
      <c r="GY77" s="127">
        <f>$D52*(1+$C$4)^(SUM($F$67:GY$67))</f>
        <v>0.14786064599762344</v>
      </c>
      <c r="GZ77" s="127">
        <f>$D52*(1+$C$4)^(SUM($F$67:GZ$67))</f>
        <v>0.14786064599762344</v>
      </c>
      <c r="HA77" s="127">
        <f>$D52*(1+$C$4)^(SUM($F$67:HA$67))</f>
        <v>0.14786064599762344</v>
      </c>
      <c r="HB77" s="127">
        <f>$D52*(1+$C$4)^(SUM($F$67:HB$67))</f>
        <v>0.14786064599762344</v>
      </c>
      <c r="HC77" s="127">
        <f>$D52*(1+$C$4)^(SUM($F$67:HC$67))</f>
        <v>0.14786064599762344</v>
      </c>
      <c r="HD77" s="127">
        <f>$D52*(1+$C$4)^(SUM($F$67:HD$67))</f>
        <v>0.14786064599762344</v>
      </c>
      <c r="HE77" s="127">
        <f>$D52*(1+$C$4)^(SUM($F$67:HE$67))</f>
        <v>0.14786064599762344</v>
      </c>
      <c r="HF77" s="127">
        <f>$D52*(1+$C$4)^(SUM($F$67:HF$67))</f>
        <v>0.14786064599762344</v>
      </c>
      <c r="HG77" s="127">
        <f>$D52*(1+$C$4)^(SUM($F$67:HG$67))</f>
        <v>0.14786064599762344</v>
      </c>
      <c r="HH77" s="127">
        <f>$D52*(1+$C$4)^(SUM($F$67:HH$67))</f>
        <v>0.14786064599762344</v>
      </c>
      <c r="HI77" s="127">
        <f>$D52*(1+$C$4)^(SUM($F$67:HI$67))</f>
        <v>0.14786064599762344</v>
      </c>
      <c r="HJ77" s="127">
        <f>$D52*(1+$C$4)^(SUM($F$67:HJ$67))</f>
        <v>0.14786064599762344</v>
      </c>
      <c r="HK77" s="127">
        <f>$D52*(1+$C$4)^(SUM($F$67:HK$67))</f>
        <v>0.14786064599762344</v>
      </c>
      <c r="HL77" s="127">
        <f>$D52*(1+$C$4)^(SUM($F$67:HL$67))</f>
        <v>0.14786064599762344</v>
      </c>
      <c r="HM77" s="127">
        <f>$D52*(1+$C$4)^(SUM($F$67:HM$67))</f>
        <v>0.14786064599762344</v>
      </c>
      <c r="HN77" s="127">
        <f>$D52*(1+$C$4)^(SUM($F$67:HN$67))</f>
        <v>0.14786064599762344</v>
      </c>
      <c r="HO77" s="127">
        <f>$D52*(1+$C$4)^(SUM($F$67:HO$67))</f>
        <v>0.14786064599762344</v>
      </c>
      <c r="HP77" s="127">
        <f>$D52*(1+$C$4)^(SUM($F$67:HP$67))</f>
        <v>0.14786064599762344</v>
      </c>
      <c r="HQ77" s="127">
        <f>$D52*(1+$C$4)^(SUM($F$67:HQ$67))</f>
        <v>0.14786064599762344</v>
      </c>
      <c r="HR77" s="127">
        <f>$D52*(1+$C$4)^(SUM($F$67:HR$67))</f>
        <v>0.14786064599762344</v>
      </c>
      <c r="HS77" s="127">
        <f>$D52*(1+$C$4)^(SUM($F$67:HS$67))</f>
        <v>0.14786064599762344</v>
      </c>
      <c r="HT77" s="127">
        <f>$D52*(1+$C$4)^(SUM($F$67:HT$67))</f>
        <v>0.14786064599762344</v>
      </c>
      <c r="HU77" s="127">
        <f>$D52*(1+$C$4)^(SUM($F$67:HU$67))</f>
        <v>0.14786064599762344</v>
      </c>
      <c r="HV77" s="127">
        <f>$D52*(1+$C$4)^(SUM($F$67:HV$67))</f>
        <v>0.14786064599762344</v>
      </c>
      <c r="HW77" s="127">
        <f>$D52*(1+$C$4)^(SUM($F$67:HW$67))</f>
        <v>0.14786064599762344</v>
      </c>
      <c r="HX77" s="127">
        <f>$D52*(1+$C$4)^(SUM($F$67:HX$67))</f>
        <v>0.14786064599762344</v>
      </c>
      <c r="HY77" s="127">
        <f>$D52*(1+$C$4)^(SUM($F$67:HY$67))</f>
        <v>0.14786064599762344</v>
      </c>
      <c r="HZ77" s="127">
        <f>$D52*(1+$C$4)^(SUM($F$67:HZ$67))</f>
        <v>0.14786064599762344</v>
      </c>
      <c r="IA77" s="127">
        <f>$D52*(1+$C$4)^(SUM($F$67:IA$67))</f>
        <v>0.14786064599762344</v>
      </c>
      <c r="IB77" s="127">
        <f>$D52*(1+$C$4)^(SUM($F$67:IB$67))</f>
        <v>0.14786064599762344</v>
      </c>
      <c r="IC77" s="127">
        <f>$D52*(1+$C$4)^(SUM($F$67:IC$67))</f>
        <v>0.14786064599762344</v>
      </c>
      <c r="ID77" s="127">
        <f>$D52*(1+$C$4)^(SUM($F$67:ID$67))</f>
        <v>0.14786064599762344</v>
      </c>
      <c r="IE77" s="127">
        <f>$D52*(1+$C$4)^(SUM($F$67:IE$67))</f>
        <v>0.14786064599762344</v>
      </c>
      <c r="IF77" s="127">
        <f>$D52*(1+$C$4)^(SUM($F$67:IF$67))</f>
        <v>0.14786064599762344</v>
      </c>
      <c r="IG77" s="127">
        <f>$D52*(1+$C$4)^(SUM($F$67:IG$67))</f>
        <v>0.14786064599762344</v>
      </c>
      <c r="IH77" s="127">
        <f>$D52*(1+$C$4)^(SUM($F$67:IH$67))</f>
        <v>0.14786064599762344</v>
      </c>
      <c r="II77" s="127">
        <f>$D52*(1+$C$4)^(SUM($F$67:II$67))</f>
        <v>0.14786064599762344</v>
      </c>
      <c r="IJ77" s="127">
        <f>$D52*(1+$C$4)^(SUM($F$67:IJ$67))</f>
        <v>0.14786064599762344</v>
      </c>
      <c r="IK77" s="127">
        <f>$D52*(1+$C$4)^(SUM($F$67:IK$67))</f>
        <v>0.14786064599762344</v>
      </c>
      <c r="IL77" s="127">
        <f>$D52*(1+$C$4)^(SUM($F$67:IL$67))</f>
        <v>0.14786064599762344</v>
      </c>
      <c r="IM77" s="127">
        <f>$D52*(1+$C$4)^(SUM($F$67:IM$67))</f>
        <v>0.14786064599762344</v>
      </c>
      <c r="IN77" s="127">
        <f>$D52*(1+$C$4)^(SUM($F$67:IN$67))</f>
        <v>0.14786064599762344</v>
      </c>
      <c r="IO77" s="127">
        <f>$D52*(1+$C$4)^(SUM($F$67:IO$67))</f>
        <v>0.14786064599762344</v>
      </c>
      <c r="IP77" s="127">
        <f>$D52*(1+$C$4)^(SUM($F$67:IP$67))</f>
        <v>0.14786064599762344</v>
      </c>
      <c r="IQ77" s="127">
        <f>$D52*(1+$C$4)^(SUM($F$67:IQ$67))</f>
        <v>0.14786064599762344</v>
      </c>
      <c r="IR77" s="127">
        <f>$D52*(1+$C$4)^(SUM($F$67:IR$67))</f>
        <v>0.14786064599762344</v>
      </c>
      <c r="IS77" s="127">
        <f>$D52*(1+$C$4)^(SUM($F$67:IS$67))</f>
        <v>0.14786064599762344</v>
      </c>
      <c r="IT77" s="127">
        <f>$D52*(1+$C$4)^(SUM($F$67:IT$67))</f>
        <v>0.14786064599762344</v>
      </c>
      <c r="IU77" s="127">
        <f>$D52*(1+$C$4)^(SUM($F$67:IU$67))</f>
        <v>0.14786064599762344</v>
      </c>
      <c r="IV77" s="127">
        <f>$D52*(1+$C$4)^(SUM($F$67:IV$67))</f>
        <v>0.14786064599762344</v>
      </c>
      <c r="IW77" s="127">
        <f>$D52*(1+$C$4)^(SUM($F$67:IW$67))</f>
        <v>0.14786064599762344</v>
      </c>
      <c r="IX77" s="127">
        <f>$D52*(1+$C$4)^(SUM($F$67:IX$67))</f>
        <v>0.14786064599762344</v>
      </c>
      <c r="IY77" s="127">
        <f>$D52*(1+$C$4)^(SUM($F$67:IY$67))</f>
        <v>0.14786064599762344</v>
      </c>
      <c r="IZ77" s="127">
        <f>$D52*(1+$C$4)^(SUM($F$67:IZ$67))</f>
        <v>0.14786064599762344</v>
      </c>
      <c r="JA77" s="127">
        <f>$D52*(1+$C$4)^(SUM($F$67:JA$67))</f>
        <v>0.14786064599762344</v>
      </c>
      <c r="JB77" s="127">
        <f>$D52*(1+$C$4)^(SUM($F$67:JB$67))</f>
        <v>0.14786064599762344</v>
      </c>
      <c r="JC77" s="127">
        <f>$D52*(1+$C$4)^(SUM($F$67:JC$67))</f>
        <v>0.14786064599762344</v>
      </c>
      <c r="JD77" s="127">
        <f>$D52*(1+$C$4)^(SUM($F$67:JD$67))</f>
        <v>0.14786064599762344</v>
      </c>
      <c r="JE77" s="127">
        <f>$D52*(1+$C$4)^(SUM($F$67:JE$67))</f>
        <v>0.14786064599762344</v>
      </c>
      <c r="JF77" s="127">
        <f>$D52*(1+$C$4)^(SUM($F$67:JF$67))</f>
        <v>0.14786064599762344</v>
      </c>
      <c r="JG77" s="127">
        <f>$D52*(1+$C$4)^(SUM($F$67:JG$67))</f>
        <v>0.14786064599762344</v>
      </c>
      <c r="JH77" s="127">
        <f>$D52*(1+$C$4)^(SUM($F$67:JH$67))</f>
        <v>0.14786064599762344</v>
      </c>
      <c r="JI77" s="127">
        <f>$D52*(1+$C$4)^(SUM($F$67:JI$67))</f>
        <v>0.14786064599762344</v>
      </c>
      <c r="JJ77" s="127">
        <f>$D52*(1+$C$4)^(SUM($F$67:JJ$67))</f>
        <v>0.14786064599762344</v>
      </c>
      <c r="JK77" s="127">
        <f>$D52*(1+$C$4)^(SUM($F$67:JK$67))</f>
        <v>0.14786064599762344</v>
      </c>
      <c r="JL77" s="127">
        <f>$D52*(1+$C$4)^(SUM($F$67:JL$67))</f>
        <v>0.14786064599762344</v>
      </c>
      <c r="JM77" s="127">
        <f>$D52*(1+$C$4)^(SUM($F$67:JM$67))</f>
        <v>0.14786064599762344</v>
      </c>
      <c r="JN77" s="127">
        <f>$D52*(1+$C$4)^(SUM($F$67:JN$67))</f>
        <v>0.14786064599762344</v>
      </c>
      <c r="JO77" s="127">
        <f>$D52*(1+$C$4)^(SUM($F$67:JO$67))</f>
        <v>0.14786064599762344</v>
      </c>
      <c r="JP77" s="127">
        <f>$D52*(1+$C$4)^(SUM($F$67:JP$67))</f>
        <v>0.14786064599762344</v>
      </c>
      <c r="JQ77" s="127">
        <f>$D52*(1+$C$4)^(SUM($F$67:JQ$67))</f>
        <v>0.14786064599762344</v>
      </c>
      <c r="JR77" s="127">
        <f>$D52*(1+$C$4)^(SUM($F$67:JR$67))</f>
        <v>0.14786064599762344</v>
      </c>
      <c r="JS77" s="127">
        <f>$D52*(1+$C$4)^(SUM($F$67:JS$67))</f>
        <v>0.14786064599762344</v>
      </c>
      <c r="JT77" s="127">
        <f>$D52*(1+$C$4)^(SUM($F$67:JT$67))</f>
        <v>0.14786064599762344</v>
      </c>
      <c r="JU77" s="127">
        <f>$D52*(1+$C$4)^(SUM($F$67:JU$67))</f>
        <v>0.14786064599762344</v>
      </c>
      <c r="JV77" s="127">
        <f>$D52*(1+$C$4)^(SUM($F$67:JV$67))</f>
        <v>0.14786064599762344</v>
      </c>
      <c r="JW77" s="127">
        <f>$D52*(1+$C$4)^(SUM($F$67:JW$67))</f>
        <v>0.14786064599762344</v>
      </c>
      <c r="JX77" s="127">
        <f>$D52*(1+$C$4)^(SUM($F$67:JX$67))</f>
        <v>0.14786064599762344</v>
      </c>
      <c r="JY77" s="127">
        <f>$D52*(1+$C$4)^(SUM($F$67:JY$67))</f>
        <v>0.14786064599762344</v>
      </c>
      <c r="JZ77" s="127">
        <f>$D52*(1+$C$4)^(SUM($F$67:JZ$67))</f>
        <v>0.14786064599762344</v>
      </c>
      <c r="KA77" s="127">
        <f>$D52*(1+$C$4)^(SUM($F$67:KA$67))</f>
        <v>0.14786064599762344</v>
      </c>
      <c r="KB77" s="127">
        <f>$D52*(1+$C$4)^(SUM($F$67:KB$67))</f>
        <v>0.14786064599762344</v>
      </c>
      <c r="KC77" s="127">
        <f>$D52*(1+$C$4)^(SUM($F$67:KC$67))</f>
        <v>0.14786064599762344</v>
      </c>
      <c r="KD77" s="127">
        <f>$D52*(1+$C$4)^(SUM($F$67:KD$67))</f>
        <v>0.14786064599762344</v>
      </c>
      <c r="KE77" s="127">
        <f>$D52*(1+$C$4)^(SUM($F$67:KE$67))</f>
        <v>0.14786064599762344</v>
      </c>
      <c r="KF77" s="127">
        <f>$D52*(1+$C$4)^(SUM($F$67:KF$67))</f>
        <v>0.14786064599762344</v>
      </c>
      <c r="KG77" s="127">
        <f>$D52*(1+$C$4)^(SUM($F$67:KG$67))</f>
        <v>0.14786064599762344</v>
      </c>
      <c r="KH77" s="127">
        <f>$D52*(1+$C$4)^(SUM($F$67:KH$67))</f>
        <v>0.14786064599762344</v>
      </c>
      <c r="KI77" s="127">
        <f>$D52*(1+$C$4)^(SUM($F$67:KI$67))</f>
        <v>0.14786064599762344</v>
      </c>
      <c r="KJ77" s="127">
        <f>$D52*(1+$C$4)^(SUM($F$67:KJ$67))</f>
        <v>0.14786064599762344</v>
      </c>
      <c r="KK77" s="127">
        <f>$D52*(1+$C$4)^(SUM($F$67:KK$67))</f>
        <v>0.14786064599762344</v>
      </c>
      <c r="KL77" s="127">
        <f>$D52*(1+$C$4)^(SUM($F$67:KL$67))</f>
        <v>0.14786064599762344</v>
      </c>
      <c r="KM77" s="127">
        <f>$D52*(1+$C$4)^(SUM($F$67:KM$67))</f>
        <v>0.14786064599762344</v>
      </c>
      <c r="KN77" s="127">
        <f>$D52*(1+$C$4)^(SUM($F$67:KN$67))</f>
        <v>0.14786064599762344</v>
      </c>
      <c r="KO77" s="127">
        <f>$D52*(1+$C$4)^(SUM($F$67:KO$67))</f>
        <v>0.14786064599762344</v>
      </c>
      <c r="KP77" s="127">
        <f>$D52*(1+$C$4)^(SUM($F$67:KP$67))</f>
        <v>0.14786064599762344</v>
      </c>
      <c r="KQ77" s="127">
        <f>$D52*(1+$C$4)^(SUM($F$67:KQ$67))</f>
        <v>0.14786064599762344</v>
      </c>
      <c r="KR77" s="127">
        <f>$D52*(1+$C$4)^(SUM($F$67:KR$67))</f>
        <v>0.14786064599762344</v>
      </c>
      <c r="KS77" s="127">
        <f>$D52*(1+$C$4)^(SUM($F$67:KS$67))</f>
        <v>0.14786064599762344</v>
      </c>
      <c r="KT77" s="127">
        <f>$D52*(1+$C$4)^(SUM($F$67:KT$67))</f>
        <v>0.14786064599762344</v>
      </c>
      <c r="KU77" s="127">
        <f>$D52*(1+$C$4)^(SUM($F$67:KU$67))</f>
        <v>0.14786064599762344</v>
      </c>
      <c r="KV77" s="127">
        <f>$D52*(1+$C$4)^(SUM($F$67:KV$67))</f>
        <v>0.14786064599762344</v>
      </c>
      <c r="KW77" s="127">
        <f>$D52*(1+$C$4)^(SUM($F$67:KW$67))</f>
        <v>0.14786064599762344</v>
      </c>
      <c r="KX77" s="127">
        <f>$D52*(1+$C$4)^(SUM($F$67:KX$67))</f>
        <v>0.14786064599762344</v>
      </c>
      <c r="KY77" s="127">
        <f>$D52*(1+$C$4)^(SUM($F$67:KY$67))</f>
        <v>0.14786064599762344</v>
      </c>
      <c r="KZ77" s="127">
        <f>$D52*(1+$C$4)^(SUM($F$67:KZ$67))</f>
        <v>0.14786064599762344</v>
      </c>
      <c r="LA77" s="127">
        <f>$D52*(1+$C$4)^(SUM($F$67:LA$67))</f>
        <v>0.14786064599762344</v>
      </c>
      <c r="LB77" s="127">
        <f>$D52*(1+$C$4)^(SUM($F$67:LB$67))</f>
        <v>0.14786064599762344</v>
      </c>
      <c r="LC77" s="127">
        <f>$D52*(1+$C$4)^(SUM($F$67:LC$67))</f>
        <v>0.14786064599762344</v>
      </c>
      <c r="LD77" s="127">
        <f>$D52*(1+$C$4)^(SUM($F$67:LD$67))</f>
        <v>0.14786064599762344</v>
      </c>
      <c r="LE77" s="127">
        <f>$D52*(1+$C$4)^(SUM($F$67:LE$67))</f>
        <v>0.14786064599762344</v>
      </c>
      <c r="LF77" s="127">
        <f>$D52*(1+$C$4)^(SUM($F$67:LF$67))</f>
        <v>0.14786064599762344</v>
      </c>
      <c r="LG77" s="127">
        <f>$D52*(1+$C$4)^(SUM($F$67:LG$67))</f>
        <v>0.14786064599762344</v>
      </c>
      <c r="LH77" s="127">
        <f>$D52*(1+$C$4)^(SUM($F$67:LH$67))</f>
        <v>0.14786064599762344</v>
      </c>
      <c r="LI77" s="127">
        <f>$D52*(1+$C$4)^(SUM($F$67:LI$67))</f>
        <v>0.14786064599762344</v>
      </c>
      <c r="LJ77" s="127">
        <f>$D52*(1+$C$4)^(SUM($F$67:LJ$67))</f>
        <v>0.14786064599762344</v>
      </c>
      <c r="LK77" s="127">
        <f>$D52*(1+$C$4)^(SUM($F$67:LK$67))</f>
        <v>0.14786064599762344</v>
      </c>
      <c r="LL77" s="127">
        <f>$D52*(1+$C$4)^(SUM($F$67:LL$67))</f>
        <v>0.14786064599762344</v>
      </c>
      <c r="LM77" s="127">
        <f>$D52*(1+$C$4)^(SUM($F$67:LM$67))</f>
        <v>0.14786064599762344</v>
      </c>
      <c r="LN77" s="127">
        <f>$D52*(1+$C$4)^(SUM($F$67:LN$67))</f>
        <v>0.14786064599762344</v>
      </c>
      <c r="LO77" s="127">
        <f>$D52*(1+$C$4)^(SUM($F$67:LO$67))</f>
        <v>0.14786064599762344</v>
      </c>
      <c r="LP77" s="127">
        <f>$D52*(1+$C$4)^(SUM($F$67:LP$67))</f>
        <v>0.14786064599762344</v>
      </c>
      <c r="LQ77" s="127">
        <f>$D52*(1+$C$4)^(SUM($F$67:LQ$67))</f>
        <v>0.14786064599762344</v>
      </c>
      <c r="LR77" s="127">
        <f>$D52*(1+$C$4)^(SUM($F$67:LR$67))</f>
        <v>0.14786064599762344</v>
      </c>
      <c r="LS77" s="127">
        <f>$D52*(1+$C$4)^(SUM($F$67:LS$67))</f>
        <v>0.14786064599762344</v>
      </c>
      <c r="LT77" s="127">
        <f>$D52*(1+$C$4)^(SUM($F$67:LT$67))</f>
        <v>0.14786064599762344</v>
      </c>
      <c r="LU77" s="127">
        <f>$D52*(1+$C$4)^(SUM($F$67:LU$67))</f>
        <v>0.14786064599762344</v>
      </c>
      <c r="LV77" s="127">
        <f>$D52*(1+$C$4)^(SUM($F$67:LV$67))</f>
        <v>0.14786064599762344</v>
      </c>
      <c r="LW77" s="127">
        <f>$D52*(1+$C$4)^(SUM($F$67:LW$67))</f>
        <v>0.14786064599762344</v>
      </c>
      <c r="LX77" s="127">
        <f>$D52*(1+$C$4)^(SUM($F$67:LX$67))</f>
        <v>0.14786064599762344</v>
      </c>
      <c r="LY77" s="127">
        <f>$D52*(1+$C$4)^(SUM($F$67:LY$67))</f>
        <v>0.14786064599762344</v>
      </c>
      <c r="LZ77" s="127">
        <f>$D52*(1+$C$4)^(SUM($F$67:LZ$67))</f>
        <v>0.14786064599762344</v>
      </c>
      <c r="MA77" s="127">
        <f>$D52*(1+$C$4)^(SUM($F$67:MA$67))</f>
        <v>0.14786064599762344</v>
      </c>
      <c r="MB77" s="127">
        <f>$D52*(1+$C$4)^(SUM($F$67:MB$67))</f>
        <v>0.14786064599762344</v>
      </c>
      <c r="MC77" s="127">
        <f>$D52*(1+$C$4)^(SUM($F$67:MC$67))</f>
        <v>0.14786064599762344</v>
      </c>
      <c r="MD77" s="127">
        <f>$D52*(1+$C$4)^(SUM($F$67:MD$67))</f>
        <v>0.14786064599762344</v>
      </c>
      <c r="ME77" s="127">
        <f>$D52*(1+$C$4)^(SUM($F$67:ME$67))</f>
        <v>0.14786064599762344</v>
      </c>
      <c r="MF77" s="127">
        <f>$D52*(1+$C$4)^(SUM($F$67:MF$67))</f>
        <v>0.14786064599762344</v>
      </c>
      <c r="MG77" s="127">
        <f>$D52*(1+$C$4)^(SUM($F$67:MG$67))</f>
        <v>0.14786064599762344</v>
      </c>
      <c r="MH77" s="127">
        <f>$D52*(1+$C$4)^(SUM($F$67:MH$67))</f>
        <v>0.14786064599762344</v>
      </c>
      <c r="MI77" s="127">
        <f>$D52*(1+$C$4)^(SUM($F$67:MI$67))</f>
        <v>0.14786064599762344</v>
      </c>
      <c r="MJ77" s="127">
        <f>$D52*(1+$C$4)^(SUM($F$67:MJ$67))</f>
        <v>0.14786064599762344</v>
      </c>
      <c r="MK77" s="127">
        <f>$D52*(1+$C$4)^(SUM($F$67:MK$67))</f>
        <v>0.14786064599762344</v>
      </c>
      <c r="ML77" s="127">
        <f>$D52*(1+$C$4)^(SUM($F$67:ML$67))</f>
        <v>0.14786064599762344</v>
      </c>
      <c r="MM77" s="127">
        <f>$D52*(1+$C$4)^(SUM($F$67:MM$67))</f>
        <v>0.14786064599762344</v>
      </c>
      <c r="MN77" s="127">
        <f>$D52*(1+$C$4)^(SUM($F$67:MN$67))</f>
        <v>0.14786064599762344</v>
      </c>
      <c r="MO77" s="127">
        <f>$D52*(1+$C$4)^(SUM($F$67:MO$67))</f>
        <v>0.14786064599762344</v>
      </c>
      <c r="MP77" s="127">
        <f>$D52*(1+$C$4)^(SUM($F$67:MP$67))</f>
        <v>0.14786064599762344</v>
      </c>
      <c r="MQ77" s="127">
        <f>$D52*(1+$C$4)^(SUM($F$67:MQ$67))</f>
        <v>0.14786064599762344</v>
      </c>
      <c r="MR77" s="127">
        <f>$D52*(1+$C$4)^(SUM($F$67:MR$67))</f>
        <v>0.14786064599762344</v>
      </c>
      <c r="MS77" s="127">
        <f>$D52*(1+$C$4)^(SUM($F$67:MS$67))</f>
        <v>0.14786064599762344</v>
      </c>
      <c r="MT77" s="127">
        <f>$D52*(1+$C$4)^(SUM($F$67:MT$67))</f>
        <v>0.14786064599762344</v>
      </c>
      <c r="MU77" s="127">
        <f>$D52*(1+$C$4)^(SUM($F$67:MU$67))</f>
        <v>0.14786064599762344</v>
      </c>
      <c r="MV77" s="127">
        <f>$D52*(1+$C$4)^(SUM($F$67:MV$67))</f>
        <v>0.14786064599762344</v>
      </c>
      <c r="MW77" s="127">
        <f>$D52*(1+$C$4)^(SUM($F$67:MW$67))</f>
        <v>0.14786064599762344</v>
      </c>
      <c r="MX77" s="127">
        <f>$D52*(1+$C$4)^(SUM($F$67:MX$67))</f>
        <v>0.14786064599762344</v>
      </c>
      <c r="MY77" s="127">
        <f>$D52*(1+$C$4)^(SUM($F$67:MY$67))</f>
        <v>0.14786064599762344</v>
      </c>
      <c r="MZ77" s="127">
        <f>$D52*(1+$C$4)^(SUM($F$67:MZ$67))</f>
        <v>0.14786064599762344</v>
      </c>
      <c r="NA77" s="127">
        <f>$D52*(1+$C$4)^(SUM($F$67:NA$67))</f>
        <v>0.14786064599762344</v>
      </c>
      <c r="NB77" s="127">
        <f>$D52*(1+$C$4)^(SUM($F$67:NB$67))</f>
        <v>0.14786064599762344</v>
      </c>
      <c r="NC77" s="127">
        <f>$D52*(1+$C$4)^(SUM($F$67:NC$67))</f>
        <v>0.14786064599762344</v>
      </c>
      <c r="ND77" s="127">
        <f>$D52*(1+$C$4)^(SUM($F$67:ND$67))</f>
        <v>0.14786064599762344</v>
      </c>
      <c r="NE77" s="127">
        <f>$D52*(1+$C$4)^(SUM($F$67:NE$67))</f>
        <v>0.14786064599762344</v>
      </c>
      <c r="NF77" s="127">
        <f>$D52*(1+$C$4)^(SUM($F$67:NF$67))</f>
        <v>0.14786064599762344</v>
      </c>
      <c r="NG77" s="127">
        <f>$D52*(1+$C$4)^(SUM($F$67:NG$67))</f>
        <v>0.14786064599762344</v>
      </c>
      <c r="NH77" s="127">
        <f>$D52*(1+$C$4)^(SUM($F$67:NH$67))</f>
        <v>0.14786064599762344</v>
      </c>
      <c r="NI77" s="127">
        <f>$D52*(1+$C$4)^(SUM($F$67:NI$67))</f>
        <v>0.14786064599762344</v>
      </c>
      <c r="NJ77" s="127">
        <f>$D52*(1+$C$4)^(SUM($F$67:NJ$67))</f>
        <v>0.14786064599762344</v>
      </c>
      <c r="NK77" s="127">
        <f>$D52*(1+$C$4)^(SUM($F$67:NK$67))</f>
        <v>0.14786064599762344</v>
      </c>
      <c r="NL77" s="127">
        <f>$D52*(1+$C$4)^(SUM($F$67:NL$67))</f>
        <v>0.14786064599762344</v>
      </c>
      <c r="NM77" s="127">
        <f>$D52*(1+$C$4)^(SUM($F$67:NM$67))</f>
        <v>0.14786064599762344</v>
      </c>
      <c r="NN77" s="127">
        <f>$D52*(1+$C$4)^(SUM($F$67:NN$67))</f>
        <v>0.14786064599762344</v>
      </c>
      <c r="NO77" s="127">
        <f>$D52*(1+$C$4)^(SUM($F$67:NO$67))</f>
        <v>0.14786064599762344</v>
      </c>
      <c r="NP77" s="127">
        <f>$D52*(1+$C$4)^(SUM($F$67:NP$67))</f>
        <v>0.14786064599762344</v>
      </c>
      <c r="NQ77" s="127">
        <f>$D52*(1+$C$4)^(SUM($F$67:NQ$67))</f>
        <v>0.14786064599762344</v>
      </c>
      <c r="NR77" s="127">
        <f>$D52*(1+$C$4)^(SUM($F$67:NR$67))</f>
        <v>0.14786064599762344</v>
      </c>
      <c r="NS77" s="127">
        <f>$D52*(1+$C$4)^(SUM($F$67:NS$67))</f>
        <v>0.14786064599762344</v>
      </c>
      <c r="NT77" s="127">
        <f>$D52*(1+$C$4)^(SUM($F$67:NT$67))</f>
        <v>0.14786064599762344</v>
      </c>
      <c r="NU77" s="127">
        <f>$D52*(1+$C$4)^(SUM($F$67:NU$67))</f>
        <v>0.14786064599762344</v>
      </c>
      <c r="NV77" s="127">
        <f>$D52*(1+$C$4)^(SUM($F$67:NV$67))</f>
        <v>0.14786064599762344</v>
      </c>
      <c r="NW77" s="127">
        <f>$D52*(1+$C$4)^(SUM($F$67:NW$67))</f>
        <v>0.14786064599762344</v>
      </c>
      <c r="NX77" s="127">
        <f>$D52*(1+$C$4)^(SUM($F$67:NX$67))</f>
        <v>0.14786064599762344</v>
      </c>
      <c r="NY77" s="127">
        <f>$D52*(1+$C$4)^(SUM($F$67:NY$67))</f>
        <v>0.14786064599762344</v>
      </c>
      <c r="NZ77" s="127">
        <f>$D52*(1+$C$4)^(SUM($F$67:NZ$67))</f>
        <v>0.14786064599762344</v>
      </c>
      <c r="OA77" s="127">
        <f>$D52*(1+$C$4)^(SUM($F$67:OA$67))</f>
        <v>0.14786064599762344</v>
      </c>
      <c r="OB77" s="127">
        <f>$D52*(1+$C$4)^(SUM($F$67:OB$67))</f>
        <v>0.14786064599762344</v>
      </c>
      <c r="OC77" s="127">
        <f>$D52*(1+$C$4)^(SUM($F$67:OC$67))</f>
        <v>0.14786064599762344</v>
      </c>
      <c r="OD77" s="127">
        <f>$D52*(1+$C$4)^(SUM($F$67:OD$67))</f>
        <v>0.14786064599762344</v>
      </c>
      <c r="OE77" s="127">
        <f>$D52*(1+$C$4)^(SUM($F$67:OE$67))</f>
        <v>0.14786064599762344</v>
      </c>
      <c r="OF77" s="127">
        <f>$D52*(1+$C$4)^(SUM($F$67:OF$67))</f>
        <v>0.14786064599762344</v>
      </c>
      <c r="OG77" s="127">
        <f>$D52*(1+$C$4)^(SUM($F$67:OG$67))</f>
        <v>0.14786064599762344</v>
      </c>
      <c r="OH77" s="127">
        <f>$D52*(1+$C$4)^(SUM($F$67:OH$67))</f>
        <v>0.14786064599762344</v>
      </c>
      <c r="OI77" s="127">
        <f>$D52*(1+$C$4)^(SUM($F$67:OI$67))</f>
        <v>0.14786064599762344</v>
      </c>
      <c r="OJ77" s="127">
        <f>$D52*(1+$C$4)^(SUM($F$67:OJ$67))</f>
        <v>0.14786064599762344</v>
      </c>
      <c r="OK77" s="127">
        <f>$D52*(1+$C$4)^(SUM($F$67:OK$67))</f>
        <v>0.14786064599762344</v>
      </c>
      <c r="OL77" s="127">
        <f>$D52*(1+$C$4)^(SUM($F$67:OL$67))</f>
        <v>0.14786064599762344</v>
      </c>
      <c r="OM77" s="127">
        <f>$D52*(1+$C$4)^(SUM($F$67:OM$67))</f>
        <v>0.14786064599762344</v>
      </c>
      <c r="ON77" s="127">
        <f>$D52*(1+$C$4)^(SUM($F$67:ON$67))</f>
        <v>0.14786064599762344</v>
      </c>
      <c r="OO77" s="127">
        <f>$D52*(1+$C$4)^(SUM($F$67:OO$67))</f>
        <v>0.14786064599762344</v>
      </c>
      <c r="OP77" s="127">
        <f>$D52*(1+$C$4)^(SUM($F$67:OP$67))</f>
        <v>0.14786064599762344</v>
      </c>
      <c r="OQ77" s="127">
        <f>$D52*(1+$C$4)^(SUM($F$67:OQ$67))</f>
        <v>0.14786064599762344</v>
      </c>
      <c r="OR77" s="127">
        <f>$D52*(1+$C$4)^(SUM($F$67:OR$67))</f>
        <v>0.14786064599762344</v>
      </c>
      <c r="OS77" s="127">
        <f>$D52*(1+$C$4)^(SUM($F$67:OS$67))</f>
        <v>0.14786064599762344</v>
      </c>
      <c r="OT77" s="127">
        <f>$D52*(1+$C$4)^(SUM($F$67:OT$67))</f>
        <v>0.14786064599762344</v>
      </c>
      <c r="OU77" s="127">
        <f>$D52*(1+$C$4)^(SUM($F$67:OU$67))</f>
        <v>0.14786064599762344</v>
      </c>
      <c r="OV77" s="127">
        <f>$D52*(1+$C$4)^(SUM($F$67:OV$67))</f>
        <v>0.14786064599762344</v>
      </c>
      <c r="OW77" s="127">
        <f>$D52*(1+$C$4)^(SUM($F$67:OW$67))</f>
        <v>0.14786064599762344</v>
      </c>
      <c r="OX77" s="127">
        <f>$D52*(1+$C$4)^(SUM($F$67:OX$67))</f>
        <v>0.14786064599762344</v>
      </c>
      <c r="OY77" s="127">
        <f>$D52*(1+$C$4)^(SUM($F$67:OY$67))</f>
        <v>0.14786064599762344</v>
      </c>
      <c r="OZ77" s="127">
        <f>$D52*(1+$C$4)^(SUM($F$67:OZ$67))</f>
        <v>0.14786064599762344</v>
      </c>
      <c r="PA77" s="127">
        <f>$D52*(1+$C$4)^(SUM($F$67:PA$67))</f>
        <v>0.14786064599762344</v>
      </c>
      <c r="PB77" s="127">
        <f>$D52*(1+$C$4)^(SUM($F$67:PB$67))</f>
        <v>0.14786064599762344</v>
      </c>
      <c r="PC77" s="127">
        <f>$D52*(1+$C$4)^(SUM($F$67:PC$67))</f>
        <v>0.14786064599762344</v>
      </c>
      <c r="PD77" s="127">
        <f>$D52*(1+$C$4)^(SUM($F$67:PD$67))</f>
        <v>0.14786064599762344</v>
      </c>
      <c r="PE77" s="127">
        <f>$D52*(1+$C$4)^(SUM($F$67:PE$67))</f>
        <v>0.14786064599762344</v>
      </c>
      <c r="PF77" s="127">
        <f>$D52*(1+$C$4)^(SUM($F$67:PF$67))</f>
        <v>0.14786064599762344</v>
      </c>
      <c r="PG77" s="127">
        <f>$D52*(1+$C$4)^(SUM($F$67:PG$67))</f>
        <v>0.14786064599762344</v>
      </c>
      <c r="PH77" s="127">
        <f>$D52*(1+$C$4)^(SUM($F$67:PH$67))</f>
        <v>0.14786064599762344</v>
      </c>
      <c r="PI77" s="127">
        <f>$D52*(1+$C$4)^(SUM($F$67:PI$67))</f>
        <v>0.14786064599762344</v>
      </c>
      <c r="PJ77" s="127">
        <f>$D52*(1+$C$4)^(SUM($F$67:PJ$67))</f>
        <v>0.14786064599762344</v>
      </c>
      <c r="PK77" s="127">
        <f>$D52*(1+$C$4)^(SUM($F$67:PK$67))</f>
        <v>0.14786064599762344</v>
      </c>
      <c r="PL77" s="127">
        <f>$D52*(1+$C$4)^(SUM($F$67:PL$67))</f>
        <v>0.14786064599762344</v>
      </c>
      <c r="PM77" s="127">
        <f>$D52*(1+$C$4)^(SUM($F$67:PM$67))</f>
        <v>0.14786064599762344</v>
      </c>
      <c r="PN77" s="127">
        <f>$D52*(1+$C$4)^(SUM($F$67:PN$67))</f>
        <v>0.14786064599762344</v>
      </c>
      <c r="PO77" s="127">
        <f>$D52*(1+$C$4)^(SUM($F$67:PO$67))</f>
        <v>0.14786064599762344</v>
      </c>
      <c r="PP77" s="127">
        <f>$D52*(1+$C$4)^(SUM($F$67:PP$67))</f>
        <v>0.14786064599762344</v>
      </c>
      <c r="PQ77" s="127">
        <f>$D52*(1+$C$4)^(SUM($F$67:PQ$67))</f>
        <v>0.14786064599762344</v>
      </c>
      <c r="PR77" s="127">
        <f>$D52*(1+$C$4)^(SUM($F$67:PR$67))</f>
        <v>0.14786064599762344</v>
      </c>
      <c r="PS77" s="127">
        <f>$D52*(1+$C$4)^(SUM($F$67:PS$67))</f>
        <v>0.14786064599762344</v>
      </c>
      <c r="PT77" s="127">
        <f>$D52*(1+$C$4)^(SUM($F$67:PT$67))</f>
        <v>0.14786064599762344</v>
      </c>
      <c r="PU77" s="127">
        <f>$D52*(1+$C$4)^(SUM($F$67:PU$67))</f>
        <v>0.14786064599762344</v>
      </c>
      <c r="PV77" s="127">
        <f>$D52*(1+$C$4)^(SUM($F$67:PV$67))</f>
        <v>0.14786064599762344</v>
      </c>
      <c r="PW77" s="127">
        <f>$D52*(1+$C$4)^(SUM($F$67:PW$67))</f>
        <v>0.14786064599762344</v>
      </c>
      <c r="PX77" s="127">
        <f>$D52*(1+$C$4)^(SUM($F$67:PX$67))</f>
        <v>0.14786064599762344</v>
      </c>
      <c r="PY77" s="127">
        <f>$D52*(1+$C$4)^(SUM($F$67:PY$67))</f>
        <v>0.14786064599762344</v>
      </c>
      <c r="PZ77" s="127">
        <f>$D52*(1+$C$4)^(SUM($F$67:PZ$67))</f>
        <v>0.14786064599762344</v>
      </c>
      <c r="QA77" s="127">
        <f>$D52*(1+$C$4)^(SUM($F$67:QA$67))</f>
        <v>0.14786064599762344</v>
      </c>
      <c r="QB77" s="127">
        <f>$D52*(1+$C$4)^(SUM($F$67:QB$67))</f>
        <v>0.14786064599762344</v>
      </c>
      <c r="QC77" s="127">
        <f>$D52*(1+$C$4)^(SUM($F$67:QC$67))</f>
        <v>0.14786064599762344</v>
      </c>
      <c r="QD77" s="127">
        <f>$D52*(1+$C$4)^(SUM($F$67:QD$67))</f>
        <v>0.14786064599762344</v>
      </c>
      <c r="QE77" s="127">
        <f>$D52*(1+$C$4)^(SUM($F$67:QE$67))</f>
        <v>0.14786064599762344</v>
      </c>
      <c r="QF77" s="127">
        <f>$D52*(1+$C$4)^(SUM($F$67:QF$67))</f>
        <v>0.14786064599762344</v>
      </c>
      <c r="QG77" s="127">
        <f>$D52*(1+$C$4)^(SUM($F$67:QG$67))</f>
        <v>0.14786064599762344</v>
      </c>
      <c r="QH77" s="127">
        <f>$D52*(1+$C$4)^(SUM($F$67:QH$67))</f>
        <v>0.14786064599762344</v>
      </c>
      <c r="QI77" s="127">
        <f>$D52*(1+$C$4)^(SUM($F$67:QI$67))</f>
        <v>0.14786064599762344</v>
      </c>
      <c r="QJ77" s="127">
        <f>$D52*(1+$C$4)^(SUM($F$67:QJ$67))</f>
        <v>0.14786064599762344</v>
      </c>
      <c r="QK77" s="127">
        <f>$D52*(1+$C$4)^(SUM($F$67:QK$67))</f>
        <v>0.14786064599762344</v>
      </c>
      <c r="QL77" s="127">
        <f>$D52*(1+$C$4)^(SUM($F$67:QL$67))</f>
        <v>0.14786064599762344</v>
      </c>
      <c r="QM77" s="127">
        <f>$D52*(1+$C$4)^(SUM($F$67:QM$67))</f>
        <v>0.14786064599762344</v>
      </c>
      <c r="QN77" s="127">
        <f>$D52*(1+$C$4)^(SUM($F$67:QN$67))</f>
        <v>0.14786064599762344</v>
      </c>
      <c r="QO77" s="127">
        <f>$D52*(1+$C$4)^(SUM($F$67:QO$67))</f>
        <v>0.14786064599762344</v>
      </c>
      <c r="QP77" s="127">
        <f>$D52*(1+$C$4)^(SUM($F$67:QP$67))</f>
        <v>0.14786064599762344</v>
      </c>
      <c r="QQ77" s="127">
        <f>$D52*(1+$C$4)^(SUM($F$67:QQ$67))</f>
        <v>0.14786064599762344</v>
      </c>
      <c r="QR77" s="127">
        <f>$D52*(1+$C$4)^(SUM($F$67:QR$67))</f>
        <v>0.14786064599762344</v>
      </c>
      <c r="QS77" s="127">
        <f>$D52*(1+$C$4)^(SUM($F$67:QS$67))</f>
        <v>0.14786064599762344</v>
      </c>
      <c r="QT77" s="127">
        <f>$D52*(1+$C$4)^(SUM($F$67:QT$67))</f>
        <v>0.14786064599762344</v>
      </c>
      <c r="QU77" s="127">
        <f>$D52*(1+$C$4)^(SUM($F$67:QU$67))</f>
        <v>0.14786064599762344</v>
      </c>
      <c r="QV77" s="127">
        <f>$D52*(1+$C$4)^(SUM($F$67:QV$67))</f>
        <v>0.14786064599762344</v>
      </c>
      <c r="QW77" s="127">
        <f>$D52*(1+$C$4)^(SUM($F$67:QW$67))</f>
        <v>0.14786064599762344</v>
      </c>
      <c r="QX77" s="127">
        <f>$D52*(1+$C$4)^(SUM($F$67:QX$67))</f>
        <v>0.14786064599762344</v>
      </c>
      <c r="QY77" s="127">
        <f>$D52*(1+$C$4)^(SUM($F$67:QY$67))</f>
        <v>0.14786064599762344</v>
      </c>
      <c r="QZ77" s="127">
        <f>$D52*(1+$C$4)^(SUM($F$67:QZ$67))</f>
        <v>0.14786064599762344</v>
      </c>
      <c r="RA77" s="127">
        <f>$D52*(1+$C$4)^(SUM($F$67:RA$67))</f>
        <v>0.14786064599762344</v>
      </c>
      <c r="RB77" s="127">
        <f>$D52*(1+$C$4)^(SUM($F$67:RB$67))</f>
        <v>0.14786064599762344</v>
      </c>
      <c r="RC77" s="127">
        <f>$D52*(1+$C$4)^(SUM($F$67:RC$67))</f>
        <v>0.14786064599762344</v>
      </c>
      <c r="RD77" s="127">
        <f>$D52*(1+$C$4)^(SUM($F$67:RD$67))</f>
        <v>0.14786064599762344</v>
      </c>
      <c r="RE77" s="127">
        <f>$D52*(1+$C$4)^(SUM($F$67:RE$67))</f>
        <v>0.14786064599762344</v>
      </c>
      <c r="RF77" s="127">
        <f>$D52*(1+$C$4)^(SUM($F$67:RF$67))</f>
        <v>0.14786064599762344</v>
      </c>
      <c r="RG77" s="127">
        <f>$D52*(1+$C$4)^(SUM($F$67:RG$67))</f>
        <v>0.14786064599762344</v>
      </c>
      <c r="RH77" s="127">
        <f>$D52*(1+$C$4)^(SUM($F$67:RH$67))</f>
        <v>0.14786064599762344</v>
      </c>
      <c r="RI77" s="127">
        <f>$D52*(1+$C$4)^(SUM($F$67:RI$67))</f>
        <v>0.14786064599762344</v>
      </c>
      <c r="RJ77" s="127">
        <f>$D52*(1+$C$4)^(SUM($F$67:RJ$67))</f>
        <v>0.14786064599762344</v>
      </c>
      <c r="RK77" s="127">
        <f>$D52*(1+$C$4)^(SUM($F$67:RK$67))</f>
        <v>0.14786064599762344</v>
      </c>
      <c r="RL77" s="127">
        <f>$D52*(1+$C$4)^(SUM($F$67:RL$67))</f>
        <v>0.14786064599762344</v>
      </c>
      <c r="RM77" s="127">
        <f>$D52*(1+$C$4)^(SUM($F$67:RM$67))</f>
        <v>0.14786064599762344</v>
      </c>
      <c r="RN77" s="127">
        <f>$D52*(1+$C$4)^(SUM($F$67:RN$67))</f>
        <v>0.14786064599762344</v>
      </c>
      <c r="RO77" s="127">
        <f>$D52*(1+$C$4)^(SUM($F$67:RO$67))</f>
        <v>0.14786064599762344</v>
      </c>
      <c r="RP77" s="127">
        <f>$D52*(1+$C$4)^(SUM($F$67:RP$67))</f>
        <v>0.14786064599762344</v>
      </c>
      <c r="RQ77" s="127">
        <f>$D52*(1+$C$4)^(SUM($F$67:RQ$67))</f>
        <v>0.14786064599762344</v>
      </c>
      <c r="RR77" s="127">
        <f>$D52*(1+$C$4)^(SUM($F$67:RR$67))</f>
        <v>0.14786064599762344</v>
      </c>
    </row>
    <row r="78" spans="1:486" s="9" customFormat="1">
      <c r="A78" s="289"/>
      <c r="B78" s="39" t="s">
        <v>232</v>
      </c>
      <c r="E78" s="127">
        <f t="shared" si="28"/>
        <v>0.18546233694143763</v>
      </c>
      <c r="F78" s="127">
        <f>$D53*(1+$C$4)^(SUM($F$67:F$67))</f>
        <v>0.18546233694143763</v>
      </c>
      <c r="G78" s="127">
        <f>$D53*(1+$C$4)^(SUM($F$67:G$67))</f>
        <v>0.18546233694143763</v>
      </c>
      <c r="H78" s="127">
        <f>$D53*(1+$C$4)^(SUM($F$67:H$67))</f>
        <v>0.18546233694143763</v>
      </c>
      <c r="I78" s="127">
        <f>$D53*(1+$C$4)^(SUM($F$67:I$67))</f>
        <v>0.18546233694143763</v>
      </c>
      <c r="J78" s="127">
        <f>$D53*(1+$C$4)^(SUM($F$67:J$67))</f>
        <v>0.18546233694143763</v>
      </c>
      <c r="K78" s="127">
        <f>$D53*(1+$C$4)^(SUM($F$67:K$67))</f>
        <v>0.18546233694143763</v>
      </c>
      <c r="L78" s="127">
        <f>$D53*(1+$C$4)^(SUM($F$67:L$67))</f>
        <v>0.18546233694143763</v>
      </c>
      <c r="M78" s="127">
        <f>$D53*(1+$C$4)^(SUM($F$67:M$67))</f>
        <v>0.18546233694143763</v>
      </c>
      <c r="N78" s="127">
        <f>$D53*(1+$C$4)^(SUM($F$67:N$67))</f>
        <v>0.18546233694143763</v>
      </c>
      <c r="O78" s="127">
        <f>$D53*(1+$C$4)^(SUM($F$67:O$67))</f>
        <v>0.18546233694143763</v>
      </c>
      <c r="P78" s="127">
        <f>$D53*(1+$C$4)^(SUM($F$67:P$67))</f>
        <v>0.18546233694143763</v>
      </c>
      <c r="Q78" s="127">
        <f>$D53*(1+$C$4)^(SUM($F$67:Q$67))</f>
        <v>0.18546233694143763</v>
      </c>
      <c r="R78" s="127">
        <f>$D53*(1+$C$4)^(SUM($F$67:R$67))</f>
        <v>0.18546233694143763</v>
      </c>
      <c r="S78" s="127">
        <f>$D53*(1+$C$4)^(SUM($F$67:S$67))</f>
        <v>0.18546233694143763</v>
      </c>
      <c r="T78" s="127">
        <f>$D53*(1+$C$4)^(SUM($F$67:T$67))</f>
        <v>0.18546233694143763</v>
      </c>
      <c r="U78" s="127">
        <f>$D53*(1+$C$4)^(SUM($F$67:U$67))</f>
        <v>0.18546233694143763</v>
      </c>
      <c r="V78" s="127">
        <f>$D53*(1+$C$4)^(SUM($F$67:V$67))</f>
        <v>0.18546233694143763</v>
      </c>
      <c r="W78" s="127">
        <f>$D53*(1+$C$4)^(SUM($F$67:W$67))</f>
        <v>0.18546233694143763</v>
      </c>
      <c r="X78" s="127">
        <f>$D53*(1+$C$4)^(SUM($F$67:X$67))</f>
        <v>0.18546233694143763</v>
      </c>
      <c r="Y78" s="127">
        <f>$D53*(1+$C$4)^(SUM($F$67:Y$67))</f>
        <v>0.18546233694143763</v>
      </c>
      <c r="Z78" s="127">
        <f>$D53*(1+$C$4)^(SUM($F$67:Z$67))</f>
        <v>0.18546233694143763</v>
      </c>
      <c r="AA78" s="127">
        <f>$D53*(1+$C$4)^(SUM($F$67:AA$67))</f>
        <v>0.18546233694143763</v>
      </c>
      <c r="AB78" s="127">
        <f>$D53*(1+$C$4)^(SUM($F$67:AB$67))</f>
        <v>0.18546233694143763</v>
      </c>
      <c r="AC78" s="127">
        <f>$D53*(1+$C$4)^(SUM($F$67:AC$67))</f>
        <v>0.18546233694143763</v>
      </c>
      <c r="AD78" s="127">
        <f>$D53*(1+$C$4)^(SUM($F$67:AD$67))</f>
        <v>0.18546233694143763</v>
      </c>
      <c r="AE78" s="127">
        <f>$D53*(1+$C$4)^(SUM($F$67:AE$67))</f>
        <v>0.18546233694143763</v>
      </c>
      <c r="AF78" s="127">
        <f>$D53*(1+$C$4)^(SUM($F$67:AF$67))</f>
        <v>0.18546233694143763</v>
      </c>
      <c r="AG78" s="127">
        <f>$D53*(1+$C$4)^(SUM($F$67:AG$67))</f>
        <v>0.18546233694143763</v>
      </c>
      <c r="AH78" s="127">
        <f>$D53*(1+$C$4)^(SUM($F$67:AH$67))</f>
        <v>0.18546233694143763</v>
      </c>
      <c r="AI78" s="127">
        <f>$D53*(1+$C$4)^(SUM($F$67:AI$67))</f>
        <v>0.18546233694143763</v>
      </c>
      <c r="AJ78" s="127">
        <f>$D53*(1+$C$4)^(SUM($F$67:AJ$67))</f>
        <v>0.18546233694143763</v>
      </c>
      <c r="AK78" s="127">
        <f>$D53*(1+$C$4)^(SUM($F$67:AK$67))</f>
        <v>0.18546233694143763</v>
      </c>
      <c r="AL78" s="127">
        <f>$D53*(1+$C$4)^(SUM($F$67:AL$67))</f>
        <v>0.18546233694143763</v>
      </c>
      <c r="AM78" s="127">
        <f>$D53*(1+$C$4)^(SUM($F$67:AM$67))</f>
        <v>0.18546233694143763</v>
      </c>
      <c r="AN78" s="127">
        <f>$D53*(1+$C$4)^(SUM($F$67:AN$67))</f>
        <v>0.18546233694143763</v>
      </c>
      <c r="AO78" s="127">
        <f>$D53*(1+$C$4)^(SUM($F$67:AO$67))</f>
        <v>0.18546233694143763</v>
      </c>
      <c r="AP78" s="127">
        <f>$D53*(1+$C$4)^(SUM($F$67:AP$67))</f>
        <v>0.18546233694143763</v>
      </c>
      <c r="AQ78" s="127">
        <f>$D53*(1+$C$4)^(SUM($F$67:AQ$67))</f>
        <v>0.18546233694143763</v>
      </c>
      <c r="AR78" s="127">
        <f>$D53*(1+$C$4)^(SUM($F$67:AR$67))</f>
        <v>0.18546233694143763</v>
      </c>
      <c r="AS78" s="127">
        <f>$D53*(1+$C$4)^(SUM($F$67:AS$67))</f>
        <v>0.18546233694143763</v>
      </c>
      <c r="AT78" s="127">
        <f>$D53*(1+$C$4)^(SUM($F$67:AT$67))</f>
        <v>0.18546233694143763</v>
      </c>
      <c r="AU78" s="127">
        <f>$D53*(1+$C$4)^(SUM($F$67:AU$67))</f>
        <v>0.18546233694143763</v>
      </c>
      <c r="AV78" s="127">
        <f>$D53*(1+$C$4)^(SUM($F$67:AV$67))</f>
        <v>0.18546233694143763</v>
      </c>
      <c r="AW78" s="127">
        <f>$D53*(1+$C$4)^(SUM($F$67:AW$67))</f>
        <v>0.18546233694143763</v>
      </c>
      <c r="AX78" s="127">
        <f>$D53*(1+$C$4)^(SUM($F$67:AX$67))</f>
        <v>0.18546233694143763</v>
      </c>
      <c r="AY78" s="127">
        <f>$D53*(1+$C$4)^(SUM($F$67:AY$67))</f>
        <v>0.18546233694143763</v>
      </c>
      <c r="AZ78" s="127">
        <f>$D53*(1+$C$4)^(SUM($F$67:AZ$67))</f>
        <v>0.18546233694143763</v>
      </c>
      <c r="BA78" s="127">
        <f>$D53*(1+$C$4)^(SUM($F$67:BA$67))</f>
        <v>0.18546233694143763</v>
      </c>
      <c r="BB78" s="127">
        <f>$D53*(1+$C$4)^(SUM($F$67:BB$67))</f>
        <v>0.18546233694143763</v>
      </c>
      <c r="BC78" s="127">
        <f>$D53*(1+$C$4)^(SUM($F$67:BC$67))</f>
        <v>0.18546233694143763</v>
      </c>
      <c r="BD78" s="127">
        <f>$D53*(1+$C$4)^(SUM($F$67:BD$67))</f>
        <v>0.18546233694143763</v>
      </c>
      <c r="BE78" s="127">
        <f>$D53*(1+$C$4)^(SUM($F$67:BE$67))</f>
        <v>0.18546233694143763</v>
      </c>
      <c r="BF78" s="127">
        <f>$D53*(1+$C$4)^(SUM($F$67:BF$67))</f>
        <v>0.18546233694143763</v>
      </c>
      <c r="BG78" s="127">
        <f>$D53*(1+$C$4)^(SUM($F$67:BG$67))</f>
        <v>0.18546233694143763</v>
      </c>
      <c r="BH78" s="127">
        <f>$D53*(1+$C$4)^(SUM($F$67:BH$67))</f>
        <v>0.18546233694143763</v>
      </c>
      <c r="BI78" s="127">
        <f>$D53*(1+$C$4)^(SUM($F$67:BI$67))</f>
        <v>0.18546233694143763</v>
      </c>
      <c r="BJ78" s="127">
        <f>$D53*(1+$C$4)^(SUM($F$67:BJ$67))</f>
        <v>0.18546233694143763</v>
      </c>
      <c r="BK78" s="127">
        <f>$D53*(1+$C$4)^(SUM($F$67:BK$67))</f>
        <v>0.18546233694143763</v>
      </c>
      <c r="BL78" s="127">
        <f>$D53*(1+$C$4)^(SUM($F$67:BL$67))</f>
        <v>0.18546233694143763</v>
      </c>
      <c r="BM78" s="127">
        <f>$D53*(1+$C$4)^(SUM($F$67:BM$67))</f>
        <v>0.18546233694143763</v>
      </c>
      <c r="BN78" s="127">
        <f>$D53*(1+$C$4)^(SUM($F$67:BN$67))</f>
        <v>0.18546233694143763</v>
      </c>
      <c r="BO78" s="127">
        <f>$D53*(1+$C$4)^(SUM($F$67:BO$67))</f>
        <v>0.18546233694143763</v>
      </c>
      <c r="BP78" s="127">
        <f>$D53*(1+$C$4)^(SUM($F$67:BP$67))</f>
        <v>0.18546233694143763</v>
      </c>
      <c r="BQ78" s="127">
        <f>$D53*(1+$C$4)^(SUM($F$67:BQ$67))</f>
        <v>0.18546233694143763</v>
      </c>
      <c r="BR78" s="127">
        <f>$D53*(1+$C$4)^(SUM($F$67:BR$67))</f>
        <v>0.18546233694143763</v>
      </c>
      <c r="BS78" s="127">
        <f>$D53*(1+$C$4)^(SUM($F$67:BS$67))</f>
        <v>0.18546233694143763</v>
      </c>
      <c r="BT78" s="127">
        <f>$D53*(1+$C$4)^(SUM($F$67:BT$67))</f>
        <v>0.18546233694143763</v>
      </c>
      <c r="BU78" s="127">
        <f>$D53*(1+$C$4)^(SUM($F$67:BU$67))</f>
        <v>0.18546233694143763</v>
      </c>
      <c r="BV78" s="127">
        <f>$D53*(1+$C$4)^(SUM($F$67:BV$67))</f>
        <v>0.18546233694143763</v>
      </c>
      <c r="BW78" s="127">
        <f>$D53*(1+$C$4)^(SUM($F$67:BW$67))</f>
        <v>0.18546233694143763</v>
      </c>
      <c r="BX78" s="127">
        <f>$D53*(1+$C$4)^(SUM($F$67:BX$67))</f>
        <v>0.18546233694143763</v>
      </c>
      <c r="BY78" s="127">
        <f>$D53*(1+$C$4)^(SUM($F$67:BY$67))</f>
        <v>0.18546233694143763</v>
      </c>
      <c r="BZ78" s="127">
        <f>$D53*(1+$C$4)^(SUM($F$67:BZ$67))</f>
        <v>0.18546233694143763</v>
      </c>
      <c r="CA78" s="127">
        <f>$D53*(1+$C$4)^(SUM($F$67:CA$67))</f>
        <v>0.18546233694143763</v>
      </c>
      <c r="CB78" s="127">
        <f>$D53*(1+$C$4)^(SUM($F$67:CB$67))</f>
        <v>0.18546233694143763</v>
      </c>
      <c r="CC78" s="127">
        <f>$D53*(1+$C$4)^(SUM($F$67:CC$67))</f>
        <v>0.18546233694143763</v>
      </c>
      <c r="CD78" s="127">
        <f>$D53*(1+$C$4)^(SUM($F$67:CD$67))</f>
        <v>0.18546233694143763</v>
      </c>
      <c r="CE78" s="127">
        <f>$D53*(1+$C$4)^(SUM($F$67:CE$67))</f>
        <v>0.18546233694143763</v>
      </c>
      <c r="CF78" s="127">
        <f>$D53*(1+$C$4)^(SUM($F$67:CF$67))</f>
        <v>0.18546233694143763</v>
      </c>
      <c r="CG78" s="127">
        <f>$D53*(1+$C$4)^(SUM($F$67:CG$67))</f>
        <v>0.18546233694143763</v>
      </c>
      <c r="CH78" s="127">
        <f>$D53*(1+$C$4)^(SUM($F$67:CH$67))</f>
        <v>0.18546233694143763</v>
      </c>
      <c r="CI78" s="127">
        <f>$D53*(1+$C$4)^(SUM($F$67:CI$67))</f>
        <v>0.18546233694143763</v>
      </c>
      <c r="CJ78" s="127">
        <f>$D53*(1+$C$4)^(SUM($F$67:CJ$67))</f>
        <v>0.18546233694143763</v>
      </c>
      <c r="CK78" s="127">
        <f>$D53*(1+$C$4)^(SUM($F$67:CK$67))</f>
        <v>0.18546233694143763</v>
      </c>
      <c r="CL78" s="127">
        <f>$D53*(1+$C$4)^(SUM($F$67:CL$67))</f>
        <v>0.18546233694143763</v>
      </c>
      <c r="CM78" s="127">
        <f>$D53*(1+$C$4)^(SUM($F$67:CM$67))</f>
        <v>0.18546233694143763</v>
      </c>
      <c r="CN78" s="127">
        <f>$D53*(1+$C$4)^(SUM($F$67:CN$67))</f>
        <v>0.18546233694143763</v>
      </c>
      <c r="CO78" s="127">
        <f>$D53*(1+$C$4)^(SUM($F$67:CO$67))</f>
        <v>0.18546233694143763</v>
      </c>
      <c r="CP78" s="127">
        <f>$D53*(1+$C$4)^(SUM($F$67:CP$67))</f>
        <v>0.18546233694143763</v>
      </c>
      <c r="CQ78" s="127">
        <f>$D53*(1+$C$4)^(SUM($F$67:CQ$67))</f>
        <v>0.18546233694143763</v>
      </c>
      <c r="CR78" s="127">
        <f>$D53*(1+$C$4)^(SUM($F$67:CR$67))</f>
        <v>0.18546233694143763</v>
      </c>
      <c r="CS78" s="127">
        <f>$D53*(1+$C$4)^(SUM($F$67:CS$67))</f>
        <v>0.18546233694143763</v>
      </c>
      <c r="CT78" s="127">
        <f>$D53*(1+$C$4)^(SUM($F$67:CT$67))</f>
        <v>0.18546233694143763</v>
      </c>
      <c r="CU78" s="127">
        <f>$D53*(1+$C$4)^(SUM($F$67:CU$67))</f>
        <v>0.18546233694143763</v>
      </c>
      <c r="CV78" s="127">
        <f>$D53*(1+$C$4)^(SUM($F$67:CV$67))</f>
        <v>0.18546233694143763</v>
      </c>
      <c r="CW78" s="127">
        <f>$D53*(1+$C$4)^(SUM($F$67:CW$67))</f>
        <v>0.18546233694143763</v>
      </c>
      <c r="CX78" s="127">
        <f>$D53*(1+$C$4)^(SUM($F$67:CX$67))</f>
        <v>0.18546233694143763</v>
      </c>
      <c r="CY78" s="127">
        <f>$D53*(1+$C$4)^(SUM($F$67:CY$67))</f>
        <v>0.18546233694143763</v>
      </c>
      <c r="CZ78" s="127">
        <f>$D53*(1+$C$4)^(SUM($F$67:CZ$67))</f>
        <v>0.18546233694143763</v>
      </c>
      <c r="DA78" s="127">
        <f>$D53*(1+$C$4)^(SUM($F$67:DA$67))</f>
        <v>0.18546233694143763</v>
      </c>
      <c r="DB78" s="127">
        <f>$D53*(1+$C$4)^(SUM($F$67:DB$67))</f>
        <v>0.18546233694143763</v>
      </c>
      <c r="DC78" s="127">
        <f>$D53*(1+$C$4)^(SUM($F$67:DC$67))</f>
        <v>0.18546233694143763</v>
      </c>
      <c r="DD78" s="127">
        <f>$D53*(1+$C$4)^(SUM($F$67:DD$67))</f>
        <v>0.18546233694143763</v>
      </c>
      <c r="DE78" s="127">
        <f>$D53*(1+$C$4)^(SUM($F$67:DE$67))</f>
        <v>0.18546233694143763</v>
      </c>
      <c r="DF78" s="127">
        <f>$D53*(1+$C$4)^(SUM($F$67:DF$67))</f>
        <v>0.18546233694143763</v>
      </c>
      <c r="DG78" s="127">
        <f>$D53*(1+$C$4)^(SUM($F$67:DG$67))</f>
        <v>0.18546233694143763</v>
      </c>
      <c r="DH78" s="127">
        <f>$D53*(1+$C$4)^(SUM($F$67:DH$67))</f>
        <v>0.18546233694143763</v>
      </c>
      <c r="DI78" s="127">
        <f>$D53*(1+$C$4)^(SUM($F$67:DI$67))</f>
        <v>0.18546233694143763</v>
      </c>
      <c r="DJ78" s="127">
        <f>$D53*(1+$C$4)^(SUM($F$67:DJ$67))</f>
        <v>0.18546233694143763</v>
      </c>
      <c r="DK78" s="127">
        <f>$D53*(1+$C$4)^(SUM($F$67:DK$67))</f>
        <v>0.18546233694143763</v>
      </c>
      <c r="DL78" s="127">
        <f>$D53*(1+$C$4)^(SUM($F$67:DL$67))</f>
        <v>0.18546233694143763</v>
      </c>
      <c r="DM78" s="127">
        <f>$D53*(1+$C$4)^(SUM($F$67:DM$67))</f>
        <v>0.18546233694143763</v>
      </c>
      <c r="DN78" s="127">
        <f>$D53*(1+$C$4)^(SUM($F$67:DN$67))</f>
        <v>0.18546233694143763</v>
      </c>
      <c r="DO78" s="127">
        <f>$D53*(1+$C$4)^(SUM($F$67:DO$67))</f>
        <v>0.18546233694143763</v>
      </c>
      <c r="DP78" s="127">
        <f>$D53*(1+$C$4)^(SUM($F$67:DP$67))</f>
        <v>0.18546233694143763</v>
      </c>
      <c r="DQ78" s="127">
        <f>$D53*(1+$C$4)^(SUM($F$67:DQ$67))</f>
        <v>0.18546233694143763</v>
      </c>
      <c r="DR78" s="127">
        <f>$D53*(1+$C$4)^(SUM($F$67:DR$67))</f>
        <v>0.18546233694143763</v>
      </c>
      <c r="DS78" s="127">
        <f>$D53*(1+$C$4)^(SUM($F$67:DS$67))</f>
        <v>0.18546233694143763</v>
      </c>
      <c r="DT78" s="127">
        <f>$D53*(1+$C$4)^(SUM($F$67:DT$67))</f>
        <v>0.18546233694143763</v>
      </c>
      <c r="DU78" s="127">
        <f>$D53*(1+$C$4)^(SUM($F$67:DU$67))</f>
        <v>0.18546233694143763</v>
      </c>
      <c r="DV78" s="127">
        <f>$D53*(1+$C$4)^(SUM($F$67:DV$67))</f>
        <v>0.18546233694143763</v>
      </c>
      <c r="DW78" s="127">
        <f>$D53*(1+$C$4)^(SUM($F$67:DW$67))</f>
        <v>0.18546233694143763</v>
      </c>
      <c r="DX78" s="127">
        <f>$D53*(1+$C$4)^(SUM($F$67:DX$67))</f>
        <v>0.18546233694143763</v>
      </c>
      <c r="DY78" s="127">
        <f>$D53*(1+$C$4)^(SUM($F$67:DY$67))</f>
        <v>0.18546233694143763</v>
      </c>
      <c r="DZ78" s="127">
        <f>$D53*(1+$C$4)^(SUM($F$67:DZ$67))</f>
        <v>0.18546233694143763</v>
      </c>
      <c r="EA78" s="127">
        <f>$D53*(1+$C$4)^(SUM($F$67:EA$67))</f>
        <v>0.18546233694143763</v>
      </c>
      <c r="EB78" s="127">
        <f>$D53*(1+$C$4)^(SUM($F$67:EB$67))</f>
        <v>0.18546233694143763</v>
      </c>
      <c r="EC78" s="127">
        <f>$D53*(1+$C$4)^(SUM($F$67:EC$67))</f>
        <v>0.18546233694143763</v>
      </c>
      <c r="ED78" s="127">
        <f>$D53*(1+$C$4)^(SUM($F$67:ED$67))</f>
        <v>0.18546233694143763</v>
      </c>
      <c r="EE78" s="127">
        <f>$D53*(1+$C$4)^(SUM($F$67:EE$67))</f>
        <v>0.18546233694143763</v>
      </c>
      <c r="EF78" s="127">
        <f>$D53*(1+$C$4)^(SUM($F$67:EF$67))</f>
        <v>0.18546233694143763</v>
      </c>
      <c r="EG78" s="127">
        <f>$D53*(1+$C$4)^(SUM($F$67:EG$67))</f>
        <v>0.18546233694143763</v>
      </c>
      <c r="EH78" s="127">
        <f>$D53*(1+$C$4)^(SUM($F$67:EH$67))</f>
        <v>0.18546233694143763</v>
      </c>
      <c r="EI78" s="127">
        <f>$D53*(1+$C$4)^(SUM($F$67:EI$67))</f>
        <v>0.18546233694143763</v>
      </c>
      <c r="EJ78" s="127">
        <f>$D53*(1+$C$4)^(SUM($F$67:EJ$67))</f>
        <v>0.18546233694143763</v>
      </c>
      <c r="EK78" s="127">
        <f>$D53*(1+$C$4)^(SUM($F$67:EK$67))</f>
        <v>0.18546233694143763</v>
      </c>
      <c r="EL78" s="127">
        <f>$D53*(1+$C$4)^(SUM($F$67:EL$67))</f>
        <v>0.18546233694143763</v>
      </c>
      <c r="EM78" s="127">
        <f>$D53*(1+$C$4)^(SUM($F$67:EM$67))</f>
        <v>0.18546233694143763</v>
      </c>
      <c r="EN78" s="127">
        <f>$D53*(1+$C$4)^(SUM($F$67:EN$67))</f>
        <v>0.18546233694143763</v>
      </c>
      <c r="EO78" s="127">
        <f>$D53*(1+$C$4)^(SUM($F$67:EO$67))</f>
        <v>0.18546233694143763</v>
      </c>
      <c r="EP78" s="127">
        <f>$D53*(1+$C$4)^(SUM($F$67:EP$67))</f>
        <v>0.18546233694143763</v>
      </c>
      <c r="EQ78" s="127">
        <f>$D53*(1+$C$4)^(SUM($F$67:EQ$67))</f>
        <v>0.18546233694143763</v>
      </c>
      <c r="ER78" s="127">
        <f>$D53*(1+$C$4)^(SUM($F$67:ER$67))</f>
        <v>0.18546233694143763</v>
      </c>
      <c r="ES78" s="127">
        <f>$D53*(1+$C$4)^(SUM($F$67:ES$67))</f>
        <v>0.18546233694143763</v>
      </c>
      <c r="ET78" s="127">
        <f>$D53*(1+$C$4)^(SUM($F$67:ET$67))</f>
        <v>0.18546233694143763</v>
      </c>
      <c r="EU78" s="127">
        <f>$D53*(1+$C$4)^(SUM($F$67:EU$67))</f>
        <v>0.18546233694143763</v>
      </c>
      <c r="EV78" s="127">
        <f>$D53*(1+$C$4)^(SUM($F$67:EV$67))</f>
        <v>0.18546233694143763</v>
      </c>
      <c r="EW78" s="127">
        <f>$D53*(1+$C$4)^(SUM($F$67:EW$67))</f>
        <v>0.18546233694143763</v>
      </c>
      <c r="EX78" s="127">
        <f>$D53*(1+$C$4)^(SUM($F$67:EX$67))</f>
        <v>0.18546233694143763</v>
      </c>
      <c r="EY78" s="127">
        <f>$D53*(1+$C$4)^(SUM($F$67:EY$67))</f>
        <v>0.18546233694143763</v>
      </c>
      <c r="EZ78" s="127">
        <f>$D53*(1+$C$4)^(SUM($F$67:EZ$67))</f>
        <v>0.18546233694143763</v>
      </c>
      <c r="FA78" s="127">
        <f>$D53*(1+$C$4)^(SUM($F$67:FA$67))</f>
        <v>0.18546233694143763</v>
      </c>
      <c r="FB78" s="127">
        <f>$D53*(1+$C$4)^(SUM($F$67:FB$67))</f>
        <v>0.18546233694143763</v>
      </c>
      <c r="FC78" s="127">
        <f>$D53*(1+$C$4)^(SUM($F$67:FC$67))</f>
        <v>0.18546233694143763</v>
      </c>
      <c r="FD78" s="127">
        <f>$D53*(1+$C$4)^(SUM($F$67:FD$67))</f>
        <v>0.18546233694143763</v>
      </c>
      <c r="FE78" s="127">
        <f>$D53*(1+$C$4)^(SUM($F$67:FE$67))</f>
        <v>0.18546233694143763</v>
      </c>
      <c r="FF78" s="127">
        <f>$D53*(1+$C$4)^(SUM($F$67:FF$67))</f>
        <v>0.18546233694143763</v>
      </c>
      <c r="FG78" s="127">
        <f>$D53*(1+$C$4)^(SUM($F$67:FG$67))</f>
        <v>0.18546233694143763</v>
      </c>
      <c r="FH78" s="127">
        <f>$D53*(1+$C$4)^(SUM($F$67:FH$67))</f>
        <v>0.18546233694143763</v>
      </c>
      <c r="FI78" s="127">
        <f>$D53*(1+$C$4)^(SUM($F$67:FI$67))</f>
        <v>0.18546233694143763</v>
      </c>
      <c r="FJ78" s="127">
        <f>$D53*(1+$C$4)^(SUM($F$67:FJ$67))</f>
        <v>0.18546233694143763</v>
      </c>
      <c r="FK78" s="127">
        <f>$D53*(1+$C$4)^(SUM($F$67:FK$67))</f>
        <v>0.18546233694143763</v>
      </c>
      <c r="FL78" s="127">
        <f>$D53*(1+$C$4)^(SUM($F$67:FL$67))</f>
        <v>0.18546233694143763</v>
      </c>
      <c r="FM78" s="127">
        <f>$D53*(1+$C$4)^(SUM($F$67:FM$67))</f>
        <v>0.18546233694143763</v>
      </c>
      <c r="FN78" s="127">
        <f>$D53*(1+$C$4)^(SUM($F$67:FN$67))</f>
        <v>0.18546233694143763</v>
      </c>
      <c r="FO78" s="127">
        <f>$D53*(1+$C$4)^(SUM($F$67:FO$67))</f>
        <v>0.18546233694143763</v>
      </c>
      <c r="FP78" s="127">
        <f>$D53*(1+$C$4)^(SUM($F$67:FP$67))</f>
        <v>0.18546233694143763</v>
      </c>
      <c r="FQ78" s="127">
        <f>$D53*(1+$C$4)^(SUM($F$67:FQ$67))</f>
        <v>0.18546233694143763</v>
      </c>
      <c r="FR78" s="127">
        <f>$D53*(1+$C$4)^(SUM($F$67:FR$67))</f>
        <v>0.18546233694143763</v>
      </c>
      <c r="FS78" s="127">
        <f>$D53*(1+$C$4)^(SUM($F$67:FS$67))</f>
        <v>0.18546233694143763</v>
      </c>
      <c r="FT78" s="127">
        <f>$D53*(1+$C$4)^(SUM($F$67:FT$67))</f>
        <v>0.18546233694143763</v>
      </c>
      <c r="FU78" s="127">
        <f>$D53*(1+$C$4)^(SUM($F$67:FU$67))</f>
        <v>0.18546233694143763</v>
      </c>
      <c r="FV78" s="127">
        <f>$D53*(1+$C$4)^(SUM($F$67:FV$67))</f>
        <v>0.18546233694143763</v>
      </c>
      <c r="FW78" s="127">
        <f>$D53*(1+$C$4)^(SUM($F$67:FW$67))</f>
        <v>0.18546233694143763</v>
      </c>
      <c r="FX78" s="127">
        <f>$D53*(1+$C$4)^(SUM($F$67:FX$67))</f>
        <v>0.18546233694143763</v>
      </c>
      <c r="FY78" s="127">
        <f>$D53*(1+$C$4)^(SUM($F$67:FY$67))</f>
        <v>0.18546233694143763</v>
      </c>
      <c r="FZ78" s="127">
        <f>$D53*(1+$C$4)^(SUM($F$67:FZ$67))</f>
        <v>0.18546233694143763</v>
      </c>
      <c r="GA78" s="127">
        <f>$D53*(1+$C$4)^(SUM($F$67:GA$67))</f>
        <v>0.18546233694143763</v>
      </c>
      <c r="GB78" s="127">
        <f>$D53*(1+$C$4)^(SUM($F$67:GB$67))</f>
        <v>0.18546233694143763</v>
      </c>
      <c r="GC78" s="127">
        <f>$D53*(1+$C$4)^(SUM($F$67:GC$67))</f>
        <v>0.18546233694143763</v>
      </c>
      <c r="GD78" s="127">
        <f>$D53*(1+$C$4)^(SUM($F$67:GD$67))</f>
        <v>0.18546233694143763</v>
      </c>
      <c r="GE78" s="127">
        <f>$D53*(1+$C$4)^(SUM($F$67:GE$67))</f>
        <v>0.18546233694143763</v>
      </c>
      <c r="GF78" s="127">
        <f>$D53*(1+$C$4)^(SUM($F$67:GF$67))</f>
        <v>0.18546233694143763</v>
      </c>
      <c r="GG78" s="127">
        <f>$D53*(1+$C$4)^(SUM($F$67:GG$67))</f>
        <v>0.18546233694143763</v>
      </c>
      <c r="GH78" s="127">
        <f>$D53*(1+$C$4)^(SUM($F$67:GH$67))</f>
        <v>0.18546233694143763</v>
      </c>
      <c r="GI78" s="127">
        <f>$D53*(1+$C$4)^(SUM($F$67:GI$67))</f>
        <v>0.18546233694143763</v>
      </c>
      <c r="GJ78" s="127">
        <f>$D53*(1+$C$4)^(SUM($F$67:GJ$67))</f>
        <v>0.18546233694143763</v>
      </c>
      <c r="GK78" s="127">
        <f>$D53*(1+$C$4)^(SUM($F$67:GK$67))</f>
        <v>0.18546233694143763</v>
      </c>
      <c r="GL78" s="127">
        <f>$D53*(1+$C$4)^(SUM($F$67:GL$67))</f>
        <v>0.18546233694143763</v>
      </c>
      <c r="GM78" s="127">
        <f>$D53*(1+$C$4)^(SUM($F$67:GM$67))</f>
        <v>0.18546233694143763</v>
      </c>
      <c r="GN78" s="127">
        <f>$D53*(1+$C$4)^(SUM($F$67:GN$67))</f>
        <v>0.18546233694143763</v>
      </c>
      <c r="GO78" s="127">
        <f>$D53*(1+$C$4)^(SUM($F$67:GO$67))</f>
        <v>0.18546233694143763</v>
      </c>
      <c r="GP78" s="127">
        <f>$D53*(1+$C$4)^(SUM($F$67:GP$67))</f>
        <v>0.18546233694143763</v>
      </c>
      <c r="GQ78" s="127">
        <f>$D53*(1+$C$4)^(SUM($F$67:GQ$67))</f>
        <v>0.18546233694143763</v>
      </c>
      <c r="GR78" s="127">
        <f>$D53*(1+$C$4)^(SUM($F$67:GR$67))</f>
        <v>0.18546233694143763</v>
      </c>
      <c r="GS78" s="127">
        <f>$D53*(1+$C$4)^(SUM($F$67:GS$67))</f>
        <v>0.18546233694143763</v>
      </c>
      <c r="GT78" s="127">
        <f>$D53*(1+$C$4)^(SUM($F$67:GT$67))</f>
        <v>0.18546233694143763</v>
      </c>
      <c r="GU78" s="127">
        <f>$D53*(1+$C$4)^(SUM($F$67:GU$67))</f>
        <v>0.18546233694143763</v>
      </c>
      <c r="GV78" s="127">
        <f>$D53*(1+$C$4)^(SUM($F$67:GV$67))</f>
        <v>0.18546233694143763</v>
      </c>
      <c r="GW78" s="127">
        <f>$D53*(1+$C$4)^(SUM($F$67:GW$67))</f>
        <v>0.18546233694143763</v>
      </c>
      <c r="GX78" s="127">
        <f>$D53*(1+$C$4)^(SUM($F$67:GX$67))</f>
        <v>0.18546233694143763</v>
      </c>
      <c r="GY78" s="127">
        <f>$D53*(1+$C$4)^(SUM($F$67:GY$67))</f>
        <v>0.18546233694143763</v>
      </c>
      <c r="GZ78" s="127">
        <f>$D53*(1+$C$4)^(SUM($F$67:GZ$67))</f>
        <v>0.18546233694143763</v>
      </c>
      <c r="HA78" s="127">
        <f>$D53*(1+$C$4)^(SUM($F$67:HA$67))</f>
        <v>0.18546233694143763</v>
      </c>
      <c r="HB78" s="127">
        <f>$D53*(1+$C$4)^(SUM($F$67:HB$67))</f>
        <v>0.18546233694143763</v>
      </c>
      <c r="HC78" s="127">
        <f>$D53*(1+$C$4)^(SUM($F$67:HC$67))</f>
        <v>0.18546233694143763</v>
      </c>
      <c r="HD78" s="127">
        <f>$D53*(1+$C$4)^(SUM($F$67:HD$67))</f>
        <v>0.18546233694143763</v>
      </c>
      <c r="HE78" s="127">
        <f>$D53*(1+$C$4)^(SUM($F$67:HE$67))</f>
        <v>0.18546233694143763</v>
      </c>
      <c r="HF78" s="127">
        <f>$D53*(1+$C$4)^(SUM($F$67:HF$67))</f>
        <v>0.18546233694143763</v>
      </c>
      <c r="HG78" s="127">
        <f>$D53*(1+$C$4)^(SUM($F$67:HG$67))</f>
        <v>0.18546233694143763</v>
      </c>
      <c r="HH78" s="127">
        <f>$D53*(1+$C$4)^(SUM($F$67:HH$67))</f>
        <v>0.18546233694143763</v>
      </c>
      <c r="HI78" s="127">
        <f>$D53*(1+$C$4)^(SUM($F$67:HI$67))</f>
        <v>0.18546233694143763</v>
      </c>
      <c r="HJ78" s="127">
        <f>$D53*(1+$C$4)^(SUM($F$67:HJ$67))</f>
        <v>0.18546233694143763</v>
      </c>
      <c r="HK78" s="127">
        <f>$D53*(1+$C$4)^(SUM($F$67:HK$67))</f>
        <v>0.18546233694143763</v>
      </c>
      <c r="HL78" s="127">
        <f>$D53*(1+$C$4)^(SUM($F$67:HL$67))</f>
        <v>0.18546233694143763</v>
      </c>
      <c r="HM78" s="127">
        <f>$D53*(1+$C$4)^(SUM($F$67:HM$67))</f>
        <v>0.18546233694143763</v>
      </c>
      <c r="HN78" s="127">
        <f>$D53*(1+$C$4)^(SUM($F$67:HN$67))</f>
        <v>0.18546233694143763</v>
      </c>
      <c r="HO78" s="127">
        <f>$D53*(1+$C$4)^(SUM($F$67:HO$67))</f>
        <v>0.18546233694143763</v>
      </c>
      <c r="HP78" s="127">
        <f>$D53*(1+$C$4)^(SUM($F$67:HP$67))</f>
        <v>0.18546233694143763</v>
      </c>
      <c r="HQ78" s="127">
        <f>$D53*(1+$C$4)^(SUM($F$67:HQ$67))</f>
        <v>0.18546233694143763</v>
      </c>
      <c r="HR78" s="127">
        <f>$D53*(1+$C$4)^(SUM($F$67:HR$67))</f>
        <v>0.18546233694143763</v>
      </c>
      <c r="HS78" s="127">
        <f>$D53*(1+$C$4)^(SUM($F$67:HS$67))</f>
        <v>0.18546233694143763</v>
      </c>
      <c r="HT78" s="127">
        <f>$D53*(1+$C$4)^(SUM($F$67:HT$67))</f>
        <v>0.18546233694143763</v>
      </c>
      <c r="HU78" s="127">
        <f>$D53*(1+$C$4)^(SUM($F$67:HU$67))</f>
        <v>0.18546233694143763</v>
      </c>
      <c r="HV78" s="127">
        <f>$D53*(1+$C$4)^(SUM($F$67:HV$67))</f>
        <v>0.18546233694143763</v>
      </c>
      <c r="HW78" s="127">
        <f>$D53*(1+$C$4)^(SUM($F$67:HW$67))</f>
        <v>0.18546233694143763</v>
      </c>
      <c r="HX78" s="127">
        <f>$D53*(1+$C$4)^(SUM($F$67:HX$67))</f>
        <v>0.18546233694143763</v>
      </c>
      <c r="HY78" s="127">
        <f>$D53*(1+$C$4)^(SUM($F$67:HY$67))</f>
        <v>0.18546233694143763</v>
      </c>
      <c r="HZ78" s="127">
        <f>$D53*(1+$C$4)^(SUM($F$67:HZ$67))</f>
        <v>0.18546233694143763</v>
      </c>
      <c r="IA78" s="127">
        <f>$D53*(1+$C$4)^(SUM($F$67:IA$67))</f>
        <v>0.18546233694143763</v>
      </c>
      <c r="IB78" s="127">
        <f>$D53*(1+$C$4)^(SUM($F$67:IB$67))</f>
        <v>0.18546233694143763</v>
      </c>
      <c r="IC78" s="127">
        <f>$D53*(1+$C$4)^(SUM($F$67:IC$67))</f>
        <v>0.18546233694143763</v>
      </c>
      <c r="ID78" s="127">
        <f>$D53*(1+$C$4)^(SUM($F$67:ID$67))</f>
        <v>0.18546233694143763</v>
      </c>
      <c r="IE78" s="127">
        <f>$D53*(1+$C$4)^(SUM($F$67:IE$67))</f>
        <v>0.18546233694143763</v>
      </c>
      <c r="IF78" s="127">
        <f>$D53*(1+$C$4)^(SUM($F$67:IF$67))</f>
        <v>0.18546233694143763</v>
      </c>
      <c r="IG78" s="127">
        <f>$D53*(1+$C$4)^(SUM($F$67:IG$67))</f>
        <v>0.18546233694143763</v>
      </c>
      <c r="IH78" s="127">
        <f>$D53*(1+$C$4)^(SUM($F$67:IH$67))</f>
        <v>0.18546233694143763</v>
      </c>
      <c r="II78" s="127">
        <f>$D53*(1+$C$4)^(SUM($F$67:II$67))</f>
        <v>0.18546233694143763</v>
      </c>
      <c r="IJ78" s="127">
        <f>$D53*(1+$C$4)^(SUM($F$67:IJ$67))</f>
        <v>0.18546233694143763</v>
      </c>
      <c r="IK78" s="127">
        <f>$D53*(1+$C$4)^(SUM($F$67:IK$67))</f>
        <v>0.18546233694143763</v>
      </c>
      <c r="IL78" s="127">
        <f>$D53*(1+$C$4)^(SUM($F$67:IL$67))</f>
        <v>0.18546233694143763</v>
      </c>
      <c r="IM78" s="127">
        <f>$D53*(1+$C$4)^(SUM($F$67:IM$67))</f>
        <v>0.18546233694143763</v>
      </c>
      <c r="IN78" s="127">
        <f>$D53*(1+$C$4)^(SUM($F$67:IN$67))</f>
        <v>0.18546233694143763</v>
      </c>
      <c r="IO78" s="127">
        <f>$D53*(1+$C$4)^(SUM($F$67:IO$67))</f>
        <v>0.18546233694143763</v>
      </c>
      <c r="IP78" s="127">
        <f>$D53*(1+$C$4)^(SUM($F$67:IP$67))</f>
        <v>0.18546233694143763</v>
      </c>
      <c r="IQ78" s="127">
        <f>$D53*(1+$C$4)^(SUM($F$67:IQ$67))</f>
        <v>0.18546233694143763</v>
      </c>
      <c r="IR78" s="127">
        <f>$D53*(1+$C$4)^(SUM($F$67:IR$67))</f>
        <v>0.18546233694143763</v>
      </c>
      <c r="IS78" s="127">
        <f>$D53*(1+$C$4)^(SUM($F$67:IS$67))</f>
        <v>0.18546233694143763</v>
      </c>
      <c r="IT78" s="127">
        <f>$D53*(1+$C$4)^(SUM($F$67:IT$67))</f>
        <v>0.18546233694143763</v>
      </c>
      <c r="IU78" s="127">
        <f>$D53*(1+$C$4)^(SUM($F$67:IU$67))</f>
        <v>0.18546233694143763</v>
      </c>
      <c r="IV78" s="127">
        <f>$D53*(1+$C$4)^(SUM($F$67:IV$67))</f>
        <v>0.18546233694143763</v>
      </c>
      <c r="IW78" s="127">
        <f>$D53*(1+$C$4)^(SUM($F$67:IW$67))</f>
        <v>0.18546233694143763</v>
      </c>
      <c r="IX78" s="127">
        <f>$D53*(1+$C$4)^(SUM($F$67:IX$67))</f>
        <v>0.18546233694143763</v>
      </c>
      <c r="IY78" s="127">
        <f>$D53*(1+$C$4)^(SUM($F$67:IY$67))</f>
        <v>0.18546233694143763</v>
      </c>
      <c r="IZ78" s="127">
        <f>$D53*(1+$C$4)^(SUM($F$67:IZ$67))</f>
        <v>0.18546233694143763</v>
      </c>
      <c r="JA78" s="127">
        <f>$D53*(1+$C$4)^(SUM($F$67:JA$67))</f>
        <v>0.18546233694143763</v>
      </c>
      <c r="JB78" s="127">
        <f>$D53*(1+$C$4)^(SUM($F$67:JB$67))</f>
        <v>0.18546233694143763</v>
      </c>
      <c r="JC78" s="127">
        <f>$D53*(1+$C$4)^(SUM($F$67:JC$67))</f>
        <v>0.18546233694143763</v>
      </c>
      <c r="JD78" s="127">
        <f>$D53*(1+$C$4)^(SUM($F$67:JD$67))</f>
        <v>0.18546233694143763</v>
      </c>
      <c r="JE78" s="127">
        <f>$D53*(1+$C$4)^(SUM($F$67:JE$67))</f>
        <v>0.18546233694143763</v>
      </c>
      <c r="JF78" s="127">
        <f>$D53*(1+$C$4)^(SUM($F$67:JF$67))</f>
        <v>0.18546233694143763</v>
      </c>
      <c r="JG78" s="127">
        <f>$D53*(1+$C$4)^(SUM($F$67:JG$67))</f>
        <v>0.18546233694143763</v>
      </c>
      <c r="JH78" s="127">
        <f>$D53*(1+$C$4)^(SUM($F$67:JH$67))</f>
        <v>0.18546233694143763</v>
      </c>
      <c r="JI78" s="127">
        <f>$D53*(1+$C$4)^(SUM($F$67:JI$67))</f>
        <v>0.18546233694143763</v>
      </c>
      <c r="JJ78" s="127">
        <f>$D53*(1+$C$4)^(SUM($F$67:JJ$67))</f>
        <v>0.18546233694143763</v>
      </c>
      <c r="JK78" s="127">
        <f>$D53*(1+$C$4)^(SUM($F$67:JK$67))</f>
        <v>0.18546233694143763</v>
      </c>
      <c r="JL78" s="127">
        <f>$D53*(1+$C$4)^(SUM($F$67:JL$67))</f>
        <v>0.18546233694143763</v>
      </c>
      <c r="JM78" s="127">
        <f>$D53*(1+$C$4)^(SUM($F$67:JM$67))</f>
        <v>0.18546233694143763</v>
      </c>
      <c r="JN78" s="127">
        <f>$D53*(1+$C$4)^(SUM($F$67:JN$67))</f>
        <v>0.18546233694143763</v>
      </c>
      <c r="JO78" s="127">
        <f>$D53*(1+$C$4)^(SUM($F$67:JO$67))</f>
        <v>0.18546233694143763</v>
      </c>
      <c r="JP78" s="127">
        <f>$D53*(1+$C$4)^(SUM($F$67:JP$67))</f>
        <v>0.18546233694143763</v>
      </c>
      <c r="JQ78" s="127">
        <f>$D53*(1+$C$4)^(SUM($F$67:JQ$67))</f>
        <v>0.18546233694143763</v>
      </c>
      <c r="JR78" s="127">
        <f>$D53*(1+$C$4)^(SUM($F$67:JR$67))</f>
        <v>0.18546233694143763</v>
      </c>
      <c r="JS78" s="127">
        <f>$D53*(1+$C$4)^(SUM($F$67:JS$67))</f>
        <v>0.18546233694143763</v>
      </c>
      <c r="JT78" s="127">
        <f>$D53*(1+$C$4)^(SUM($F$67:JT$67))</f>
        <v>0.18546233694143763</v>
      </c>
      <c r="JU78" s="127">
        <f>$D53*(1+$C$4)^(SUM($F$67:JU$67))</f>
        <v>0.18546233694143763</v>
      </c>
      <c r="JV78" s="127">
        <f>$D53*(1+$C$4)^(SUM($F$67:JV$67))</f>
        <v>0.18546233694143763</v>
      </c>
      <c r="JW78" s="127">
        <f>$D53*(1+$C$4)^(SUM($F$67:JW$67))</f>
        <v>0.18546233694143763</v>
      </c>
      <c r="JX78" s="127">
        <f>$D53*(1+$C$4)^(SUM($F$67:JX$67))</f>
        <v>0.18546233694143763</v>
      </c>
      <c r="JY78" s="127">
        <f>$D53*(1+$C$4)^(SUM($F$67:JY$67))</f>
        <v>0.18546233694143763</v>
      </c>
      <c r="JZ78" s="127">
        <f>$D53*(1+$C$4)^(SUM($F$67:JZ$67))</f>
        <v>0.18546233694143763</v>
      </c>
      <c r="KA78" s="127">
        <f>$D53*(1+$C$4)^(SUM($F$67:KA$67))</f>
        <v>0.18546233694143763</v>
      </c>
      <c r="KB78" s="127">
        <f>$D53*(1+$C$4)^(SUM($F$67:KB$67))</f>
        <v>0.18546233694143763</v>
      </c>
      <c r="KC78" s="127">
        <f>$D53*(1+$C$4)^(SUM($F$67:KC$67))</f>
        <v>0.18546233694143763</v>
      </c>
      <c r="KD78" s="127">
        <f>$D53*(1+$C$4)^(SUM($F$67:KD$67))</f>
        <v>0.18546233694143763</v>
      </c>
      <c r="KE78" s="127">
        <f>$D53*(1+$C$4)^(SUM($F$67:KE$67))</f>
        <v>0.18546233694143763</v>
      </c>
      <c r="KF78" s="127">
        <f>$D53*(1+$C$4)^(SUM($F$67:KF$67))</f>
        <v>0.18546233694143763</v>
      </c>
      <c r="KG78" s="127">
        <f>$D53*(1+$C$4)^(SUM($F$67:KG$67))</f>
        <v>0.18546233694143763</v>
      </c>
      <c r="KH78" s="127">
        <f>$D53*(1+$C$4)^(SUM($F$67:KH$67))</f>
        <v>0.18546233694143763</v>
      </c>
      <c r="KI78" s="127">
        <f>$D53*(1+$C$4)^(SUM($F$67:KI$67))</f>
        <v>0.18546233694143763</v>
      </c>
      <c r="KJ78" s="127">
        <f>$D53*(1+$C$4)^(SUM($F$67:KJ$67))</f>
        <v>0.18546233694143763</v>
      </c>
      <c r="KK78" s="127">
        <f>$D53*(1+$C$4)^(SUM($F$67:KK$67))</f>
        <v>0.18546233694143763</v>
      </c>
      <c r="KL78" s="127">
        <f>$D53*(1+$C$4)^(SUM($F$67:KL$67))</f>
        <v>0.18546233694143763</v>
      </c>
      <c r="KM78" s="127">
        <f>$D53*(1+$C$4)^(SUM($F$67:KM$67))</f>
        <v>0.18546233694143763</v>
      </c>
      <c r="KN78" s="127">
        <f>$D53*(1+$C$4)^(SUM($F$67:KN$67))</f>
        <v>0.18546233694143763</v>
      </c>
      <c r="KO78" s="127">
        <f>$D53*(1+$C$4)^(SUM($F$67:KO$67))</f>
        <v>0.18546233694143763</v>
      </c>
      <c r="KP78" s="127">
        <f>$D53*(1+$C$4)^(SUM($F$67:KP$67))</f>
        <v>0.18546233694143763</v>
      </c>
      <c r="KQ78" s="127">
        <f>$D53*(1+$C$4)^(SUM($F$67:KQ$67))</f>
        <v>0.18546233694143763</v>
      </c>
      <c r="KR78" s="127">
        <f>$D53*(1+$C$4)^(SUM($F$67:KR$67))</f>
        <v>0.18546233694143763</v>
      </c>
      <c r="KS78" s="127">
        <f>$D53*(1+$C$4)^(SUM($F$67:KS$67))</f>
        <v>0.18546233694143763</v>
      </c>
      <c r="KT78" s="127">
        <f>$D53*(1+$C$4)^(SUM($F$67:KT$67))</f>
        <v>0.18546233694143763</v>
      </c>
      <c r="KU78" s="127">
        <f>$D53*(1+$C$4)^(SUM($F$67:KU$67))</f>
        <v>0.18546233694143763</v>
      </c>
      <c r="KV78" s="127">
        <f>$D53*(1+$C$4)^(SUM($F$67:KV$67))</f>
        <v>0.18546233694143763</v>
      </c>
      <c r="KW78" s="127">
        <f>$D53*(1+$C$4)^(SUM($F$67:KW$67))</f>
        <v>0.18546233694143763</v>
      </c>
      <c r="KX78" s="127">
        <f>$D53*(1+$C$4)^(SUM($F$67:KX$67))</f>
        <v>0.18546233694143763</v>
      </c>
      <c r="KY78" s="127">
        <f>$D53*(1+$C$4)^(SUM($F$67:KY$67))</f>
        <v>0.18546233694143763</v>
      </c>
      <c r="KZ78" s="127">
        <f>$D53*(1+$C$4)^(SUM($F$67:KZ$67))</f>
        <v>0.18546233694143763</v>
      </c>
      <c r="LA78" s="127">
        <f>$D53*(1+$C$4)^(SUM($F$67:LA$67))</f>
        <v>0.18546233694143763</v>
      </c>
      <c r="LB78" s="127">
        <f>$D53*(1+$C$4)^(SUM($F$67:LB$67))</f>
        <v>0.18546233694143763</v>
      </c>
      <c r="LC78" s="127">
        <f>$D53*(1+$C$4)^(SUM($F$67:LC$67))</f>
        <v>0.18546233694143763</v>
      </c>
      <c r="LD78" s="127">
        <f>$D53*(1+$C$4)^(SUM($F$67:LD$67))</f>
        <v>0.18546233694143763</v>
      </c>
      <c r="LE78" s="127">
        <f>$D53*(1+$C$4)^(SUM($F$67:LE$67))</f>
        <v>0.18546233694143763</v>
      </c>
      <c r="LF78" s="127">
        <f>$D53*(1+$C$4)^(SUM($F$67:LF$67))</f>
        <v>0.18546233694143763</v>
      </c>
      <c r="LG78" s="127">
        <f>$D53*(1+$C$4)^(SUM($F$67:LG$67))</f>
        <v>0.18546233694143763</v>
      </c>
      <c r="LH78" s="127">
        <f>$D53*(1+$C$4)^(SUM($F$67:LH$67))</f>
        <v>0.18546233694143763</v>
      </c>
      <c r="LI78" s="127">
        <f>$D53*(1+$C$4)^(SUM($F$67:LI$67))</f>
        <v>0.18546233694143763</v>
      </c>
      <c r="LJ78" s="127">
        <f>$D53*(1+$C$4)^(SUM($F$67:LJ$67))</f>
        <v>0.18546233694143763</v>
      </c>
      <c r="LK78" s="127">
        <f>$D53*(1+$C$4)^(SUM($F$67:LK$67))</f>
        <v>0.18546233694143763</v>
      </c>
      <c r="LL78" s="127">
        <f>$D53*(1+$C$4)^(SUM($F$67:LL$67))</f>
        <v>0.18546233694143763</v>
      </c>
      <c r="LM78" s="127">
        <f>$D53*(1+$C$4)^(SUM($F$67:LM$67))</f>
        <v>0.18546233694143763</v>
      </c>
      <c r="LN78" s="127">
        <f>$D53*(1+$C$4)^(SUM($F$67:LN$67))</f>
        <v>0.18546233694143763</v>
      </c>
      <c r="LO78" s="127">
        <f>$D53*(1+$C$4)^(SUM($F$67:LO$67))</f>
        <v>0.18546233694143763</v>
      </c>
      <c r="LP78" s="127">
        <f>$D53*(1+$C$4)^(SUM($F$67:LP$67))</f>
        <v>0.18546233694143763</v>
      </c>
      <c r="LQ78" s="127">
        <f>$D53*(1+$C$4)^(SUM($F$67:LQ$67))</f>
        <v>0.18546233694143763</v>
      </c>
      <c r="LR78" s="127">
        <f>$D53*(1+$C$4)^(SUM($F$67:LR$67))</f>
        <v>0.18546233694143763</v>
      </c>
      <c r="LS78" s="127">
        <f>$D53*(1+$C$4)^(SUM($F$67:LS$67))</f>
        <v>0.18546233694143763</v>
      </c>
      <c r="LT78" s="127">
        <f>$D53*(1+$C$4)^(SUM($F$67:LT$67))</f>
        <v>0.18546233694143763</v>
      </c>
      <c r="LU78" s="127">
        <f>$D53*(1+$C$4)^(SUM($F$67:LU$67))</f>
        <v>0.18546233694143763</v>
      </c>
      <c r="LV78" s="127">
        <f>$D53*(1+$C$4)^(SUM($F$67:LV$67))</f>
        <v>0.18546233694143763</v>
      </c>
      <c r="LW78" s="127">
        <f>$D53*(1+$C$4)^(SUM($F$67:LW$67))</f>
        <v>0.18546233694143763</v>
      </c>
      <c r="LX78" s="127">
        <f>$D53*(1+$C$4)^(SUM($F$67:LX$67))</f>
        <v>0.18546233694143763</v>
      </c>
      <c r="LY78" s="127">
        <f>$D53*(1+$C$4)^(SUM($F$67:LY$67))</f>
        <v>0.18546233694143763</v>
      </c>
      <c r="LZ78" s="127">
        <f>$D53*(1+$C$4)^(SUM($F$67:LZ$67))</f>
        <v>0.18546233694143763</v>
      </c>
      <c r="MA78" s="127">
        <f>$D53*(1+$C$4)^(SUM($F$67:MA$67))</f>
        <v>0.18546233694143763</v>
      </c>
      <c r="MB78" s="127">
        <f>$D53*(1+$C$4)^(SUM($F$67:MB$67))</f>
        <v>0.18546233694143763</v>
      </c>
      <c r="MC78" s="127">
        <f>$D53*(1+$C$4)^(SUM($F$67:MC$67))</f>
        <v>0.18546233694143763</v>
      </c>
      <c r="MD78" s="127">
        <f>$D53*(1+$C$4)^(SUM($F$67:MD$67))</f>
        <v>0.18546233694143763</v>
      </c>
      <c r="ME78" s="127">
        <f>$D53*(1+$C$4)^(SUM($F$67:ME$67))</f>
        <v>0.18546233694143763</v>
      </c>
      <c r="MF78" s="127">
        <f>$D53*(1+$C$4)^(SUM($F$67:MF$67))</f>
        <v>0.18546233694143763</v>
      </c>
      <c r="MG78" s="127">
        <f>$D53*(1+$C$4)^(SUM($F$67:MG$67))</f>
        <v>0.18546233694143763</v>
      </c>
      <c r="MH78" s="127">
        <f>$D53*(1+$C$4)^(SUM($F$67:MH$67))</f>
        <v>0.18546233694143763</v>
      </c>
      <c r="MI78" s="127">
        <f>$D53*(1+$C$4)^(SUM($F$67:MI$67))</f>
        <v>0.18546233694143763</v>
      </c>
      <c r="MJ78" s="127">
        <f>$D53*(1+$C$4)^(SUM($F$67:MJ$67))</f>
        <v>0.18546233694143763</v>
      </c>
      <c r="MK78" s="127">
        <f>$D53*(1+$C$4)^(SUM($F$67:MK$67))</f>
        <v>0.18546233694143763</v>
      </c>
      <c r="ML78" s="127">
        <f>$D53*(1+$C$4)^(SUM($F$67:ML$67))</f>
        <v>0.18546233694143763</v>
      </c>
      <c r="MM78" s="127">
        <f>$D53*(1+$C$4)^(SUM($F$67:MM$67))</f>
        <v>0.18546233694143763</v>
      </c>
      <c r="MN78" s="127">
        <f>$D53*(1+$C$4)^(SUM($F$67:MN$67))</f>
        <v>0.18546233694143763</v>
      </c>
      <c r="MO78" s="127">
        <f>$D53*(1+$C$4)^(SUM($F$67:MO$67))</f>
        <v>0.18546233694143763</v>
      </c>
      <c r="MP78" s="127">
        <f>$D53*(1+$C$4)^(SUM($F$67:MP$67))</f>
        <v>0.18546233694143763</v>
      </c>
      <c r="MQ78" s="127">
        <f>$D53*(1+$C$4)^(SUM($F$67:MQ$67))</f>
        <v>0.18546233694143763</v>
      </c>
      <c r="MR78" s="127">
        <f>$D53*(1+$C$4)^(SUM($F$67:MR$67))</f>
        <v>0.18546233694143763</v>
      </c>
      <c r="MS78" s="127">
        <f>$D53*(1+$C$4)^(SUM($F$67:MS$67))</f>
        <v>0.18546233694143763</v>
      </c>
      <c r="MT78" s="127">
        <f>$D53*(1+$C$4)^(SUM($F$67:MT$67))</f>
        <v>0.18546233694143763</v>
      </c>
      <c r="MU78" s="127">
        <f>$D53*(1+$C$4)^(SUM($F$67:MU$67))</f>
        <v>0.18546233694143763</v>
      </c>
      <c r="MV78" s="127">
        <f>$D53*(1+$C$4)^(SUM($F$67:MV$67))</f>
        <v>0.18546233694143763</v>
      </c>
      <c r="MW78" s="127">
        <f>$D53*(1+$C$4)^(SUM($F$67:MW$67))</f>
        <v>0.18546233694143763</v>
      </c>
      <c r="MX78" s="127">
        <f>$D53*(1+$C$4)^(SUM($F$67:MX$67))</f>
        <v>0.18546233694143763</v>
      </c>
      <c r="MY78" s="127">
        <f>$D53*(1+$C$4)^(SUM($F$67:MY$67))</f>
        <v>0.18546233694143763</v>
      </c>
      <c r="MZ78" s="127">
        <f>$D53*(1+$C$4)^(SUM($F$67:MZ$67))</f>
        <v>0.18546233694143763</v>
      </c>
      <c r="NA78" s="127">
        <f>$D53*(1+$C$4)^(SUM($F$67:NA$67))</f>
        <v>0.18546233694143763</v>
      </c>
      <c r="NB78" s="127">
        <f>$D53*(1+$C$4)^(SUM($F$67:NB$67))</f>
        <v>0.18546233694143763</v>
      </c>
      <c r="NC78" s="127">
        <f>$D53*(1+$C$4)^(SUM($F$67:NC$67))</f>
        <v>0.18546233694143763</v>
      </c>
      <c r="ND78" s="127">
        <f>$D53*(1+$C$4)^(SUM($F$67:ND$67))</f>
        <v>0.18546233694143763</v>
      </c>
      <c r="NE78" s="127">
        <f>$D53*(1+$C$4)^(SUM($F$67:NE$67))</f>
        <v>0.18546233694143763</v>
      </c>
      <c r="NF78" s="127">
        <f>$D53*(1+$C$4)^(SUM($F$67:NF$67))</f>
        <v>0.18546233694143763</v>
      </c>
      <c r="NG78" s="127">
        <f>$D53*(1+$C$4)^(SUM($F$67:NG$67))</f>
        <v>0.18546233694143763</v>
      </c>
      <c r="NH78" s="127">
        <f>$D53*(1+$C$4)^(SUM($F$67:NH$67))</f>
        <v>0.18546233694143763</v>
      </c>
      <c r="NI78" s="127">
        <f>$D53*(1+$C$4)^(SUM($F$67:NI$67))</f>
        <v>0.18546233694143763</v>
      </c>
      <c r="NJ78" s="127">
        <f>$D53*(1+$C$4)^(SUM($F$67:NJ$67))</f>
        <v>0.18546233694143763</v>
      </c>
      <c r="NK78" s="127">
        <f>$D53*(1+$C$4)^(SUM($F$67:NK$67))</f>
        <v>0.18546233694143763</v>
      </c>
      <c r="NL78" s="127">
        <f>$D53*(1+$C$4)^(SUM($F$67:NL$67))</f>
        <v>0.18546233694143763</v>
      </c>
      <c r="NM78" s="127">
        <f>$D53*(1+$C$4)^(SUM($F$67:NM$67))</f>
        <v>0.18546233694143763</v>
      </c>
      <c r="NN78" s="127">
        <f>$D53*(1+$C$4)^(SUM($F$67:NN$67))</f>
        <v>0.18546233694143763</v>
      </c>
      <c r="NO78" s="127">
        <f>$D53*(1+$C$4)^(SUM($F$67:NO$67))</f>
        <v>0.18546233694143763</v>
      </c>
      <c r="NP78" s="127">
        <f>$D53*(1+$C$4)^(SUM($F$67:NP$67))</f>
        <v>0.18546233694143763</v>
      </c>
      <c r="NQ78" s="127">
        <f>$D53*(1+$C$4)^(SUM($F$67:NQ$67))</f>
        <v>0.18546233694143763</v>
      </c>
      <c r="NR78" s="127">
        <f>$D53*(1+$C$4)^(SUM($F$67:NR$67))</f>
        <v>0.18546233694143763</v>
      </c>
      <c r="NS78" s="127">
        <f>$D53*(1+$C$4)^(SUM($F$67:NS$67))</f>
        <v>0.18546233694143763</v>
      </c>
      <c r="NT78" s="127">
        <f>$D53*(1+$C$4)^(SUM($F$67:NT$67))</f>
        <v>0.18546233694143763</v>
      </c>
      <c r="NU78" s="127">
        <f>$D53*(1+$C$4)^(SUM($F$67:NU$67))</f>
        <v>0.18546233694143763</v>
      </c>
      <c r="NV78" s="127">
        <f>$D53*(1+$C$4)^(SUM($F$67:NV$67))</f>
        <v>0.18546233694143763</v>
      </c>
      <c r="NW78" s="127">
        <f>$D53*(1+$C$4)^(SUM($F$67:NW$67))</f>
        <v>0.18546233694143763</v>
      </c>
      <c r="NX78" s="127">
        <f>$D53*(1+$C$4)^(SUM($F$67:NX$67))</f>
        <v>0.18546233694143763</v>
      </c>
      <c r="NY78" s="127">
        <f>$D53*(1+$C$4)^(SUM($F$67:NY$67))</f>
        <v>0.18546233694143763</v>
      </c>
      <c r="NZ78" s="127">
        <f>$D53*(1+$C$4)^(SUM($F$67:NZ$67))</f>
        <v>0.18546233694143763</v>
      </c>
      <c r="OA78" s="127">
        <f>$D53*(1+$C$4)^(SUM($F$67:OA$67))</f>
        <v>0.18546233694143763</v>
      </c>
      <c r="OB78" s="127">
        <f>$D53*(1+$C$4)^(SUM($F$67:OB$67))</f>
        <v>0.18546233694143763</v>
      </c>
      <c r="OC78" s="127">
        <f>$D53*(1+$C$4)^(SUM($F$67:OC$67))</f>
        <v>0.18546233694143763</v>
      </c>
      <c r="OD78" s="127">
        <f>$D53*(1+$C$4)^(SUM($F$67:OD$67))</f>
        <v>0.18546233694143763</v>
      </c>
      <c r="OE78" s="127">
        <f>$D53*(1+$C$4)^(SUM($F$67:OE$67))</f>
        <v>0.18546233694143763</v>
      </c>
      <c r="OF78" s="127">
        <f>$D53*(1+$C$4)^(SUM($F$67:OF$67))</f>
        <v>0.18546233694143763</v>
      </c>
      <c r="OG78" s="127">
        <f>$D53*(1+$C$4)^(SUM($F$67:OG$67))</f>
        <v>0.18546233694143763</v>
      </c>
      <c r="OH78" s="127">
        <f>$D53*(1+$C$4)^(SUM($F$67:OH$67))</f>
        <v>0.18546233694143763</v>
      </c>
      <c r="OI78" s="127">
        <f>$D53*(1+$C$4)^(SUM($F$67:OI$67))</f>
        <v>0.18546233694143763</v>
      </c>
      <c r="OJ78" s="127">
        <f>$D53*(1+$C$4)^(SUM($F$67:OJ$67))</f>
        <v>0.18546233694143763</v>
      </c>
      <c r="OK78" s="127">
        <f>$D53*(1+$C$4)^(SUM($F$67:OK$67))</f>
        <v>0.18546233694143763</v>
      </c>
      <c r="OL78" s="127">
        <f>$D53*(1+$C$4)^(SUM($F$67:OL$67))</f>
        <v>0.18546233694143763</v>
      </c>
      <c r="OM78" s="127">
        <f>$D53*(1+$C$4)^(SUM($F$67:OM$67))</f>
        <v>0.18546233694143763</v>
      </c>
      <c r="ON78" s="127">
        <f>$D53*(1+$C$4)^(SUM($F$67:ON$67))</f>
        <v>0.18546233694143763</v>
      </c>
      <c r="OO78" s="127">
        <f>$D53*(1+$C$4)^(SUM($F$67:OO$67))</f>
        <v>0.18546233694143763</v>
      </c>
      <c r="OP78" s="127">
        <f>$D53*(1+$C$4)^(SUM($F$67:OP$67))</f>
        <v>0.18546233694143763</v>
      </c>
      <c r="OQ78" s="127">
        <f>$D53*(1+$C$4)^(SUM($F$67:OQ$67))</f>
        <v>0.18546233694143763</v>
      </c>
      <c r="OR78" s="127">
        <f>$D53*(1+$C$4)^(SUM($F$67:OR$67))</f>
        <v>0.18546233694143763</v>
      </c>
      <c r="OS78" s="127">
        <f>$D53*(1+$C$4)^(SUM($F$67:OS$67))</f>
        <v>0.18546233694143763</v>
      </c>
      <c r="OT78" s="127">
        <f>$D53*(1+$C$4)^(SUM($F$67:OT$67))</f>
        <v>0.18546233694143763</v>
      </c>
      <c r="OU78" s="127">
        <f>$D53*(1+$C$4)^(SUM($F$67:OU$67))</f>
        <v>0.18546233694143763</v>
      </c>
      <c r="OV78" s="127">
        <f>$D53*(1+$C$4)^(SUM($F$67:OV$67))</f>
        <v>0.18546233694143763</v>
      </c>
      <c r="OW78" s="127">
        <f>$D53*(1+$C$4)^(SUM($F$67:OW$67))</f>
        <v>0.18546233694143763</v>
      </c>
      <c r="OX78" s="127">
        <f>$D53*(1+$C$4)^(SUM($F$67:OX$67))</f>
        <v>0.18546233694143763</v>
      </c>
      <c r="OY78" s="127">
        <f>$D53*(1+$C$4)^(SUM($F$67:OY$67))</f>
        <v>0.18546233694143763</v>
      </c>
      <c r="OZ78" s="127">
        <f>$D53*(1+$C$4)^(SUM($F$67:OZ$67))</f>
        <v>0.18546233694143763</v>
      </c>
      <c r="PA78" s="127">
        <f>$D53*(1+$C$4)^(SUM($F$67:PA$67))</f>
        <v>0.18546233694143763</v>
      </c>
      <c r="PB78" s="127">
        <f>$D53*(1+$C$4)^(SUM($F$67:PB$67))</f>
        <v>0.18546233694143763</v>
      </c>
      <c r="PC78" s="127">
        <f>$D53*(1+$C$4)^(SUM($F$67:PC$67))</f>
        <v>0.18546233694143763</v>
      </c>
      <c r="PD78" s="127">
        <f>$D53*(1+$C$4)^(SUM($F$67:PD$67))</f>
        <v>0.18546233694143763</v>
      </c>
      <c r="PE78" s="127">
        <f>$D53*(1+$C$4)^(SUM($F$67:PE$67))</f>
        <v>0.18546233694143763</v>
      </c>
      <c r="PF78" s="127">
        <f>$D53*(1+$C$4)^(SUM($F$67:PF$67))</f>
        <v>0.18546233694143763</v>
      </c>
      <c r="PG78" s="127">
        <f>$D53*(1+$C$4)^(SUM($F$67:PG$67))</f>
        <v>0.18546233694143763</v>
      </c>
      <c r="PH78" s="127">
        <f>$D53*(1+$C$4)^(SUM($F$67:PH$67))</f>
        <v>0.18546233694143763</v>
      </c>
      <c r="PI78" s="127">
        <f>$D53*(1+$C$4)^(SUM($F$67:PI$67))</f>
        <v>0.18546233694143763</v>
      </c>
      <c r="PJ78" s="127">
        <f>$D53*(1+$C$4)^(SUM($F$67:PJ$67))</f>
        <v>0.18546233694143763</v>
      </c>
      <c r="PK78" s="127">
        <f>$D53*(1+$C$4)^(SUM($F$67:PK$67))</f>
        <v>0.18546233694143763</v>
      </c>
      <c r="PL78" s="127">
        <f>$D53*(1+$C$4)^(SUM($F$67:PL$67))</f>
        <v>0.18546233694143763</v>
      </c>
      <c r="PM78" s="127">
        <f>$D53*(1+$C$4)^(SUM($F$67:PM$67))</f>
        <v>0.18546233694143763</v>
      </c>
      <c r="PN78" s="127">
        <f>$D53*(1+$C$4)^(SUM($F$67:PN$67))</f>
        <v>0.18546233694143763</v>
      </c>
      <c r="PO78" s="127">
        <f>$D53*(1+$C$4)^(SUM($F$67:PO$67))</f>
        <v>0.18546233694143763</v>
      </c>
      <c r="PP78" s="127">
        <f>$D53*(1+$C$4)^(SUM($F$67:PP$67))</f>
        <v>0.18546233694143763</v>
      </c>
      <c r="PQ78" s="127">
        <f>$D53*(1+$C$4)^(SUM($F$67:PQ$67))</f>
        <v>0.18546233694143763</v>
      </c>
      <c r="PR78" s="127">
        <f>$D53*(1+$C$4)^(SUM($F$67:PR$67))</f>
        <v>0.18546233694143763</v>
      </c>
      <c r="PS78" s="127">
        <f>$D53*(1+$C$4)^(SUM($F$67:PS$67))</f>
        <v>0.18546233694143763</v>
      </c>
      <c r="PT78" s="127">
        <f>$D53*(1+$C$4)^(SUM($F$67:PT$67))</f>
        <v>0.18546233694143763</v>
      </c>
      <c r="PU78" s="127">
        <f>$D53*(1+$C$4)^(SUM($F$67:PU$67))</f>
        <v>0.18546233694143763</v>
      </c>
      <c r="PV78" s="127">
        <f>$D53*(1+$C$4)^(SUM($F$67:PV$67))</f>
        <v>0.18546233694143763</v>
      </c>
      <c r="PW78" s="127">
        <f>$D53*(1+$C$4)^(SUM($F$67:PW$67))</f>
        <v>0.18546233694143763</v>
      </c>
      <c r="PX78" s="127">
        <f>$D53*(1+$C$4)^(SUM($F$67:PX$67))</f>
        <v>0.18546233694143763</v>
      </c>
      <c r="PY78" s="127">
        <f>$D53*(1+$C$4)^(SUM($F$67:PY$67))</f>
        <v>0.18546233694143763</v>
      </c>
      <c r="PZ78" s="127">
        <f>$D53*(1+$C$4)^(SUM($F$67:PZ$67))</f>
        <v>0.18546233694143763</v>
      </c>
      <c r="QA78" s="127">
        <f>$D53*(1+$C$4)^(SUM($F$67:QA$67))</f>
        <v>0.18546233694143763</v>
      </c>
      <c r="QB78" s="127">
        <f>$D53*(1+$C$4)^(SUM($F$67:QB$67))</f>
        <v>0.18546233694143763</v>
      </c>
      <c r="QC78" s="127">
        <f>$D53*(1+$C$4)^(SUM($F$67:QC$67))</f>
        <v>0.18546233694143763</v>
      </c>
      <c r="QD78" s="127">
        <f>$D53*(1+$C$4)^(SUM($F$67:QD$67))</f>
        <v>0.18546233694143763</v>
      </c>
      <c r="QE78" s="127">
        <f>$D53*(1+$C$4)^(SUM($F$67:QE$67))</f>
        <v>0.18546233694143763</v>
      </c>
      <c r="QF78" s="127">
        <f>$D53*(1+$C$4)^(SUM($F$67:QF$67))</f>
        <v>0.18546233694143763</v>
      </c>
      <c r="QG78" s="127">
        <f>$D53*(1+$C$4)^(SUM($F$67:QG$67))</f>
        <v>0.18546233694143763</v>
      </c>
      <c r="QH78" s="127">
        <f>$D53*(1+$C$4)^(SUM($F$67:QH$67))</f>
        <v>0.18546233694143763</v>
      </c>
      <c r="QI78" s="127">
        <f>$D53*(1+$C$4)^(SUM($F$67:QI$67))</f>
        <v>0.18546233694143763</v>
      </c>
      <c r="QJ78" s="127">
        <f>$D53*(1+$C$4)^(SUM($F$67:QJ$67))</f>
        <v>0.18546233694143763</v>
      </c>
      <c r="QK78" s="127">
        <f>$D53*(1+$C$4)^(SUM($F$67:QK$67))</f>
        <v>0.18546233694143763</v>
      </c>
      <c r="QL78" s="127">
        <f>$D53*(1+$C$4)^(SUM($F$67:QL$67))</f>
        <v>0.18546233694143763</v>
      </c>
      <c r="QM78" s="127">
        <f>$D53*(1+$C$4)^(SUM($F$67:QM$67))</f>
        <v>0.18546233694143763</v>
      </c>
      <c r="QN78" s="127">
        <f>$D53*(1+$C$4)^(SUM($F$67:QN$67))</f>
        <v>0.18546233694143763</v>
      </c>
      <c r="QO78" s="127">
        <f>$D53*(1+$C$4)^(SUM($F$67:QO$67))</f>
        <v>0.18546233694143763</v>
      </c>
      <c r="QP78" s="127">
        <f>$D53*(1+$C$4)^(SUM($F$67:QP$67))</f>
        <v>0.18546233694143763</v>
      </c>
      <c r="QQ78" s="127">
        <f>$D53*(1+$C$4)^(SUM($F$67:QQ$67))</f>
        <v>0.18546233694143763</v>
      </c>
      <c r="QR78" s="127">
        <f>$D53*(1+$C$4)^(SUM($F$67:QR$67))</f>
        <v>0.18546233694143763</v>
      </c>
      <c r="QS78" s="127">
        <f>$D53*(1+$C$4)^(SUM($F$67:QS$67))</f>
        <v>0.18546233694143763</v>
      </c>
      <c r="QT78" s="127">
        <f>$D53*(1+$C$4)^(SUM($F$67:QT$67))</f>
        <v>0.18546233694143763</v>
      </c>
      <c r="QU78" s="127">
        <f>$D53*(1+$C$4)^(SUM($F$67:QU$67))</f>
        <v>0.18546233694143763</v>
      </c>
      <c r="QV78" s="127">
        <f>$D53*(1+$C$4)^(SUM($F$67:QV$67))</f>
        <v>0.18546233694143763</v>
      </c>
      <c r="QW78" s="127">
        <f>$D53*(1+$C$4)^(SUM($F$67:QW$67))</f>
        <v>0.18546233694143763</v>
      </c>
      <c r="QX78" s="127">
        <f>$D53*(1+$C$4)^(SUM($F$67:QX$67))</f>
        <v>0.18546233694143763</v>
      </c>
      <c r="QY78" s="127">
        <f>$D53*(1+$C$4)^(SUM($F$67:QY$67))</f>
        <v>0.18546233694143763</v>
      </c>
      <c r="QZ78" s="127">
        <f>$D53*(1+$C$4)^(SUM($F$67:QZ$67))</f>
        <v>0.18546233694143763</v>
      </c>
      <c r="RA78" s="127">
        <f>$D53*(1+$C$4)^(SUM($F$67:RA$67))</f>
        <v>0.18546233694143763</v>
      </c>
      <c r="RB78" s="127">
        <f>$D53*(1+$C$4)^(SUM($F$67:RB$67))</f>
        <v>0.18546233694143763</v>
      </c>
      <c r="RC78" s="127">
        <f>$D53*(1+$C$4)^(SUM($F$67:RC$67))</f>
        <v>0.18546233694143763</v>
      </c>
      <c r="RD78" s="127">
        <f>$D53*(1+$C$4)^(SUM($F$67:RD$67))</f>
        <v>0.18546233694143763</v>
      </c>
      <c r="RE78" s="127">
        <f>$D53*(1+$C$4)^(SUM($F$67:RE$67))</f>
        <v>0.18546233694143763</v>
      </c>
      <c r="RF78" s="127">
        <f>$D53*(1+$C$4)^(SUM($F$67:RF$67))</f>
        <v>0.18546233694143763</v>
      </c>
      <c r="RG78" s="127">
        <f>$D53*(1+$C$4)^(SUM($F$67:RG$67))</f>
        <v>0.18546233694143763</v>
      </c>
      <c r="RH78" s="127">
        <f>$D53*(1+$C$4)^(SUM($F$67:RH$67))</f>
        <v>0.18546233694143763</v>
      </c>
      <c r="RI78" s="127">
        <f>$D53*(1+$C$4)^(SUM($F$67:RI$67))</f>
        <v>0.18546233694143763</v>
      </c>
      <c r="RJ78" s="127">
        <f>$D53*(1+$C$4)^(SUM($F$67:RJ$67))</f>
        <v>0.18546233694143763</v>
      </c>
      <c r="RK78" s="127">
        <f>$D53*(1+$C$4)^(SUM($F$67:RK$67))</f>
        <v>0.18546233694143763</v>
      </c>
      <c r="RL78" s="127">
        <f>$D53*(1+$C$4)^(SUM($F$67:RL$67))</f>
        <v>0.18546233694143763</v>
      </c>
      <c r="RM78" s="127">
        <f>$D53*(1+$C$4)^(SUM($F$67:RM$67))</f>
        <v>0.18546233694143763</v>
      </c>
      <c r="RN78" s="127">
        <f>$D53*(1+$C$4)^(SUM($F$67:RN$67))</f>
        <v>0.18546233694143763</v>
      </c>
      <c r="RO78" s="127">
        <f>$D53*(1+$C$4)^(SUM($F$67:RO$67))</f>
        <v>0.18546233694143763</v>
      </c>
      <c r="RP78" s="127">
        <f>$D53*(1+$C$4)^(SUM($F$67:RP$67))</f>
        <v>0.18546233694143763</v>
      </c>
      <c r="RQ78" s="127">
        <f>$D53*(1+$C$4)^(SUM($F$67:RQ$67))</f>
        <v>0.18546233694143763</v>
      </c>
      <c r="RR78" s="127">
        <f>$D53*(1+$C$4)^(SUM($F$67:RR$67))</f>
        <v>0.18546233694143763</v>
      </c>
    </row>
    <row r="79" spans="1:486" s="9" customFormat="1">
      <c r="A79" s="289"/>
      <c r="B79" s="39" t="s">
        <v>233</v>
      </c>
      <c r="E79" s="127">
        <f t="shared" si="28"/>
        <v>0.18836575274670889</v>
      </c>
      <c r="F79" s="127">
        <f>$D54*(1+$C$4)^(SUM($F$67:F$67))</f>
        <v>0.18836575274670889</v>
      </c>
      <c r="G79" s="127">
        <f>$D54*(1+$C$4)^(SUM($F$67:G$67))</f>
        <v>0.18836575274670889</v>
      </c>
      <c r="H79" s="127">
        <f>$D54*(1+$C$4)^(SUM($F$67:H$67))</f>
        <v>0.18836575274670889</v>
      </c>
      <c r="I79" s="127">
        <f>$D54*(1+$C$4)^(SUM($F$67:I$67))</f>
        <v>0.18836575274670889</v>
      </c>
      <c r="J79" s="127">
        <f>$D54*(1+$C$4)^(SUM($F$67:J$67))</f>
        <v>0.18836575274670889</v>
      </c>
      <c r="K79" s="127">
        <f>$D54*(1+$C$4)^(SUM($F$67:K$67))</f>
        <v>0.18836575274670889</v>
      </c>
      <c r="L79" s="127">
        <f>$D54*(1+$C$4)^(SUM($F$67:L$67))</f>
        <v>0.18836575274670889</v>
      </c>
      <c r="M79" s="127">
        <f>$D54*(1+$C$4)^(SUM($F$67:M$67))</f>
        <v>0.18836575274670889</v>
      </c>
      <c r="N79" s="127">
        <f>$D54*(1+$C$4)^(SUM($F$67:N$67))</f>
        <v>0.18836575274670889</v>
      </c>
      <c r="O79" s="127">
        <f>$D54*(1+$C$4)^(SUM($F$67:O$67))</f>
        <v>0.18836575274670889</v>
      </c>
      <c r="P79" s="127">
        <f>$D54*(1+$C$4)^(SUM($F$67:P$67))</f>
        <v>0.18836575274670889</v>
      </c>
      <c r="Q79" s="127">
        <f>$D54*(1+$C$4)^(SUM($F$67:Q$67))</f>
        <v>0.18836575274670889</v>
      </c>
      <c r="R79" s="127">
        <f>$D54*(1+$C$4)^(SUM($F$67:R$67))</f>
        <v>0.18836575274670889</v>
      </c>
      <c r="S79" s="127">
        <f>$D54*(1+$C$4)^(SUM($F$67:S$67))</f>
        <v>0.18836575274670889</v>
      </c>
      <c r="T79" s="127">
        <f>$D54*(1+$C$4)^(SUM($F$67:T$67))</f>
        <v>0.18836575274670889</v>
      </c>
      <c r="U79" s="127">
        <f>$D54*(1+$C$4)^(SUM($F$67:U$67))</f>
        <v>0.18836575274670889</v>
      </c>
      <c r="V79" s="127">
        <f>$D54*(1+$C$4)^(SUM($F$67:V$67))</f>
        <v>0.18836575274670889</v>
      </c>
      <c r="W79" s="127">
        <f>$D54*(1+$C$4)^(SUM($F$67:W$67))</f>
        <v>0.18836575274670889</v>
      </c>
      <c r="X79" s="127">
        <f>$D54*(1+$C$4)^(SUM($F$67:X$67))</f>
        <v>0.18836575274670889</v>
      </c>
      <c r="Y79" s="127">
        <f>$D54*(1+$C$4)^(SUM($F$67:Y$67))</f>
        <v>0.18836575274670889</v>
      </c>
      <c r="Z79" s="127">
        <f>$D54*(1+$C$4)^(SUM($F$67:Z$67))</f>
        <v>0.18836575274670889</v>
      </c>
      <c r="AA79" s="127">
        <f>$D54*(1+$C$4)^(SUM($F$67:AA$67))</f>
        <v>0.18836575274670889</v>
      </c>
      <c r="AB79" s="127">
        <f>$D54*(1+$C$4)^(SUM($F$67:AB$67))</f>
        <v>0.18836575274670889</v>
      </c>
      <c r="AC79" s="127">
        <f>$D54*(1+$C$4)^(SUM($F$67:AC$67))</f>
        <v>0.18836575274670889</v>
      </c>
      <c r="AD79" s="127">
        <f>$D54*(1+$C$4)^(SUM($F$67:AD$67))</f>
        <v>0.18836575274670889</v>
      </c>
      <c r="AE79" s="127">
        <f>$D54*(1+$C$4)^(SUM($F$67:AE$67))</f>
        <v>0.18836575274670889</v>
      </c>
      <c r="AF79" s="127">
        <f>$D54*(1+$C$4)^(SUM($F$67:AF$67))</f>
        <v>0.18836575274670889</v>
      </c>
      <c r="AG79" s="127">
        <f>$D54*(1+$C$4)^(SUM($F$67:AG$67))</f>
        <v>0.18836575274670889</v>
      </c>
      <c r="AH79" s="127">
        <f>$D54*(1+$C$4)^(SUM($F$67:AH$67))</f>
        <v>0.18836575274670889</v>
      </c>
      <c r="AI79" s="127">
        <f>$D54*(1+$C$4)^(SUM($F$67:AI$67))</f>
        <v>0.18836575274670889</v>
      </c>
      <c r="AJ79" s="127">
        <f>$D54*(1+$C$4)^(SUM($F$67:AJ$67))</f>
        <v>0.18836575274670889</v>
      </c>
      <c r="AK79" s="127">
        <f>$D54*(1+$C$4)^(SUM($F$67:AK$67))</f>
        <v>0.18836575274670889</v>
      </c>
      <c r="AL79" s="127">
        <f>$D54*(1+$C$4)^(SUM($F$67:AL$67))</f>
        <v>0.18836575274670889</v>
      </c>
      <c r="AM79" s="127">
        <f>$D54*(1+$C$4)^(SUM($F$67:AM$67))</f>
        <v>0.18836575274670889</v>
      </c>
      <c r="AN79" s="127">
        <f>$D54*(1+$C$4)^(SUM($F$67:AN$67))</f>
        <v>0.18836575274670889</v>
      </c>
      <c r="AO79" s="127">
        <f>$D54*(1+$C$4)^(SUM($F$67:AO$67))</f>
        <v>0.18836575274670889</v>
      </c>
      <c r="AP79" s="127">
        <f>$D54*(1+$C$4)^(SUM($F$67:AP$67))</f>
        <v>0.18836575274670889</v>
      </c>
      <c r="AQ79" s="127">
        <f>$D54*(1+$C$4)^(SUM($F$67:AQ$67))</f>
        <v>0.18836575274670889</v>
      </c>
      <c r="AR79" s="127">
        <f>$D54*(1+$C$4)^(SUM($F$67:AR$67))</f>
        <v>0.18836575274670889</v>
      </c>
      <c r="AS79" s="127">
        <f>$D54*(1+$C$4)^(SUM($F$67:AS$67))</f>
        <v>0.18836575274670889</v>
      </c>
      <c r="AT79" s="127">
        <f>$D54*(1+$C$4)^(SUM($F$67:AT$67))</f>
        <v>0.18836575274670889</v>
      </c>
      <c r="AU79" s="127">
        <f>$D54*(1+$C$4)^(SUM($F$67:AU$67))</f>
        <v>0.18836575274670889</v>
      </c>
      <c r="AV79" s="127">
        <f>$D54*(1+$C$4)^(SUM($F$67:AV$67))</f>
        <v>0.18836575274670889</v>
      </c>
      <c r="AW79" s="127">
        <f>$D54*(1+$C$4)^(SUM($F$67:AW$67))</f>
        <v>0.18836575274670889</v>
      </c>
      <c r="AX79" s="127">
        <f>$D54*(1+$C$4)^(SUM($F$67:AX$67))</f>
        <v>0.18836575274670889</v>
      </c>
      <c r="AY79" s="127">
        <f>$D54*(1+$C$4)^(SUM($F$67:AY$67))</f>
        <v>0.18836575274670889</v>
      </c>
      <c r="AZ79" s="127">
        <f>$D54*(1+$C$4)^(SUM($F$67:AZ$67))</f>
        <v>0.18836575274670889</v>
      </c>
      <c r="BA79" s="127">
        <f>$D54*(1+$C$4)^(SUM($F$67:BA$67))</f>
        <v>0.18836575274670889</v>
      </c>
      <c r="BB79" s="127">
        <f>$D54*(1+$C$4)^(SUM($F$67:BB$67))</f>
        <v>0.18836575274670889</v>
      </c>
      <c r="BC79" s="127">
        <f>$D54*(1+$C$4)^(SUM($F$67:BC$67))</f>
        <v>0.18836575274670889</v>
      </c>
      <c r="BD79" s="127">
        <f>$D54*(1+$C$4)^(SUM($F$67:BD$67))</f>
        <v>0.18836575274670889</v>
      </c>
      <c r="BE79" s="127">
        <f>$D54*(1+$C$4)^(SUM($F$67:BE$67))</f>
        <v>0.18836575274670889</v>
      </c>
      <c r="BF79" s="127">
        <f>$D54*(1+$C$4)^(SUM($F$67:BF$67))</f>
        <v>0.18836575274670889</v>
      </c>
      <c r="BG79" s="127">
        <f>$D54*(1+$C$4)^(SUM($F$67:BG$67))</f>
        <v>0.18836575274670889</v>
      </c>
      <c r="BH79" s="127">
        <f>$D54*(1+$C$4)^(SUM($F$67:BH$67))</f>
        <v>0.18836575274670889</v>
      </c>
      <c r="BI79" s="127">
        <f>$D54*(1+$C$4)^(SUM($F$67:BI$67))</f>
        <v>0.18836575274670889</v>
      </c>
      <c r="BJ79" s="127">
        <f>$D54*(1+$C$4)^(SUM($F$67:BJ$67))</f>
        <v>0.18836575274670889</v>
      </c>
      <c r="BK79" s="127">
        <f>$D54*(1+$C$4)^(SUM($F$67:BK$67))</f>
        <v>0.18836575274670889</v>
      </c>
      <c r="BL79" s="127">
        <f>$D54*(1+$C$4)^(SUM($F$67:BL$67))</f>
        <v>0.18836575274670889</v>
      </c>
      <c r="BM79" s="127">
        <f>$D54*(1+$C$4)^(SUM($F$67:BM$67))</f>
        <v>0.18836575274670889</v>
      </c>
      <c r="BN79" s="127">
        <f>$D54*(1+$C$4)^(SUM($F$67:BN$67))</f>
        <v>0.18836575274670889</v>
      </c>
      <c r="BO79" s="127">
        <f>$D54*(1+$C$4)^(SUM($F$67:BO$67))</f>
        <v>0.18836575274670889</v>
      </c>
      <c r="BP79" s="127">
        <f>$D54*(1+$C$4)^(SUM($F$67:BP$67))</f>
        <v>0.18836575274670889</v>
      </c>
      <c r="BQ79" s="127">
        <f>$D54*(1+$C$4)^(SUM($F$67:BQ$67))</f>
        <v>0.18836575274670889</v>
      </c>
      <c r="BR79" s="127">
        <f>$D54*(1+$C$4)^(SUM($F$67:BR$67))</f>
        <v>0.18836575274670889</v>
      </c>
      <c r="BS79" s="127">
        <f>$D54*(1+$C$4)^(SUM($F$67:BS$67))</f>
        <v>0.18836575274670889</v>
      </c>
      <c r="BT79" s="127">
        <f>$D54*(1+$C$4)^(SUM($F$67:BT$67))</f>
        <v>0.18836575274670889</v>
      </c>
      <c r="BU79" s="127">
        <f>$D54*(1+$C$4)^(SUM($F$67:BU$67))</f>
        <v>0.18836575274670889</v>
      </c>
      <c r="BV79" s="127">
        <f>$D54*(1+$C$4)^(SUM($F$67:BV$67))</f>
        <v>0.18836575274670889</v>
      </c>
      <c r="BW79" s="127">
        <f>$D54*(1+$C$4)^(SUM($F$67:BW$67))</f>
        <v>0.18836575274670889</v>
      </c>
      <c r="BX79" s="127">
        <f>$D54*(1+$C$4)^(SUM($F$67:BX$67))</f>
        <v>0.18836575274670889</v>
      </c>
      <c r="BY79" s="127">
        <f>$D54*(1+$C$4)^(SUM($F$67:BY$67))</f>
        <v>0.18836575274670889</v>
      </c>
      <c r="BZ79" s="127">
        <f>$D54*(1+$C$4)^(SUM($F$67:BZ$67))</f>
        <v>0.18836575274670889</v>
      </c>
      <c r="CA79" s="127">
        <f>$D54*(1+$C$4)^(SUM($F$67:CA$67))</f>
        <v>0.18836575274670889</v>
      </c>
      <c r="CB79" s="127">
        <f>$D54*(1+$C$4)^(SUM($F$67:CB$67))</f>
        <v>0.18836575274670889</v>
      </c>
      <c r="CC79" s="127">
        <f>$D54*(1+$C$4)^(SUM($F$67:CC$67))</f>
        <v>0.18836575274670889</v>
      </c>
      <c r="CD79" s="127">
        <f>$D54*(1+$C$4)^(SUM($F$67:CD$67))</f>
        <v>0.18836575274670889</v>
      </c>
      <c r="CE79" s="127">
        <f>$D54*(1+$C$4)^(SUM($F$67:CE$67))</f>
        <v>0.18836575274670889</v>
      </c>
      <c r="CF79" s="127">
        <f>$D54*(1+$C$4)^(SUM($F$67:CF$67))</f>
        <v>0.18836575274670889</v>
      </c>
      <c r="CG79" s="127">
        <f>$D54*(1+$C$4)^(SUM($F$67:CG$67))</f>
        <v>0.18836575274670889</v>
      </c>
      <c r="CH79" s="127">
        <f>$D54*(1+$C$4)^(SUM($F$67:CH$67))</f>
        <v>0.18836575274670889</v>
      </c>
      <c r="CI79" s="127">
        <f>$D54*(1+$C$4)^(SUM($F$67:CI$67))</f>
        <v>0.18836575274670889</v>
      </c>
      <c r="CJ79" s="127">
        <f>$D54*(1+$C$4)^(SUM($F$67:CJ$67))</f>
        <v>0.18836575274670889</v>
      </c>
      <c r="CK79" s="127">
        <f>$D54*(1+$C$4)^(SUM($F$67:CK$67))</f>
        <v>0.18836575274670889</v>
      </c>
      <c r="CL79" s="127">
        <f>$D54*(1+$C$4)^(SUM($F$67:CL$67))</f>
        <v>0.18836575274670889</v>
      </c>
      <c r="CM79" s="127">
        <f>$D54*(1+$C$4)^(SUM($F$67:CM$67))</f>
        <v>0.18836575274670889</v>
      </c>
      <c r="CN79" s="127">
        <f>$D54*(1+$C$4)^(SUM($F$67:CN$67))</f>
        <v>0.18836575274670889</v>
      </c>
      <c r="CO79" s="127">
        <f>$D54*(1+$C$4)^(SUM($F$67:CO$67))</f>
        <v>0.18836575274670889</v>
      </c>
      <c r="CP79" s="127">
        <f>$D54*(1+$C$4)^(SUM($F$67:CP$67))</f>
        <v>0.18836575274670889</v>
      </c>
      <c r="CQ79" s="127">
        <f>$D54*(1+$C$4)^(SUM($F$67:CQ$67))</f>
        <v>0.18836575274670889</v>
      </c>
      <c r="CR79" s="127">
        <f>$D54*(1+$C$4)^(SUM($F$67:CR$67))</f>
        <v>0.18836575274670889</v>
      </c>
      <c r="CS79" s="127">
        <f>$D54*(1+$C$4)^(SUM($F$67:CS$67))</f>
        <v>0.18836575274670889</v>
      </c>
      <c r="CT79" s="127">
        <f>$D54*(1+$C$4)^(SUM($F$67:CT$67))</f>
        <v>0.18836575274670889</v>
      </c>
      <c r="CU79" s="127">
        <f>$D54*(1+$C$4)^(SUM($F$67:CU$67))</f>
        <v>0.18836575274670889</v>
      </c>
      <c r="CV79" s="127">
        <f>$D54*(1+$C$4)^(SUM($F$67:CV$67))</f>
        <v>0.18836575274670889</v>
      </c>
      <c r="CW79" s="127">
        <f>$D54*(1+$C$4)^(SUM($F$67:CW$67))</f>
        <v>0.18836575274670889</v>
      </c>
      <c r="CX79" s="127">
        <f>$D54*(1+$C$4)^(SUM($F$67:CX$67))</f>
        <v>0.18836575274670889</v>
      </c>
      <c r="CY79" s="127">
        <f>$D54*(1+$C$4)^(SUM($F$67:CY$67))</f>
        <v>0.18836575274670889</v>
      </c>
      <c r="CZ79" s="127">
        <f>$D54*(1+$C$4)^(SUM($F$67:CZ$67))</f>
        <v>0.18836575274670889</v>
      </c>
      <c r="DA79" s="127">
        <f>$D54*(1+$C$4)^(SUM($F$67:DA$67))</f>
        <v>0.18836575274670889</v>
      </c>
      <c r="DB79" s="127">
        <f>$D54*(1+$C$4)^(SUM($F$67:DB$67))</f>
        <v>0.18836575274670889</v>
      </c>
      <c r="DC79" s="127">
        <f>$D54*(1+$C$4)^(SUM($F$67:DC$67))</f>
        <v>0.18836575274670889</v>
      </c>
      <c r="DD79" s="127">
        <f>$D54*(1+$C$4)^(SUM($F$67:DD$67))</f>
        <v>0.18836575274670889</v>
      </c>
      <c r="DE79" s="127">
        <f>$D54*(1+$C$4)^(SUM($F$67:DE$67))</f>
        <v>0.18836575274670889</v>
      </c>
      <c r="DF79" s="127">
        <f>$D54*(1+$C$4)^(SUM($F$67:DF$67))</f>
        <v>0.18836575274670889</v>
      </c>
      <c r="DG79" s="127">
        <f>$D54*(1+$C$4)^(SUM($F$67:DG$67))</f>
        <v>0.18836575274670889</v>
      </c>
      <c r="DH79" s="127">
        <f>$D54*(1+$C$4)^(SUM($F$67:DH$67))</f>
        <v>0.18836575274670889</v>
      </c>
      <c r="DI79" s="127">
        <f>$D54*(1+$C$4)^(SUM($F$67:DI$67))</f>
        <v>0.18836575274670889</v>
      </c>
      <c r="DJ79" s="127">
        <f>$D54*(1+$C$4)^(SUM($F$67:DJ$67))</f>
        <v>0.18836575274670889</v>
      </c>
      <c r="DK79" s="127">
        <f>$D54*(1+$C$4)^(SUM($F$67:DK$67))</f>
        <v>0.18836575274670889</v>
      </c>
      <c r="DL79" s="127">
        <f>$D54*(1+$C$4)^(SUM($F$67:DL$67))</f>
        <v>0.18836575274670889</v>
      </c>
      <c r="DM79" s="127">
        <f>$D54*(1+$C$4)^(SUM($F$67:DM$67))</f>
        <v>0.18836575274670889</v>
      </c>
      <c r="DN79" s="127">
        <f>$D54*(1+$C$4)^(SUM($F$67:DN$67))</f>
        <v>0.18836575274670889</v>
      </c>
      <c r="DO79" s="127">
        <f>$D54*(1+$C$4)^(SUM($F$67:DO$67))</f>
        <v>0.18836575274670889</v>
      </c>
      <c r="DP79" s="127">
        <f>$D54*(1+$C$4)^(SUM($F$67:DP$67))</f>
        <v>0.18836575274670889</v>
      </c>
      <c r="DQ79" s="127">
        <f>$D54*(1+$C$4)^(SUM($F$67:DQ$67))</f>
        <v>0.18836575274670889</v>
      </c>
      <c r="DR79" s="127">
        <f>$D54*(1+$C$4)^(SUM($F$67:DR$67))</f>
        <v>0.18836575274670889</v>
      </c>
      <c r="DS79" s="127">
        <f>$D54*(1+$C$4)^(SUM($F$67:DS$67))</f>
        <v>0.18836575274670889</v>
      </c>
      <c r="DT79" s="127">
        <f>$D54*(1+$C$4)^(SUM($F$67:DT$67))</f>
        <v>0.18836575274670889</v>
      </c>
      <c r="DU79" s="127">
        <f>$D54*(1+$C$4)^(SUM($F$67:DU$67))</f>
        <v>0.18836575274670889</v>
      </c>
      <c r="DV79" s="127">
        <f>$D54*(1+$C$4)^(SUM($F$67:DV$67))</f>
        <v>0.18836575274670889</v>
      </c>
      <c r="DW79" s="127">
        <f>$D54*(1+$C$4)^(SUM($F$67:DW$67))</f>
        <v>0.18836575274670889</v>
      </c>
      <c r="DX79" s="127">
        <f>$D54*(1+$C$4)^(SUM($F$67:DX$67))</f>
        <v>0.18836575274670889</v>
      </c>
      <c r="DY79" s="127">
        <f>$D54*(1+$C$4)^(SUM($F$67:DY$67))</f>
        <v>0.18836575274670889</v>
      </c>
      <c r="DZ79" s="127">
        <f>$D54*(1+$C$4)^(SUM($F$67:DZ$67))</f>
        <v>0.18836575274670889</v>
      </c>
      <c r="EA79" s="127">
        <f>$D54*(1+$C$4)^(SUM($F$67:EA$67))</f>
        <v>0.18836575274670889</v>
      </c>
      <c r="EB79" s="127">
        <f>$D54*(1+$C$4)^(SUM($F$67:EB$67))</f>
        <v>0.18836575274670889</v>
      </c>
      <c r="EC79" s="127">
        <f>$D54*(1+$C$4)^(SUM($F$67:EC$67))</f>
        <v>0.18836575274670889</v>
      </c>
      <c r="ED79" s="127">
        <f>$D54*(1+$C$4)^(SUM($F$67:ED$67))</f>
        <v>0.18836575274670889</v>
      </c>
      <c r="EE79" s="127">
        <f>$D54*(1+$C$4)^(SUM($F$67:EE$67))</f>
        <v>0.18836575274670889</v>
      </c>
      <c r="EF79" s="127">
        <f>$D54*(1+$C$4)^(SUM($F$67:EF$67))</f>
        <v>0.18836575274670889</v>
      </c>
      <c r="EG79" s="127">
        <f>$D54*(1+$C$4)^(SUM($F$67:EG$67))</f>
        <v>0.18836575274670889</v>
      </c>
      <c r="EH79" s="127">
        <f>$D54*(1+$C$4)^(SUM($F$67:EH$67))</f>
        <v>0.18836575274670889</v>
      </c>
      <c r="EI79" s="127">
        <f>$D54*(1+$C$4)^(SUM($F$67:EI$67))</f>
        <v>0.18836575274670889</v>
      </c>
      <c r="EJ79" s="127">
        <f>$D54*(1+$C$4)^(SUM($F$67:EJ$67))</f>
        <v>0.18836575274670889</v>
      </c>
      <c r="EK79" s="127">
        <f>$D54*(1+$C$4)^(SUM($F$67:EK$67))</f>
        <v>0.18836575274670889</v>
      </c>
      <c r="EL79" s="127">
        <f>$D54*(1+$C$4)^(SUM($F$67:EL$67))</f>
        <v>0.18836575274670889</v>
      </c>
      <c r="EM79" s="127">
        <f>$D54*(1+$C$4)^(SUM($F$67:EM$67))</f>
        <v>0.18836575274670889</v>
      </c>
      <c r="EN79" s="127">
        <f>$D54*(1+$C$4)^(SUM($F$67:EN$67))</f>
        <v>0.18836575274670889</v>
      </c>
      <c r="EO79" s="127">
        <f>$D54*(1+$C$4)^(SUM($F$67:EO$67))</f>
        <v>0.18836575274670889</v>
      </c>
      <c r="EP79" s="127">
        <f>$D54*(1+$C$4)^(SUM($F$67:EP$67))</f>
        <v>0.18836575274670889</v>
      </c>
      <c r="EQ79" s="127">
        <f>$D54*(1+$C$4)^(SUM($F$67:EQ$67))</f>
        <v>0.18836575274670889</v>
      </c>
      <c r="ER79" s="127">
        <f>$D54*(1+$C$4)^(SUM($F$67:ER$67))</f>
        <v>0.18836575274670889</v>
      </c>
      <c r="ES79" s="127">
        <f>$D54*(1+$C$4)^(SUM($F$67:ES$67))</f>
        <v>0.18836575274670889</v>
      </c>
      <c r="ET79" s="127">
        <f>$D54*(1+$C$4)^(SUM($F$67:ET$67))</f>
        <v>0.18836575274670889</v>
      </c>
      <c r="EU79" s="127">
        <f>$D54*(1+$C$4)^(SUM($F$67:EU$67))</f>
        <v>0.18836575274670889</v>
      </c>
      <c r="EV79" s="127">
        <f>$D54*(1+$C$4)^(SUM($F$67:EV$67))</f>
        <v>0.18836575274670889</v>
      </c>
      <c r="EW79" s="127">
        <f>$D54*(1+$C$4)^(SUM($F$67:EW$67))</f>
        <v>0.18836575274670889</v>
      </c>
      <c r="EX79" s="127">
        <f>$D54*(1+$C$4)^(SUM($F$67:EX$67))</f>
        <v>0.18836575274670889</v>
      </c>
      <c r="EY79" s="127">
        <f>$D54*(1+$C$4)^(SUM($F$67:EY$67))</f>
        <v>0.18836575274670889</v>
      </c>
      <c r="EZ79" s="127">
        <f>$D54*(1+$C$4)^(SUM($F$67:EZ$67))</f>
        <v>0.18836575274670889</v>
      </c>
      <c r="FA79" s="127">
        <f>$D54*(1+$C$4)^(SUM($F$67:FA$67))</f>
        <v>0.18836575274670889</v>
      </c>
      <c r="FB79" s="127">
        <f>$D54*(1+$C$4)^(SUM($F$67:FB$67))</f>
        <v>0.18836575274670889</v>
      </c>
      <c r="FC79" s="127">
        <f>$D54*(1+$C$4)^(SUM($F$67:FC$67))</f>
        <v>0.18836575274670889</v>
      </c>
      <c r="FD79" s="127">
        <f>$D54*(1+$C$4)^(SUM($F$67:FD$67))</f>
        <v>0.18836575274670889</v>
      </c>
      <c r="FE79" s="127">
        <f>$D54*(1+$C$4)^(SUM($F$67:FE$67))</f>
        <v>0.18836575274670889</v>
      </c>
      <c r="FF79" s="127">
        <f>$D54*(1+$C$4)^(SUM($F$67:FF$67))</f>
        <v>0.18836575274670889</v>
      </c>
      <c r="FG79" s="127">
        <f>$D54*(1+$C$4)^(SUM($F$67:FG$67))</f>
        <v>0.18836575274670889</v>
      </c>
      <c r="FH79" s="127">
        <f>$D54*(1+$C$4)^(SUM($F$67:FH$67))</f>
        <v>0.18836575274670889</v>
      </c>
      <c r="FI79" s="127">
        <f>$D54*(1+$C$4)^(SUM($F$67:FI$67))</f>
        <v>0.18836575274670889</v>
      </c>
      <c r="FJ79" s="127">
        <f>$D54*(1+$C$4)^(SUM($F$67:FJ$67))</f>
        <v>0.18836575274670889</v>
      </c>
      <c r="FK79" s="127">
        <f>$D54*(1+$C$4)^(SUM($F$67:FK$67))</f>
        <v>0.18836575274670889</v>
      </c>
      <c r="FL79" s="127">
        <f>$D54*(1+$C$4)^(SUM($F$67:FL$67))</f>
        <v>0.18836575274670889</v>
      </c>
      <c r="FM79" s="127">
        <f>$D54*(1+$C$4)^(SUM($F$67:FM$67))</f>
        <v>0.18836575274670889</v>
      </c>
      <c r="FN79" s="127">
        <f>$D54*(1+$C$4)^(SUM($F$67:FN$67))</f>
        <v>0.18836575274670889</v>
      </c>
      <c r="FO79" s="127">
        <f>$D54*(1+$C$4)^(SUM($F$67:FO$67))</f>
        <v>0.18836575274670889</v>
      </c>
      <c r="FP79" s="127">
        <f>$D54*(1+$C$4)^(SUM($F$67:FP$67))</f>
        <v>0.18836575274670889</v>
      </c>
      <c r="FQ79" s="127">
        <f>$D54*(1+$C$4)^(SUM($F$67:FQ$67))</f>
        <v>0.18836575274670889</v>
      </c>
      <c r="FR79" s="127">
        <f>$D54*(1+$C$4)^(SUM($F$67:FR$67))</f>
        <v>0.18836575274670889</v>
      </c>
      <c r="FS79" s="127">
        <f>$D54*(1+$C$4)^(SUM($F$67:FS$67))</f>
        <v>0.18836575274670889</v>
      </c>
      <c r="FT79" s="127">
        <f>$D54*(1+$C$4)^(SUM($F$67:FT$67))</f>
        <v>0.18836575274670889</v>
      </c>
      <c r="FU79" s="127">
        <f>$D54*(1+$C$4)^(SUM($F$67:FU$67))</f>
        <v>0.18836575274670889</v>
      </c>
      <c r="FV79" s="127">
        <f>$D54*(1+$C$4)^(SUM($F$67:FV$67))</f>
        <v>0.18836575274670889</v>
      </c>
      <c r="FW79" s="127">
        <f>$D54*(1+$C$4)^(SUM($F$67:FW$67))</f>
        <v>0.18836575274670889</v>
      </c>
      <c r="FX79" s="127">
        <f>$D54*(1+$C$4)^(SUM($F$67:FX$67))</f>
        <v>0.18836575274670889</v>
      </c>
      <c r="FY79" s="127">
        <f>$D54*(1+$C$4)^(SUM($F$67:FY$67))</f>
        <v>0.18836575274670889</v>
      </c>
      <c r="FZ79" s="127">
        <f>$D54*(1+$C$4)^(SUM($F$67:FZ$67))</f>
        <v>0.18836575274670889</v>
      </c>
      <c r="GA79" s="127">
        <f>$D54*(1+$C$4)^(SUM($F$67:GA$67))</f>
        <v>0.18836575274670889</v>
      </c>
      <c r="GB79" s="127">
        <f>$D54*(1+$C$4)^(SUM($F$67:GB$67))</f>
        <v>0.18836575274670889</v>
      </c>
      <c r="GC79" s="127">
        <f>$D54*(1+$C$4)^(SUM($F$67:GC$67))</f>
        <v>0.18836575274670889</v>
      </c>
      <c r="GD79" s="127">
        <f>$D54*(1+$C$4)^(SUM($F$67:GD$67))</f>
        <v>0.18836575274670889</v>
      </c>
      <c r="GE79" s="127">
        <f>$D54*(1+$C$4)^(SUM($F$67:GE$67))</f>
        <v>0.18836575274670889</v>
      </c>
      <c r="GF79" s="127">
        <f>$D54*(1+$C$4)^(SUM($F$67:GF$67))</f>
        <v>0.18836575274670889</v>
      </c>
      <c r="GG79" s="127">
        <f>$D54*(1+$C$4)^(SUM($F$67:GG$67))</f>
        <v>0.18836575274670889</v>
      </c>
      <c r="GH79" s="127">
        <f>$D54*(1+$C$4)^(SUM($F$67:GH$67))</f>
        <v>0.18836575274670889</v>
      </c>
      <c r="GI79" s="127">
        <f>$D54*(1+$C$4)^(SUM($F$67:GI$67))</f>
        <v>0.18836575274670889</v>
      </c>
      <c r="GJ79" s="127">
        <f>$D54*(1+$C$4)^(SUM($F$67:GJ$67))</f>
        <v>0.18836575274670889</v>
      </c>
      <c r="GK79" s="127">
        <f>$D54*(1+$C$4)^(SUM($F$67:GK$67))</f>
        <v>0.18836575274670889</v>
      </c>
      <c r="GL79" s="127">
        <f>$D54*(1+$C$4)^(SUM($F$67:GL$67))</f>
        <v>0.18836575274670889</v>
      </c>
      <c r="GM79" s="127">
        <f>$D54*(1+$C$4)^(SUM($F$67:GM$67))</f>
        <v>0.18836575274670889</v>
      </c>
      <c r="GN79" s="127">
        <f>$D54*(1+$C$4)^(SUM($F$67:GN$67))</f>
        <v>0.18836575274670889</v>
      </c>
      <c r="GO79" s="127">
        <f>$D54*(1+$C$4)^(SUM($F$67:GO$67))</f>
        <v>0.18836575274670889</v>
      </c>
      <c r="GP79" s="127">
        <f>$D54*(1+$C$4)^(SUM($F$67:GP$67))</f>
        <v>0.18836575274670889</v>
      </c>
      <c r="GQ79" s="127">
        <f>$D54*(1+$C$4)^(SUM($F$67:GQ$67))</f>
        <v>0.18836575274670889</v>
      </c>
      <c r="GR79" s="127">
        <f>$D54*(1+$C$4)^(SUM($F$67:GR$67))</f>
        <v>0.18836575274670889</v>
      </c>
      <c r="GS79" s="127">
        <f>$D54*(1+$C$4)^(SUM($F$67:GS$67))</f>
        <v>0.18836575274670889</v>
      </c>
      <c r="GT79" s="127">
        <f>$D54*(1+$C$4)^(SUM($F$67:GT$67))</f>
        <v>0.18836575274670889</v>
      </c>
      <c r="GU79" s="127">
        <f>$D54*(1+$C$4)^(SUM($F$67:GU$67))</f>
        <v>0.18836575274670889</v>
      </c>
      <c r="GV79" s="127">
        <f>$D54*(1+$C$4)^(SUM($F$67:GV$67))</f>
        <v>0.18836575274670889</v>
      </c>
      <c r="GW79" s="127">
        <f>$D54*(1+$C$4)^(SUM($F$67:GW$67))</f>
        <v>0.18836575274670889</v>
      </c>
      <c r="GX79" s="127">
        <f>$D54*(1+$C$4)^(SUM($F$67:GX$67))</f>
        <v>0.18836575274670889</v>
      </c>
      <c r="GY79" s="127">
        <f>$D54*(1+$C$4)^(SUM($F$67:GY$67))</f>
        <v>0.18836575274670889</v>
      </c>
      <c r="GZ79" s="127">
        <f>$D54*(1+$C$4)^(SUM($F$67:GZ$67))</f>
        <v>0.18836575274670889</v>
      </c>
      <c r="HA79" s="127">
        <f>$D54*(1+$C$4)^(SUM($F$67:HA$67))</f>
        <v>0.18836575274670889</v>
      </c>
      <c r="HB79" s="127">
        <f>$D54*(1+$C$4)^(SUM($F$67:HB$67))</f>
        <v>0.18836575274670889</v>
      </c>
      <c r="HC79" s="127">
        <f>$D54*(1+$C$4)^(SUM($F$67:HC$67))</f>
        <v>0.18836575274670889</v>
      </c>
      <c r="HD79" s="127">
        <f>$D54*(1+$C$4)^(SUM($F$67:HD$67))</f>
        <v>0.18836575274670889</v>
      </c>
      <c r="HE79" s="127">
        <f>$D54*(1+$C$4)^(SUM($F$67:HE$67))</f>
        <v>0.18836575274670889</v>
      </c>
      <c r="HF79" s="127">
        <f>$D54*(1+$C$4)^(SUM($F$67:HF$67))</f>
        <v>0.18836575274670889</v>
      </c>
      <c r="HG79" s="127">
        <f>$D54*(1+$C$4)^(SUM($F$67:HG$67))</f>
        <v>0.18836575274670889</v>
      </c>
      <c r="HH79" s="127">
        <f>$D54*(1+$C$4)^(SUM($F$67:HH$67))</f>
        <v>0.18836575274670889</v>
      </c>
      <c r="HI79" s="127">
        <f>$D54*(1+$C$4)^(SUM($F$67:HI$67))</f>
        <v>0.18836575274670889</v>
      </c>
      <c r="HJ79" s="127">
        <f>$D54*(1+$C$4)^(SUM($F$67:HJ$67))</f>
        <v>0.18836575274670889</v>
      </c>
      <c r="HK79" s="127">
        <f>$D54*(1+$C$4)^(SUM($F$67:HK$67))</f>
        <v>0.18836575274670889</v>
      </c>
      <c r="HL79" s="127">
        <f>$D54*(1+$C$4)^(SUM($F$67:HL$67))</f>
        <v>0.18836575274670889</v>
      </c>
      <c r="HM79" s="127">
        <f>$D54*(1+$C$4)^(SUM($F$67:HM$67))</f>
        <v>0.18836575274670889</v>
      </c>
      <c r="HN79" s="127">
        <f>$D54*(1+$C$4)^(SUM($F$67:HN$67))</f>
        <v>0.18836575274670889</v>
      </c>
      <c r="HO79" s="127">
        <f>$D54*(1+$C$4)^(SUM($F$67:HO$67))</f>
        <v>0.18836575274670889</v>
      </c>
      <c r="HP79" s="127">
        <f>$D54*(1+$C$4)^(SUM($F$67:HP$67))</f>
        <v>0.18836575274670889</v>
      </c>
      <c r="HQ79" s="127">
        <f>$D54*(1+$C$4)^(SUM($F$67:HQ$67))</f>
        <v>0.18836575274670889</v>
      </c>
      <c r="HR79" s="127">
        <f>$D54*(1+$C$4)^(SUM($F$67:HR$67))</f>
        <v>0.18836575274670889</v>
      </c>
      <c r="HS79" s="127">
        <f>$D54*(1+$C$4)^(SUM($F$67:HS$67))</f>
        <v>0.18836575274670889</v>
      </c>
      <c r="HT79" s="127">
        <f>$D54*(1+$C$4)^(SUM($F$67:HT$67))</f>
        <v>0.18836575274670889</v>
      </c>
      <c r="HU79" s="127">
        <f>$D54*(1+$C$4)^(SUM($F$67:HU$67))</f>
        <v>0.18836575274670889</v>
      </c>
      <c r="HV79" s="127">
        <f>$D54*(1+$C$4)^(SUM($F$67:HV$67))</f>
        <v>0.18836575274670889</v>
      </c>
      <c r="HW79" s="127">
        <f>$D54*(1+$C$4)^(SUM($F$67:HW$67))</f>
        <v>0.18836575274670889</v>
      </c>
      <c r="HX79" s="127">
        <f>$D54*(1+$C$4)^(SUM($F$67:HX$67))</f>
        <v>0.18836575274670889</v>
      </c>
      <c r="HY79" s="127">
        <f>$D54*(1+$C$4)^(SUM($F$67:HY$67))</f>
        <v>0.18836575274670889</v>
      </c>
      <c r="HZ79" s="127">
        <f>$D54*(1+$C$4)^(SUM($F$67:HZ$67))</f>
        <v>0.18836575274670889</v>
      </c>
      <c r="IA79" s="127">
        <f>$D54*(1+$C$4)^(SUM($F$67:IA$67))</f>
        <v>0.18836575274670889</v>
      </c>
      <c r="IB79" s="127">
        <f>$D54*(1+$C$4)^(SUM($F$67:IB$67))</f>
        <v>0.18836575274670889</v>
      </c>
      <c r="IC79" s="127">
        <f>$D54*(1+$C$4)^(SUM($F$67:IC$67))</f>
        <v>0.18836575274670889</v>
      </c>
      <c r="ID79" s="127">
        <f>$D54*(1+$C$4)^(SUM($F$67:ID$67))</f>
        <v>0.18836575274670889</v>
      </c>
      <c r="IE79" s="127">
        <f>$D54*(1+$C$4)^(SUM($F$67:IE$67))</f>
        <v>0.18836575274670889</v>
      </c>
      <c r="IF79" s="127">
        <f>$D54*(1+$C$4)^(SUM($F$67:IF$67))</f>
        <v>0.18836575274670889</v>
      </c>
      <c r="IG79" s="127">
        <f>$D54*(1+$C$4)^(SUM($F$67:IG$67))</f>
        <v>0.18836575274670889</v>
      </c>
      <c r="IH79" s="127">
        <f>$D54*(1+$C$4)^(SUM($F$67:IH$67))</f>
        <v>0.18836575274670889</v>
      </c>
      <c r="II79" s="127">
        <f>$D54*(1+$C$4)^(SUM($F$67:II$67))</f>
        <v>0.18836575274670889</v>
      </c>
      <c r="IJ79" s="127">
        <f>$D54*(1+$C$4)^(SUM($F$67:IJ$67))</f>
        <v>0.18836575274670889</v>
      </c>
      <c r="IK79" s="127">
        <f>$D54*(1+$C$4)^(SUM($F$67:IK$67))</f>
        <v>0.18836575274670889</v>
      </c>
      <c r="IL79" s="127">
        <f>$D54*(1+$C$4)^(SUM($F$67:IL$67))</f>
        <v>0.18836575274670889</v>
      </c>
      <c r="IM79" s="127">
        <f>$D54*(1+$C$4)^(SUM($F$67:IM$67))</f>
        <v>0.18836575274670889</v>
      </c>
      <c r="IN79" s="127">
        <f>$D54*(1+$C$4)^(SUM($F$67:IN$67))</f>
        <v>0.18836575274670889</v>
      </c>
      <c r="IO79" s="127">
        <f>$D54*(1+$C$4)^(SUM($F$67:IO$67))</f>
        <v>0.18836575274670889</v>
      </c>
      <c r="IP79" s="127">
        <f>$D54*(1+$C$4)^(SUM($F$67:IP$67))</f>
        <v>0.18836575274670889</v>
      </c>
      <c r="IQ79" s="127">
        <f>$D54*(1+$C$4)^(SUM($F$67:IQ$67))</f>
        <v>0.18836575274670889</v>
      </c>
      <c r="IR79" s="127">
        <f>$D54*(1+$C$4)^(SUM($F$67:IR$67))</f>
        <v>0.18836575274670889</v>
      </c>
      <c r="IS79" s="127">
        <f>$D54*(1+$C$4)^(SUM($F$67:IS$67))</f>
        <v>0.18836575274670889</v>
      </c>
      <c r="IT79" s="127">
        <f>$D54*(1+$C$4)^(SUM($F$67:IT$67))</f>
        <v>0.18836575274670889</v>
      </c>
      <c r="IU79" s="127">
        <f>$D54*(1+$C$4)^(SUM($F$67:IU$67))</f>
        <v>0.18836575274670889</v>
      </c>
      <c r="IV79" s="127">
        <f>$D54*(1+$C$4)^(SUM($F$67:IV$67))</f>
        <v>0.18836575274670889</v>
      </c>
      <c r="IW79" s="127">
        <f>$D54*(1+$C$4)^(SUM($F$67:IW$67))</f>
        <v>0.18836575274670889</v>
      </c>
      <c r="IX79" s="127">
        <f>$D54*(1+$C$4)^(SUM($F$67:IX$67))</f>
        <v>0.18836575274670889</v>
      </c>
      <c r="IY79" s="127">
        <f>$D54*(1+$C$4)^(SUM($F$67:IY$67))</f>
        <v>0.18836575274670889</v>
      </c>
      <c r="IZ79" s="127">
        <f>$D54*(1+$C$4)^(SUM($F$67:IZ$67))</f>
        <v>0.18836575274670889</v>
      </c>
      <c r="JA79" s="127">
        <f>$D54*(1+$C$4)^(SUM($F$67:JA$67))</f>
        <v>0.18836575274670889</v>
      </c>
      <c r="JB79" s="127">
        <f>$D54*(1+$C$4)^(SUM($F$67:JB$67))</f>
        <v>0.18836575274670889</v>
      </c>
      <c r="JC79" s="127">
        <f>$D54*(1+$C$4)^(SUM($F$67:JC$67))</f>
        <v>0.18836575274670889</v>
      </c>
      <c r="JD79" s="127">
        <f>$D54*(1+$C$4)^(SUM($F$67:JD$67))</f>
        <v>0.18836575274670889</v>
      </c>
      <c r="JE79" s="127">
        <f>$D54*(1+$C$4)^(SUM($F$67:JE$67))</f>
        <v>0.18836575274670889</v>
      </c>
      <c r="JF79" s="127">
        <f>$D54*(1+$C$4)^(SUM($F$67:JF$67))</f>
        <v>0.18836575274670889</v>
      </c>
      <c r="JG79" s="127">
        <f>$D54*(1+$C$4)^(SUM($F$67:JG$67))</f>
        <v>0.18836575274670889</v>
      </c>
      <c r="JH79" s="127">
        <f>$D54*(1+$C$4)^(SUM($F$67:JH$67))</f>
        <v>0.18836575274670889</v>
      </c>
      <c r="JI79" s="127">
        <f>$D54*(1+$C$4)^(SUM($F$67:JI$67))</f>
        <v>0.18836575274670889</v>
      </c>
      <c r="JJ79" s="127">
        <f>$D54*(1+$C$4)^(SUM($F$67:JJ$67))</f>
        <v>0.18836575274670889</v>
      </c>
      <c r="JK79" s="127">
        <f>$D54*(1+$C$4)^(SUM($F$67:JK$67))</f>
        <v>0.18836575274670889</v>
      </c>
      <c r="JL79" s="127">
        <f>$D54*(1+$C$4)^(SUM($F$67:JL$67))</f>
        <v>0.18836575274670889</v>
      </c>
      <c r="JM79" s="127">
        <f>$D54*(1+$C$4)^(SUM($F$67:JM$67))</f>
        <v>0.18836575274670889</v>
      </c>
      <c r="JN79" s="127">
        <f>$D54*(1+$C$4)^(SUM($F$67:JN$67))</f>
        <v>0.18836575274670889</v>
      </c>
      <c r="JO79" s="127">
        <f>$D54*(1+$C$4)^(SUM($F$67:JO$67))</f>
        <v>0.18836575274670889</v>
      </c>
      <c r="JP79" s="127">
        <f>$D54*(1+$C$4)^(SUM($F$67:JP$67))</f>
        <v>0.18836575274670889</v>
      </c>
      <c r="JQ79" s="127">
        <f>$D54*(1+$C$4)^(SUM($F$67:JQ$67))</f>
        <v>0.18836575274670889</v>
      </c>
      <c r="JR79" s="127">
        <f>$D54*(1+$C$4)^(SUM($F$67:JR$67))</f>
        <v>0.18836575274670889</v>
      </c>
      <c r="JS79" s="127">
        <f>$D54*(1+$C$4)^(SUM($F$67:JS$67))</f>
        <v>0.18836575274670889</v>
      </c>
      <c r="JT79" s="127">
        <f>$D54*(1+$C$4)^(SUM($F$67:JT$67))</f>
        <v>0.18836575274670889</v>
      </c>
      <c r="JU79" s="127">
        <f>$D54*(1+$C$4)^(SUM($F$67:JU$67))</f>
        <v>0.18836575274670889</v>
      </c>
      <c r="JV79" s="127">
        <f>$D54*(1+$C$4)^(SUM($F$67:JV$67))</f>
        <v>0.18836575274670889</v>
      </c>
      <c r="JW79" s="127">
        <f>$D54*(1+$C$4)^(SUM($F$67:JW$67))</f>
        <v>0.18836575274670889</v>
      </c>
      <c r="JX79" s="127">
        <f>$D54*(1+$C$4)^(SUM($F$67:JX$67))</f>
        <v>0.18836575274670889</v>
      </c>
      <c r="JY79" s="127">
        <f>$D54*(1+$C$4)^(SUM($F$67:JY$67))</f>
        <v>0.18836575274670889</v>
      </c>
      <c r="JZ79" s="127">
        <f>$D54*(1+$C$4)^(SUM($F$67:JZ$67))</f>
        <v>0.18836575274670889</v>
      </c>
      <c r="KA79" s="127">
        <f>$D54*(1+$C$4)^(SUM($F$67:KA$67))</f>
        <v>0.18836575274670889</v>
      </c>
      <c r="KB79" s="127">
        <f>$D54*(1+$C$4)^(SUM($F$67:KB$67))</f>
        <v>0.18836575274670889</v>
      </c>
      <c r="KC79" s="127">
        <f>$D54*(1+$C$4)^(SUM($F$67:KC$67))</f>
        <v>0.18836575274670889</v>
      </c>
      <c r="KD79" s="127">
        <f>$D54*(1+$C$4)^(SUM($F$67:KD$67))</f>
        <v>0.18836575274670889</v>
      </c>
      <c r="KE79" s="127">
        <f>$D54*(1+$C$4)^(SUM($F$67:KE$67))</f>
        <v>0.18836575274670889</v>
      </c>
      <c r="KF79" s="127">
        <f>$D54*(1+$C$4)^(SUM($F$67:KF$67))</f>
        <v>0.18836575274670889</v>
      </c>
      <c r="KG79" s="127">
        <f>$D54*(1+$C$4)^(SUM($F$67:KG$67))</f>
        <v>0.18836575274670889</v>
      </c>
      <c r="KH79" s="127">
        <f>$D54*(1+$C$4)^(SUM($F$67:KH$67))</f>
        <v>0.18836575274670889</v>
      </c>
      <c r="KI79" s="127">
        <f>$D54*(1+$C$4)^(SUM($F$67:KI$67))</f>
        <v>0.18836575274670889</v>
      </c>
      <c r="KJ79" s="127">
        <f>$D54*(1+$C$4)^(SUM($F$67:KJ$67))</f>
        <v>0.18836575274670889</v>
      </c>
      <c r="KK79" s="127">
        <f>$D54*(1+$C$4)^(SUM($F$67:KK$67))</f>
        <v>0.18836575274670889</v>
      </c>
      <c r="KL79" s="127">
        <f>$D54*(1+$C$4)^(SUM($F$67:KL$67))</f>
        <v>0.18836575274670889</v>
      </c>
      <c r="KM79" s="127">
        <f>$D54*(1+$C$4)^(SUM($F$67:KM$67))</f>
        <v>0.18836575274670889</v>
      </c>
      <c r="KN79" s="127">
        <f>$D54*(1+$C$4)^(SUM($F$67:KN$67))</f>
        <v>0.18836575274670889</v>
      </c>
      <c r="KO79" s="127">
        <f>$D54*(1+$C$4)^(SUM($F$67:KO$67))</f>
        <v>0.18836575274670889</v>
      </c>
      <c r="KP79" s="127">
        <f>$D54*(1+$C$4)^(SUM($F$67:KP$67))</f>
        <v>0.18836575274670889</v>
      </c>
      <c r="KQ79" s="127">
        <f>$D54*(1+$C$4)^(SUM($F$67:KQ$67))</f>
        <v>0.18836575274670889</v>
      </c>
      <c r="KR79" s="127">
        <f>$D54*(1+$C$4)^(SUM($F$67:KR$67))</f>
        <v>0.18836575274670889</v>
      </c>
      <c r="KS79" s="127">
        <f>$D54*(1+$C$4)^(SUM($F$67:KS$67))</f>
        <v>0.18836575274670889</v>
      </c>
      <c r="KT79" s="127">
        <f>$D54*(1+$C$4)^(SUM($F$67:KT$67))</f>
        <v>0.18836575274670889</v>
      </c>
      <c r="KU79" s="127">
        <f>$D54*(1+$C$4)^(SUM($F$67:KU$67))</f>
        <v>0.18836575274670889</v>
      </c>
      <c r="KV79" s="127">
        <f>$D54*(1+$C$4)^(SUM($F$67:KV$67))</f>
        <v>0.18836575274670889</v>
      </c>
      <c r="KW79" s="127">
        <f>$D54*(1+$C$4)^(SUM($F$67:KW$67))</f>
        <v>0.18836575274670889</v>
      </c>
      <c r="KX79" s="127">
        <f>$D54*(1+$C$4)^(SUM($F$67:KX$67))</f>
        <v>0.18836575274670889</v>
      </c>
      <c r="KY79" s="127">
        <f>$D54*(1+$C$4)^(SUM($F$67:KY$67))</f>
        <v>0.18836575274670889</v>
      </c>
      <c r="KZ79" s="127">
        <f>$D54*(1+$C$4)^(SUM($F$67:KZ$67))</f>
        <v>0.18836575274670889</v>
      </c>
      <c r="LA79" s="127">
        <f>$D54*(1+$C$4)^(SUM($F$67:LA$67))</f>
        <v>0.18836575274670889</v>
      </c>
      <c r="LB79" s="127">
        <f>$D54*(1+$C$4)^(SUM($F$67:LB$67))</f>
        <v>0.18836575274670889</v>
      </c>
      <c r="LC79" s="127">
        <f>$D54*(1+$C$4)^(SUM($F$67:LC$67))</f>
        <v>0.18836575274670889</v>
      </c>
      <c r="LD79" s="127">
        <f>$D54*(1+$C$4)^(SUM($F$67:LD$67))</f>
        <v>0.18836575274670889</v>
      </c>
      <c r="LE79" s="127">
        <f>$D54*(1+$C$4)^(SUM($F$67:LE$67))</f>
        <v>0.18836575274670889</v>
      </c>
      <c r="LF79" s="127">
        <f>$D54*(1+$C$4)^(SUM($F$67:LF$67))</f>
        <v>0.18836575274670889</v>
      </c>
      <c r="LG79" s="127">
        <f>$D54*(1+$C$4)^(SUM($F$67:LG$67))</f>
        <v>0.18836575274670889</v>
      </c>
      <c r="LH79" s="127">
        <f>$D54*(1+$C$4)^(SUM($F$67:LH$67))</f>
        <v>0.18836575274670889</v>
      </c>
      <c r="LI79" s="127">
        <f>$D54*(1+$C$4)^(SUM($F$67:LI$67))</f>
        <v>0.18836575274670889</v>
      </c>
      <c r="LJ79" s="127">
        <f>$D54*(1+$C$4)^(SUM($F$67:LJ$67))</f>
        <v>0.18836575274670889</v>
      </c>
      <c r="LK79" s="127">
        <f>$D54*(1+$C$4)^(SUM($F$67:LK$67))</f>
        <v>0.18836575274670889</v>
      </c>
      <c r="LL79" s="127">
        <f>$D54*(1+$C$4)^(SUM($F$67:LL$67))</f>
        <v>0.18836575274670889</v>
      </c>
      <c r="LM79" s="127">
        <f>$D54*(1+$C$4)^(SUM($F$67:LM$67))</f>
        <v>0.18836575274670889</v>
      </c>
      <c r="LN79" s="127">
        <f>$D54*(1+$C$4)^(SUM($F$67:LN$67))</f>
        <v>0.18836575274670889</v>
      </c>
      <c r="LO79" s="127">
        <f>$D54*(1+$C$4)^(SUM($F$67:LO$67))</f>
        <v>0.18836575274670889</v>
      </c>
      <c r="LP79" s="127">
        <f>$D54*(1+$C$4)^(SUM($F$67:LP$67))</f>
        <v>0.18836575274670889</v>
      </c>
      <c r="LQ79" s="127">
        <f>$D54*(1+$C$4)^(SUM($F$67:LQ$67))</f>
        <v>0.18836575274670889</v>
      </c>
      <c r="LR79" s="127">
        <f>$D54*(1+$C$4)^(SUM($F$67:LR$67))</f>
        <v>0.18836575274670889</v>
      </c>
      <c r="LS79" s="127">
        <f>$D54*(1+$C$4)^(SUM($F$67:LS$67))</f>
        <v>0.18836575274670889</v>
      </c>
      <c r="LT79" s="127">
        <f>$D54*(1+$C$4)^(SUM($F$67:LT$67))</f>
        <v>0.18836575274670889</v>
      </c>
      <c r="LU79" s="127">
        <f>$D54*(1+$C$4)^(SUM($F$67:LU$67))</f>
        <v>0.18836575274670889</v>
      </c>
      <c r="LV79" s="127">
        <f>$D54*(1+$C$4)^(SUM($F$67:LV$67))</f>
        <v>0.18836575274670889</v>
      </c>
      <c r="LW79" s="127">
        <f>$D54*(1+$C$4)^(SUM($F$67:LW$67))</f>
        <v>0.18836575274670889</v>
      </c>
      <c r="LX79" s="127">
        <f>$D54*(1+$C$4)^(SUM($F$67:LX$67))</f>
        <v>0.18836575274670889</v>
      </c>
      <c r="LY79" s="127">
        <f>$D54*(1+$C$4)^(SUM($F$67:LY$67))</f>
        <v>0.18836575274670889</v>
      </c>
      <c r="LZ79" s="127">
        <f>$D54*(1+$C$4)^(SUM($F$67:LZ$67))</f>
        <v>0.18836575274670889</v>
      </c>
      <c r="MA79" s="127">
        <f>$D54*(1+$C$4)^(SUM($F$67:MA$67))</f>
        <v>0.18836575274670889</v>
      </c>
      <c r="MB79" s="127">
        <f>$D54*(1+$C$4)^(SUM($F$67:MB$67))</f>
        <v>0.18836575274670889</v>
      </c>
      <c r="MC79" s="127">
        <f>$D54*(1+$C$4)^(SUM($F$67:MC$67))</f>
        <v>0.18836575274670889</v>
      </c>
      <c r="MD79" s="127">
        <f>$D54*(1+$C$4)^(SUM($F$67:MD$67))</f>
        <v>0.18836575274670889</v>
      </c>
      <c r="ME79" s="127">
        <f>$D54*(1+$C$4)^(SUM($F$67:ME$67))</f>
        <v>0.18836575274670889</v>
      </c>
      <c r="MF79" s="127">
        <f>$D54*(1+$C$4)^(SUM($F$67:MF$67))</f>
        <v>0.18836575274670889</v>
      </c>
      <c r="MG79" s="127">
        <f>$D54*(1+$C$4)^(SUM($F$67:MG$67))</f>
        <v>0.18836575274670889</v>
      </c>
      <c r="MH79" s="127">
        <f>$D54*(1+$C$4)^(SUM($F$67:MH$67))</f>
        <v>0.18836575274670889</v>
      </c>
      <c r="MI79" s="127">
        <f>$D54*(1+$C$4)^(SUM($F$67:MI$67))</f>
        <v>0.18836575274670889</v>
      </c>
      <c r="MJ79" s="127">
        <f>$D54*(1+$C$4)^(SUM($F$67:MJ$67))</f>
        <v>0.18836575274670889</v>
      </c>
      <c r="MK79" s="127">
        <f>$D54*(1+$C$4)^(SUM($F$67:MK$67))</f>
        <v>0.18836575274670889</v>
      </c>
      <c r="ML79" s="127">
        <f>$D54*(1+$C$4)^(SUM($F$67:ML$67))</f>
        <v>0.18836575274670889</v>
      </c>
      <c r="MM79" s="127">
        <f>$D54*(1+$C$4)^(SUM($F$67:MM$67))</f>
        <v>0.18836575274670889</v>
      </c>
      <c r="MN79" s="127">
        <f>$D54*(1+$C$4)^(SUM($F$67:MN$67))</f>
        <v>0.18836575274670889</v>
      </c>
      <c r="MO79" s="127">
        <f>$D54*(1+$C$4)^(SUM($F$67:MO$67))</f>
        <v>0.18836575274670889</v>
      </c>
      <c r="MP79" s="127">
        <f>$D54*(1+$C$4)^(SUM($F$67:MP$67))</f>
        <v>0.18836575274670889</v>
      </c>
      <c r="MQ79" s="127">
        <f>$D54*(1+$C$4)^(SUM($F$67:MQ$67))</f>
        <v>0.18836575274670889</v>
      </c>
      <c r="MR79" s="127">
        <f>$D54*(1+$C$4)^(SUM($F$67:MR$67))</f>
        <v>0.18836575274670889</v>
      </c>
      <c r="MS79" s="127">
        <f>$D54*(1+$C$4)^(SUM($F$67:MS$67))</f>
        <v>0.18836575274670889</v>
      </c>
      <c r="MT79" s="127">
        <f>$D54*(1+$C$4)^(SUM($F$67:MT$67))</f>
        <v>0.18836575274670889</v>
      </c>
      <c r="MU79" s="127">
        <f>$D54*(1+$C$4)^(SUM($F$67:MU$67))</f>
        <v>0.18836575274670889</v>
      </c>
      <c r="MV79" s="127">
        <f>$D54*(1+$C$4)^(SUM($F$67:MV$67))</f>
        <v>0.18836575274670889</v>
      </c>
      <c r="MW79" s="127">
        <f>$D54*(1+$C$4)^(SUM($F$67:MW$67))</f>
        <v>0.18836575274670889</v>
      </c>
      <c r="MX79" s="127">
        <f>$D54*(1+$C$4)^(SUM($F$67:MX$67))</f>
        <v>0.18836575274670889</v>
      </c>
      <c r="MY79" s="127">
        <f>$D54*(1+$C$4)^(SUM($F$67:MY$67))</f>
        <v>0.18836575274670889</v>
      </c>
      <c r="MZ79" s="127">
        <f>$D54*(1+$C$4)^(SUM($F$67:MZ$67))</f>
        <v>0.18836575274670889</v>
      </c>
      <c r="NA79" s="127">
        <f>$D54*(1+$C$4)^(SUM($F$67:NA$67))</f>
        <v>0.18836575274670889</v>
      </c>
      <c r="NB79" s="127">
        <f>$D54*(1+$C$4)^(SUM($F$67:NB$67))</f>
        <v>0.18836575274670889</v>
      </c>
      <c r="NC79" s="127">
        <f>$D54*(1+$C$4)^(SUM($F$67:NC$67))</f>
        <v>0.18836575274670889</v>
      </c>
      <c r="ND79" s="127">
        <f>$D54*(1+$C$4)^(SUM($F$67:ND$67))</f>
        <v>0.18836575274670889</v>
      </c>
      <c r="NE79" s="127">
        <f>$D54*(1+$C$4)^(SUM($F$67:NE$67))</f>
        <v>0.18836575274670889</v>
      </c>
      <c r="NF79" s="127">
        <f>$D54*(1+$C$4)^(SUM($F$67:NF$67))</f>
        <v>0.18836575274670889</v>
      </c>
      <c r="NG79" s="127">
        <f>$D54*(1+$C$4)^(SUM($F$67:NG$67))</f>
        <v>0.18836575274670889</v>
      </c>
      <c r="NH79" s="127">
        <f>$D54*(1+$C$4)^(SUM($F$67:NH$67))</f>
        <v>0.18836575274670889</v>
      </c>
      <c r="NI79" s="127">
        <f>$D54*(1+$C$4)^(SUM($F$67:NI$67))</f>
        <v>0.18836575274670889</v>
      </c>
      <c r="NJ79" s="127">
        <f>$D54*(1+$C$4)^(SUM($F$67:NJ$67))</f>
        <v>0.18836575274670889</v>
      </c>
      <c r="NK79" s="127">
        <f>$D54*(1+$C$4)^(SUM($F$67:NK$67))</f>
        <v>0.18836575274670889</v>
      </c>
      <c r="NL79" s="127">
        <f>$D54*(1+$C$4)^(SUM($F$67:NL$67))</f>
        <v>0.18836575274670889</v>
      </c>
      <c r="NM79" s="127">
        <f>$D54*(1+$C$4)^(SUM($F$67:NM$67))</f>
        <v>0.18836575274670889</v>
      </c>
      <c r="NN79" s="127">
        <f>$D54*(1+$C$4)^(SUM($F$67:NN$67))</f>
        <v>0.18836575274670889</v>
      </c>
      <c r="NO79" s="127">
        <f>$D54*(1+$C$4)^(SUM($F$67:NO$67))</f>
        <v>0.18836575274670889</v>
      </c>
      <c r="NP79" s="127">
        <f>$D54*(1+$C$4)^(SUM($F$67:NP$67))</f>
        <v>0.18836575274670889</v>
      </c>
      <c r="NQ79" s="127">
        <f>$D54*(1+$C$4)^(SUM($F$67:NQ$67))</f>
        <v>0.18836575274670889</v>
      </c>
      <c r="NR79" s="127">
        <f>$D54*(1+$C$4)^(SUM($F$67:NR$67))</f>
        <v>0.18836575274670889</v>
      </c>
      <c r="NS79" s="127">
        <f>$D54*(1+$C$4)^(SUM($F$67:NS$67))</f>
        <v>0.18836575274670889</v>
      </c>
      <c r="NT79" s="127">
        <f>$D54*(1+$C$4)^(SUM($F$67:NT$67))</f>
        <v>0.18836575274670889</v>
      </c>
      <c r="NU79" s="127">
        <f>$D54*(1+$C$4)^(SUM($F$67:NU$67))</f>
        <v>0.18836575274670889</v>
      </c>
      <c r="NV79" s="127">
        <f>$D54*(1+$C$4)^(SUM($F$67:NV$67))</f>
        <v>0.18836575274670889</v>
      </c>
      <c r="NW79" s="127">
        <f>$D54*(1+$C$4)^(SUM($F$67:NW$67))</f>
        <v>0.18836575274670889</v>
      </c>
      <c r="NX79" s="127">
        <f>$D54*(1+$C$4)^(SUM($F$67:NX$67))</f>
        <v>0.18836575274670889</v>
      </c>
      <c r="NY79" s="127">
        <f>$D54*(1+$C$4)^(SUM($F$67:NY$67))</f>
        <v>0.18836575274670889</v>
      </c>
      <c r="NZ79" s="127">
        <f>$D54*(1+$C$4)^(SUM($F$67:NZ$67))</f>
        <v>0.18836575274670889</v>
      </c>
      <c r="OA79" s="127">
        <f>$D54*(1+$C$4)^(SUM($F$67:OA$67))</f>
        <v>0.18836575274670889</v>
      </c>
      <c r="OB79" s="127">
        <f>$D54*(1+$C$4)^(SUM($F$67:OB$67))</f>
        <v>0.18836575274670889</v>
      </c>
      <c r="OC79" s="127">
        <f>$D54*(1+$C$4)^(SUM($F$67:OC$67))</f>
        <v>0.18836575274670889</v>
      </c>
      <c r="OD79" s="127">
        <f>$D54*(1+$C$4)^(SUM($F$67:OD$67))</f>
        <v>0.18836575274670889</v>
      </c>
      <c r="OE79" s="127">
        <f>$D54*(1+$C$4)^(SUM($F$67:OE$67))</f>
        <v>0.18836575274670889</v>
      </c>
      <c r="OF79" s="127">
        <f>$D54*(1+$C$4)^(SUM($F$67:OF$67))</f>
        <v>0.18836575274670889</v>
      </c>
      <c r="OG79" s="127">
        <f>$D54*(1+$C$4)^(SUM($F$67:OG$67))</f>
        <v>0.18836575274670889</v>
      </c>
      <c r="OH79" s="127">
        <f>$D54*(1+$C$4)^(SUM($F$67:OH$67))</f>
        <v>0.18836575274670889</v>
      </c>
      <c r="OI79" s="127">
        <f>$D54*(1+$C$4)^(SUM($F$67:OI$67))</f>
        <v>0.18836575274670889</v>
      </c>
      <c r="OJ79" s="127">
        <f>$D54*(1+$C$4)^(SUM($F$67:OJ$67))</f>
        <v>0.18836575274670889</v>
      </c>
      <c r="OK79" s="127">
        <f>$D54*(1+$C$4)^(SUM($F$67:OK$67))</f>
        <v>0.18836575274670889</v>
      </c>
      <c r="OL79" s="127">
        <f>$D54*(1+$C$4)^(SUM($F$67:OL$67))</f>
        <v>0.18836575274670889</v>
      </c>
      <c r="OM79" s="127">
        <f>$D54*(1+$C$4)^(SUM($F$67:OM$67))</f>
        <v>0.18836575274670889</v>
      </c>
      <c r="ON79" s="127">
        <f>$D54*(1+$C$4)^(SUM($F$67:ON$67))</f>
        <v>0.18836575274670889</v>
      </c>
      <c r="OO79" s="127">
        <f>$D54*(1+$C$4)^(SUM($F$67:OO$67))</f>
        <v>0.18836575274670889</v>
      </c>
      <c r="OP79" s="127">
        <f>$D54*(1+$C$4)^(SUM($F$67:OP$67))</f>
        <v>0.18836575274670889</v>
      </c>
      <c r="OQ79" s="127">
        <f>$D54*(1+$C$4)^(SUM($F$67:OQ$67))</f>
        <v>0.18836575274670889</v>
      </c>
      <c r="OR79" s="127">
        <f>$D54*(1+$C$4)^(SUM($F$67:OR$67))</f>
        <v>0.18836575274670889</v>
      </c>
      <c r="OS79" s="127">
        <f>$D54*(1+$C$4)^(SUM($F$67:OS$67))</f>
        <v>0.18836575274670889</v>
      </c>
      <c r="OT79" s="127">
        <f>$D54*(1+$C$4)^(SUM($F$67:OT$67))</f>
        <v>0.18836575274670889</v>
      </c>
      <c r="OU79" s="127">
        <f>$D54*(1+$C$4)^(SUM($F$67:OU$67))</f>
        <v>0.18836575274670889</v>
      </c>
      <c r="OV79" s="127">
        <f>$D54*(1+$C$4)^(SUM($F$67:OV$67))</f>
        <v>0.18836575274670889</v>
      </c>
      <c r="OW79" s="127">
        <f>$D54*(1+$C$4)^(SUM($F$67:OW$67))</f>
        <v>0.18836575274670889</v>
      </c>
      <c r="OX79" s="127">
        <f>$D54*(1+$C$4)^(SUM($F$67:OX$67))</f>
        <v>0.18836575274670889</v>
      </c>
      <c r="OY79" s="127">
        <f>$D54*(1+$C$4)^(SUM($F$67:OY$67))</f>
        <v>0.18836575274670889</v>
      </c>
      <c r="OZ79" s="127">
        <f>$D54*(1+$C$4)^(SUM($F$67:OZ$67))</f>
        <v>0.18836575274670889</v>
      </c>
      <c r="PA79" s="127">
        <f>$D54*(1+$C$4)^(SUM($F$67:PA$67))</f>
        <v>0.18836575274670889</v>
      </c>
      <c r="PB79" s="127">
        <f>$D54*(1+$C$4)^(SUM($F$67:PB$67))</f>
        <v>0.18836575274670889</v>
      </c>
      <c r="PC79" s="127">
        <f>$D54*(1+$C$4)^(SUM($F$67:PC$67))</f>
        <v>0.18836575274670889</v>
      </c>
      <c r="PD79" s="127">
        <f>$D54*(1+$C$4)^(SUM($F$67:PD$67))</f>
        <v>0.18836575274670889</v>
      </c>
      <c r="PE79" s="127">
        <f>$D54*(1+$C$4)^(SUM($F$67:PE$67))</f>
        <v>0.18836575274670889</v>
      </c>
      <c r="PF79" s="127">
        <f>$D54*(1+$C$4)^(SUM($F$67:PF$67))</f>
        <v>0.18836575274670889</v>
      </c>
      <c r="PG79" s="127">
        <f>$D54*(1+$C$4)^(SUM($F$67:PG$67))</f>
        <v>0.18836575274670889</v>
      </c>
      <c r="PH79" s="127">
        <f>$D54*(1+$C$4)^(SUM($F$67:PH$67))</f>
        <v>0.18836575274670889</v>
      </c>
      <c r="PI79" s="127">
        <f>$D54*(1+$C$4)^(SUM($F$67:PI$67))</f>
        <v>0.18836575274670889</v>
      </c>
      <c r="PJ79" s="127">
        <f>$D54*(1+$C$4)^(SUM($F$67:PJ$67))</f>
        <v>0.18836575274670889</v>
      </c>
      <c r="PK79" s="127">
        <f>$D54*(1+$C$4)^(SUM($F$67:PK$67))</f>
        <v>0.18836575274670889</v>
      </c>
      <c r="PL79" s="127">
        <f>$D54*(1+$C$4)^(SUM($F$67:PL$67))</f>
        <v>0.18836575274670889</v>
      </c>
      <c r="PM79" s="127">
        <f>$D54*(1+$C$4)^(SUM($F$67:PM$67))</f>
        <v>0.18836575274670889</v>
      </c>
      <c r="PN79" s="127">
        <f>$D54*(1+$C$4)^(SUM($F$67:PN$67))</f>
        <v>0.18836575274670889</v>
      </c>
      <c r="PO79" s="127">
        <f>$D54*(1+$C$4)^(SUM($F$67:PO$67))</f>
        <v>0.18836575274670889</v>
      </c>
      <c r="PP79" s="127">
        <f>$D54*(1+$C$4)^(SUM($F$67:PP$67))</f>
        <v>0.18836575274670889</v>
      </c>
      <c r="PQ79" s="127">
        <f>$D54*(1+$C$4)^(SUM($F$67:PQ$67))</f>
        <v>0.18836575274670889</v>
      </c>
      <c r="PR79" s="127">
        <f>$D54*(1+$C$4)^(SUM($F$67:PR$67))</f>
        <v>0.18836575274670889</v>
      </c>
      <c r="PS79" s="127">
        <f>$D54*(1+$C$4)^(SUM($F$67:PS$67))</f>
        <v>0.18836575274670889</v>
      </c>
      <c r="PT79" s="127">
        <f>$D54*(1+$C$4)^(SUM($F$67:PT$67))</f>
        <v>0.18836575274670889</v>
      </c>
      <c r="PU79" s="127">
        <f>$D54*(1+$C$4)^(SUM($F$67:PU$67))</f>
        <v>0.18836575274670889</v>
      </c>
      <c r="PV79" s="127">
        <f>$D54*(1+$C$4)^(SUM($F$67:PV$67))</f>
        <v>0.18836575274670889</v>
      </c>
      <c r="PW79" s="127">
        <f>$D54*(1+$C$4)^(SUM($F$67:PW$67))</f>
        <v>0.18836575274670889</v>
      </c>
      <c r="PX79" s="127">
        <f>$D54*(1+$C$4)^(SUM($F$67:PX$67))</f>
        <v>0.18836575274670889</v>
      </c>
      <c r="PY79" s="127">
        <f>$D54*(1+$C$4)^(SUM($F$67:PY$67))</f>
        <v>0.18836575274670889</v>
      </c>
      <c r="PZ79" s="127">
        <f>$D54*(1+$C$4)^(SUM($F$67:PZ$67))</f>
        <v>0.18836575274670889</v>
      </c>
      <c r="QA79" s="127">
        <f>$D54*(1+$C$4)^(SUM($F$67:QA$67))</f>
        <v>0.18836575274670889</v>
      </c>
      <c r="QB79" s="127">
        <f>$D54*(1+$C$4)^(SUM($F$67:QB$67))</f>
        <v>0.18836575274670889</v>
      </c>
      <c r="QC79" s="127">
        <f>$D54*(1+$C$4)^(SUM($F$67:QC$67))</f>
        <v>0.18836575274670889</v>
      </c>
      <c r="QD79" s="127">
        <f>$D54*(1+$C$4)^(SUM($F$67:QD$67))</f>
        <v>0.18836575274670889</v>
      </c>
      <c r="QE79" s="127">
        <f>$D54*(1+$C$4)^(SUM($F$67:QE$67))</f>
        <v>0.18836575274670889</v>
      </c>
      <c r="QF79" s="127">
        <f>$D54*(1+$C$4)^(SUM($F$67:QF$67))</f>
        <v>0.18836575274670889</v>
      </c>
      <c r="QG79" s="127">
        <f>$D54*(1+$C$4)^(SUM($F$67:QG$67))</f>
        <v>0.18836575274670889</v>
      </c>
      <c r="QH79" s="127">
        <f>$D54*(1+$C$4)^(SUM($F$67:QH$67))</f>
        <v>0.18836575274670889</v>
      </c>
      <c r="QI79" s="127">
        <f>$D54*(1+$C$4)^(SUM($F$67:QI$67))</f>
        <v>0.18836575274670889</v>
      </c>
      <c r="QJ79" s="127">
        <f>$D54*(1+$C$4)^(SUM($F$67:QJ$67))</f>
        <v>0.18836575274670889</v>
      </c>
      <c r="QK79" s="127">
        <f>$D54*(1+$C$4)^(SUM($F$67:QK$67))</f>
        <v>0.18836575274670889</v>
      </c>
      <c r="QL79" s="127">
        <f>$D54*(1+$C$4)^(SUM($F$67:QL$67))</f>
        <v>0.18836575274670889</v>
      </c>
      <c r="QM79" s="127">
        <f>$D54*(1+$C$4)^(SUM($F$67:QM$67))</f>
        <v>0.18836575274670889</v>
      </c>
      <c r="QN79" s="127">
        <f>$D54*(1+$C$4)^(SUM($F$67:QN$67))</f>
        <v>0.18836575274670889</v>
      </c>
      <c r="QO79" s="127">
        <f>$D54*(1+$C$4)^(SUM($F$67:QO$67))</f>
        <v>0.18836575274670889</v>
      </c>
      <c r="QP79" s="127">
        <f>$D54*(1+$C$4)^(SUM($F$67:QP$67))</f>
        <v>0.18836575274670889</v>
      </c>
      <c r="QQ79" s="127">
        <f>$D54*(1+$C$4)^(SUM($F$67:QQ$67))</f>
        <v>0.18836575274670889</v>
      </c>
      <c r="QR79" s="127">
        <f>$D54*(1+$C$4)^(SUM($F$67:QR$67))</f>
        <v>0.18836575274670889</v>
      </c>
      <c r="QS79" s="127">
        <f>$D54*(1+$C$4)^(SUM($F$67:QS$67))</f>
        <v>0.18836575274670889</v>
      </c>
      <c r="QT79" s="127">
        <f>$D54*(1+$C$4)^(SUM($F$67:QT$67))</f>
        <v>0.18836575274670889</v>
      </c>
      <c r="QU79" s="127">
        <f>$D54*(1+$C$4)^(SUM($F$67:QU$67))</f>
        <v>0.18836575274670889</v>
      </c>
      <c r="QV79" s="127">
        <f>$D54*(1+$C$4)^(SUM($F$67:QV$67))</f>
        <v>0.18836575274670889</v>
      </c>
      <c r="QW79" s="127">
        <f>$D54*(1+$C$4)^(SUM($F$67:QW$67))</f>
        <v>0.18836575274670889</v>
      </c>
      <c r="QX79" s="127">
        <f>$D54*(1+$C$4)^(SUM($F$67:QX$67))</f>
        <v>0.18836575274670889</v>
      </c>
      <c r="QY79" s="127">
        <f>$D54*(1+$C$4)^(SUM($F$67:QY$67))</f>
        <v>0.18836575274670889</v>
      </c>
      <c r="QZ79" s="127">
        <f>$D54*(1+$C$4)^(SUM($F$67:QZ$67))</f>
        <v>0.18836575274670889</v>
      </c>
      <c r="RA79" s="127">
        <f>$D54*(1+$C$4)^(SUM($F$67:RA$67))</f>
        <v>0.18836575274670889</v>
      </c>
      <c r="RB79" s="127">
        <f>$D54*(1+$C$4)^(SUM($F$67:RB$67))</f>
        <v>0.18836575274670889</v>
      </c>
      <c r="RC79" s="127">
        <f>$D54*(1+$C$4)^(SUM($F$67:RC$67))</f>
        <v>0.18836575274670889</v>
      </c>
      <c r="RD79" s="127">
        <f>$D54*(1+$C$4)^(SUM($F$67:RD$67))</f>
        <v>0.18836575274670889</v>
      </c>
      <c r="RE79" s="127">
        <f>$D54*(1+$C$4)^(SUM($F$67:RE$67))</f>
        <v>0.18836575274670889</v>
      </c>
      <c r="RF79" s="127">
        <f>$D54*(1+$C$4)^(SUM($F$67:RF$67))</f>
        <v>0.18836575274670889</v>
      </c>
      <c r="RG79" s="127">
        <f>$D54*(1+$C$4)^(SUM($F$67:RG$67))</f>
        <v>0.18836575274670889</v>
      </c>
      <c r="RH79" s="127">
        <f>$D54*(1+$C$4)^(SUM($F$67:RH$67))</f>
        <v>0.18836575274670889</v>
      </c>
      <c r="RI79" s="127">
        <f>$D54*(1+$C$4)^(SUM($F$67:RI$67))</f>
        <v>0.18836575274670889</v>
      </c>
      <c r="RJ79" s="127">
        <f>$D54*(1+$C$4)^(SUM($F$67:RJ$67))</f>
        <v>0.18836575274670889</v>
      </c>
      <c r="RK79" s="127">
        <f>$D54*(1+$C$4)^(SUM($F$67:RK$67))</f>
        <v>0.18836575274670889</v>
      </c>
      <c r="RL79" s="127">
        <f>$D54*(1+$C$4)^(SUM($F$67:RL$67))</f>
        <v>0.18836575274670889</v>
      </c>
      <c r="RM79" s="127">
        <f>$D54*(1+$C$4)^(SUM($F$67:RM$67))</f>
        <v>0.18836575274670889</v>
      </c>
      <c r="RN79" s="127">
        <f>$D54*(1+$C$4)^(SUM($F$67:RN$67))</f>
        <v>0.18836575274670889</v>
      </c>
      <c r="RO79" s="127">
        <f>$D54*(1+$C$4)^(SUM($F$67:RO$67))</f>
        <v>0.18836575274670889</v>
      </c>
      <c r="RP79" s="127">
        <f>$D54*(1+$C$4)^(SUM($F$67:RP$67))</f>
        <v>0.18836575274670889</v>
      </c>
      <c r="RQ79" s="127">
        <f>$D54*(1+$C$4)^(SUM($F$67:RQ$67))</f>
        <v>0.18836575274670889</v>
      </c>
      <c r="RR79" s="127">
        <f>$D54*(1+$C$4)^(SUM($F$67:RR$67))</f>
        <v>0.18836575274670889</v>
      </c>
    </row>
    <row r="80" spans="1:486" s="9" customFormat="1">
      <c r="A80" s="289"/>
      <c r="B80" s="66" t="s">
        <v>234</v>
      </c>
      <c r="E80" s="127">
        <f t="shared" si="28"/>
        <v>0.14786064599762344</v>
      </c>
      <c r="F80" s="127">
        <f>$D55*(1+$C$4)^(SUM($F$67:F$67))</f>
        <v>0.14786064599762344</v>
      </c>
      <c r="G80" s="127">
        <f>$D55*(1+$C$4)^(SUM($F$67:G$67))</f>
        <v>0.14786064599762344</v>
      </c>
      <c r="H80" s="127">
        <f>$D55*(1+$C$4)^(SUM($F$67:H$67))</f>
        <v>0.14786064599762344</v>
      </c>
      <c r="I80" s="127">
        <f>$D55*(1+$C$4)^(SUM($F$67:I$67))</f>
        <v>0.14786064599762344</v>
      </c>
      <c r="J80" s="127">
        <f>$D55*(1+$C$4)^(SUM($F$67:J$67))</f>
        <v>0.14786064599762344</v>
      </c>
      <c r="K80" s="127">
        <f>$D55*(1+$C$4)^(SUM($F$67:K$67))</f>
        <v>0.14786064599762344</v>
      </c>
      <c r="L80" s="127">
        <f>$D55*(1+$C$4)^(SUM($F$67:L$67))</f>
        <v>0.14786064599762344</v>
      </c>
      <c r="M80" s="127">
        <f>$D55*(1+$C$4)^(SUM($F$67:M$67))</f>
        <v>0.14786064599762344</v>
      </c>
      <c r="N80" s="127">
        <f>$D55*(1+$C$4)^(SUM($F$67:N$67))</f>
        <v>0.14786064599762344</v>
      </c>
      <c r="O80" s="127">
        <f>$D55*(1+$C$4)^(SUM($F$67:O$67))</f>
        <v>0.14786064599762344</v>
      </c>
      <c r="P80" s="127">
        <f>$D55*(1+$C$4)^(SUM($F$67:P$67))</f>
        <v>0.14786064599762344</v>
      </c>
      <c r="Q80" s="127">
        <f>$D55*(1+$C$4)^(SUM($F$67:Q$67))</f>
        <v>0.14786064599762344</v>
      </c>
      <c r="R80" s="127">
        <f>$D55*(1+$C$4)^(SUM($F$67:R$67))</f>
        <v>0.14786064599762344</v>
      </c>
      <c r="S80" s="127">
        <f>$D55*(1+$C$4)^(SUM($F$67:S$67))</f>
        <v>0.14786064599762344</v>
      </c>
      <c r="T80" s="127">
        <f>$D55*(1+$C$4)^(SUM($F$67:T$67))</f>
        <v>0.14786064599762344</v>
      </c>
      <c r="U80" s="127">
        <f>$D55*(1+$C$4)^(SUM($F$67:U$67))</f>
        <v>0.14786064599762344</v>
      </c>
      <c r="V80" s="127">
        <f>$D55*(1+$C$4)^(SUM($F$67:V$67))</f>
        <v>0.14786064599762344</v>
      </c>
      <c r="W80" s="127">
        <f>$D55*(1+$C$4)^(SUM($F$67:W$67))</f>
        <v>0.14786064599762344</v>
      </c>
      <c r="X80" s="127">
        <f>$D55*(1+$C$4)^(SUM($F$67:X$67))</f>
        <v>0.14786064599762344</v>
      </c>
      <c r="Y80" s="127">
        <f>$D55*(1+$C$4)^(SUM($F$67:Y$67))</f>
        <v>0.14786064599762344</v>
      </c>
      <c r="Z80" s="127">
        <f>$D55*(1+$C$4)^(SUM($F$67:Z$67))</f>
        <v>0.14786064599762344</v>
      </c>
      <c r="AA80" s="127">
        <f>$D55*(1+$C$4)^(SUM($F$67:AA$67))</f>
        <v>0.14786064599762344</v>
      </c>
      <c r="AB80" s="127">
        <f>$D55*(1+$C$4)^(SUM($F$67:AB$67))</f>
        <v>0.14786064599762344</v>
      </c>
      <c r="AC80" s="127">
        <f>$D55*(1+$C$4)^(SUM($F$67:AC$67))</f>
        <v>0.14786064599762344</v>
      </c>
      <c r="AD80" s="127">
        <f>$D55*(1+$C$4)^(SUM($F$67:AD$67))</f>
        <v>0.14786064599762344</v>
      </c>
      <c r="AE80" s="127">
        <f>$D55*(1+$C$4)^(SUM($F$67:AE$67))</f>
        <v>0.14786064599762344</v>
      </c>
      <c r="AF80" s="127">
        <f>$D55*(1+$C$4)^(SUM($F$67:AF$67))</f>
        <v>0.14786064599762344</v>
      </c>
      <c r="AG80" s="127">
        <f>$D55*(1+$C$4)^(SUM($F$67:AG$67))</f>
        <v>0.14786064599762344</v>
      </c>
      <c r="AH80" s="127">
        <f>$D55*(1+$C$4)^(SUM($F$67:AH$67))</f>
        <v>0.14786064599762344</v>
      </c>
      <c r="AI80" s="127">
        <f>$D55*(1+$C$4)^(SUM($F$67:AI$67))</f>
        <v>0.14786064599762344</v>
      </c>
      <c r="AJ80" s="127">
        <f>$D55*(1+$C$4)^(SUM($F$67:AJ$67))</f>
        <v>0.14786064599762344</v>
      </c>
      <c r="AK80" s="127">
        <f>$D55*(1+$C$4)^(SUM($F$67:AK$67))</f>
        <v>0.14786064599762344</v>
      </c>
      <c r="AL80" s="127">
        <f>$D55*(1+$C$4)^(SUM($F$67:AL$67))</f>
        <v>0.14786064599762344</v>
      </c>
      <c r="AM80" s="127">
        <f>$D55*(1+$C$4)^(SUM($F$67:AM$67))</f>
        <v>0.14786064599762344</v>
      </c>
      <c r="AN80" s="127">
        <f>$D55*(1+$C$4)^(SUM($F$67:AN$67))</f>
        <v>0.14786064599762344</v>
      </c>
      <c r="AO80" s="127">
        <f>$D55*(1+$C$4)^(SUM($F$67:AO$67))</f>
        <v>0.14786064599762344</v>
      </c>
      <c r="AP80" s="127">
        <f>$D55*(1+$C$4)^(SUM($F$67:AP$67))</f>
        <v>0.14786064599762344</v>
      </c>
      <c r="AQ80" s="127">
        <f>$D55*(1+$C$4)^(SUM($F$67:AQ$67))</f>
        <v>0.14786064599762344</v>
      </c>
      <c r="AR80" s="127">
        <f>$D55*(1+$C$4)^(SUM($F$67:AR$67))</f>
        <v>0.14786064599762344</v>
      </c>
      <c r="AS80" s="127">
        <f>$D55*(1+$C$4)^(SUM($F$67:AS$67))</f>
        <v>0.14786064599762344</v>
      </c>
      <c r="AT80" s="127">
        <f>$D55*(1+$C$4)^(SUM($F$67:AT$67))</f>
        <v>0.14786064599762344</v>
      </c>
      <c r="AU80" s="127">
        <f>$D55*(1+$C$4)^(SUM($F$67:AU$67))</f>
        <v>0.14786064599762344</v>
      </c>
      <c r="AV80" s="127">
        <f>$D55*(1+$C$4)^(SUM($F$67:AV$67))</f>
        <v>0.14786064599762344</v>
      </c>
      <c r="AW80" s="127">
        <f>$D55*(1+$C$4)^(SUM($F$67:AW$67))</f>
        <v>0.14786064599762344</v>
      </c>
      <c r="AX80" s="127">
        <f>$D55*(1+$C$4)^(SUM($F$67:AX$67))</f>
        <v>0.14786064599762344</v>
      </c>
      <c r="AY80" s="127">
        <f>$D55*(1+$C$4)^(SUM($F$67:AY$67))</f>
        <v>0.14786064599762344</v>
      </c>
      <c r="AZ80" s="127">
        <f>$D55*(1+$C$4)^(SUM($F$67:AZ$67))</f>
        <v>0.14786064599762344</v>
      </c>
      <c r="BA80" s="127">
        <f>$D55*(1+$C$4)^(SUM($F$67:BA$67))</f>
        <v>0.14786064599762344</v>
      </c>
      <c r="BB80" s="127">
        <f>$D55*(1+$C$4)^(SUM($F$67:BB$67))</f>
        <v>0.14786064599762344</v>
      </c>
      <c r="BC80" s="127">
        <f>$D55*(1+$C$4)^(SUM($F$67:BC$67))</f>
        <v>0.14786064599762344</v>
      </c>
      <c r="BD80" s="127">
        <f>$D55*(1+$C$4)^(SUM($F$67:BD$67))</f>
        <v>0.14786064599762344</v>
      </c>
      <c r="BE80" s="127">
        <f>$D55*(1+$C$4)^(SUM($F$67:BE$67))</f>
        <v>0.14786064599762344</v>
      </c>
      <c r="BF80" s="127">
        <f>$D55*(1+$C$4)^(SUM($F$67:BF$67))</f>
        <v>0.14786064599762344</v>
      </c>
      <c r="BG80" s="127">
        <f>$D55*(1+$C$4)^(SUM($F$67:BG$67))</f>
        <v>0.14786064599762344</v>
      </c>
      <c r="BH80" s="127">
        <f>$D55*(1+$C$4)^(SUM($F$67:BH$67))</f>
        <v>0.14786064599762344</v>
      </c>
      <c r="BI80" s="127">
        <f>$D55*(1+$C$4)^(SUM($F$67:BI$67))</f>
        <v>0.14786064599762344</v>
      </c>
      <c r="BJ80" s="127">
        <f>$D55*(1+$C$4)^(SUM($F$67:BJ$67))</f>
        <v>0.14786064599762344</v>
      </c>
      <c r="BK80" s="127">
        <f>$D55*(1+$C$4)^(SUM($F$67:BK$67))</f>
        <v>0.14786064599762344</v>
      </c>
      <c r="BL80" s="127">
        <f>$D55*(1+$C$4)^(SUM($F$67:BL$67))</f>
        <v>0.14786064599762344</v>
      </c>
      <c r="BM80" s="127">
        <f>$D55*(1+$C$4)^(SUM($F$67:BM$67))</f>
        <v>0.14786064599762344</v>
      </c>
      <c r="BN80" s="127">
        <f>$D55*(1+$C$4)^(SUM($F$67:BN$67))</f>
        <v>0.14786064599762344</v>
      </c>
      <c r="BO80" s="127">
        <f>$D55*(1+$C$4)^(SUM($F$67:BO$67))</f>
        <v>0.14786064599762344</v>
      </c>
      <c r="BP80" s="127">
        <f>$D55*(1+$C$4)^(SUM($F$67:BP$67))</f>
        <v>0.14786064599762344</v>
      </c>
      <c r="BQ80" s="127">
        <f>$D55*(1+$C$4)^(SUM($F$67:BQ$67))</f>
        <v>0.14786064599762344</v>
      </c>
      <c r="BR80" s="127">
        <f>$D55*(1+$C$4)^(SUM($F$67:BR$67))</f>
        <v>0.14786064599762344</v>
      </c>
      <c r="BS80" s="127">
        <f>$D55*(1+$C$4)^(SUM($F$67:BS$67))</f>
        <v>0.14786064599762344</v>
      </c>
      <c r="BT80" s="127">
        <f>$D55*(1+$C$4)^(SUM($F$67:BT$67))</f>
        <v>0.14786064599762344</v>
      </c>
      <c r="BU80" s="127">
        <f>$D55*(1+$C$4)^(SUM($F$67:BU$67))</f>
        <v>0.14786064599762344</v>
      </c>
      <c r="BV80" s="127">
        <f>$D55*(1+$C$4)^(SUM($F$67:BV$67))</f>
        <v>0.14786064599762344</v>
      </c>
      <c r="BW80" s="127">
        <f>$D55*(1+$C$4)^(SUM($F$67:BW$67))</f>
        <v>0.14786064599762344</v>
      </c>
      <c r="BX80" s="127">
        <f>$D55*(1+$C$4)^(SUM($F$67:BX$67))</f>
        <v>0.14786064599762344</v>
      </c>
      <c r="BY80" s="127">
        <f>$D55*(1+$C$4)^(SUM($F$67:BY$67))</f>
        <v>0.14786064599762344</v>
      </c>
      <c r="BZ80" s="127">
        <f>$D55*(1+$C$4)^(SUM($F$67:BZ$67))</f>
        <v>0.14786064599762344</v>
      </c>
      <c r="CA80" s="127">
        <f>$D55*(1+$C$4)^(SUM($F$67:CA$67))</f>
        <v>0.14786064599762344</v>
      </c>
      <c r="CB80" s="127">
        <f>$D55*(1+$C$4)^(SUM($F$67:CB$67))</f>
        <v>0.14786064599762344</v>
      </c>
      <c r="CC80" s="127">
        <f>$D55*(1+$C$4)^(SUM($F$67:CC$67))</f>
        <v>0.14786064599762344</v>
      </c>
      <c r="CD80" s="127">
        <f>$D55*(1+$C$4)^(SUM($F$67:CD$67))</f>
        <v>0.14786064599762344</v>
      </c>
      <c r="CE80" s="127">
        <f>$D55*(1+$C$4)^(SUM($F$67:CE$67))</f>
        <v>0.14786064599762344</v>
      </c>
      <c r="CF80" s="127">
        <f>$D55*(1+$C$4)^(SUM($F$67:CF$67))</f>
        <v>0.14786064599762344</v>
      </c>
      <c r="CG80" s="127">
        <f>$D55*(1+$C$4)^(SUM($F$67:CG$67))</f>
        <v>0.14786064599762344</v>
      </c>
      <c r="CH80" s="127">
        <f>$D55*(1+$C$4)^(SUM($F$67:CH$67))</f>
        <v>0.14786064599762344</v>
      </c>
      <c r="CI80" s="127">
        <f>$D55*(1+$C$4)^(SUM($F$67:CI$67))</f>
        <v>0.14786064599762344</v>
      </c>
      <c r="CJ80" s="127">
        <f>$D55*(1+$C$4)^(SUM($F$67:CJ$67))</f>
        <v>0.14786064599762344</v>
      </c>
      <c r="CK80" s="127">
        <f>$D55*(1+$C$4)^(SUM($F$67:CK$67))</f>
        <v>0.14786064599762344</v>
      </c>
      <c r="CL80" s="127">
        <f>$D55*(1+$C$4)^(SUM($F$67:CL$67))</f>
        <v>0.14786064599762344</v>
      </c>
      <c r="CM80" s="127">
        <f>$D55*(1+$C$4)^(SUM($F$67:CM$67))</f>
        <v>0.14786064599762344</v>
      </c>
      <c r="CN80" s="127">
        <f>$D55*(1+$C$4)^(SUM($F$67:CN$67))</f>
        <v>0.14786064599762344</v>
      </c>
      <c r="CO80" s="127">
        <f>$D55*(1+$C$4)^(SUM($F$67:CO$67))</f>
        <v>0.14786064599762344</v>
      </c>
      <c r="CP80" s="127">
        <f>$D55*(1+$C$4)^(SUM($F$67:CP$67))</f>
        <v>0.14786064599762344</v>
      </c>
      <c r="CQ80" s="127">
        <f>$D55*(1+$C$4)^(SUM($F$67:CQ$67))</f>
        <v>0.14786064599762344</v>
      </c>
      <c r="CR80" s="127">
        <f>$D55*(1+$C$4)^(SUM($F$67:CR$67))</f>
        <v>0.14786064599762344</v>
      </c>
      <c r="CS80" s="127">
        <f>$D55*(1+$C$4)^(SUM($F$67:CS$67))</f>
        <v>0.14786064599762344</v>
      </c>
      <c r="CT80" s="127">
        <f>$D55*(1+$C$4)^(SUM($F$67:CT$67))</f>
        <v>0.14786064599762344</v>
      </c>
      <c r="CU80" s="127">
        <f>$D55*(1+$C$4)^(SUM($F$67:CU$67))</f>
        <v>0.14786064599762344</v>
      </c>
      <c r="CV80" s="127">
        <f>$D55*(1+$C$4)^(SUM($F$67:CV$67))</f>
        <v>0.14786064599762344</v>
      </c>
      <c r="CW80" s="127">
        <f>$D55*(1+$C$4)^(SUM($F$67:CW$67))</f>
        <v>0.14786064599762344</v>
      </c>
      <c r="CX80" s="127">
        <f>$D55*(1+$C$4)^(SUM($F$67:CX$67))</f>
        <v>0.14786064599762344</v>
      </c>
      <c r="CY80" s="127">
        <f>$D55*(1+$C$4)^(SUM($F$67:CY$67))</f>
        <v>0.14786064599762344</v>
      </c>
      <c r="CZ80" s="127">
        <f>$D55*(1+$C$4)^(SUM($F$67:CZ$67))</f>
        <v>0.14786064599762344</v>
      </c>
      <c r="DA80" s="127">
        <f>$D55*(1+$C$4)^(SUM($F$67:DA$67))</f>
        <v>0.14786064599762344</v>
      </c>
      <c r="DB80" s="127">
        <f>$D55*(1+$C$4)^(SUM($F$67:DB$67))</f>
        <v>0.14786064599762344</v>
      </c>
      <c r="DC80" s="127">
        <f>$D55*(1+$C$4)^(SUM($F$67:DC$67))</f>
        <v>0.14786064599762344</v>
      </c>
      <c r="DD80" s="127">
        <f>$D55*(1+$C$4)^(SUM($F$67:DD$67))</f>
        <v>0.14786064599762344</v>
      </c>
      <c r="DE80" s="127">
        <f>$D55*(1+$C$4)^(SUM($F$67:DE$67))</f>
        <v>0.14786064599762344</v>
      </c>
      <c r="DF80" s="127">
        <f>$D55*(1+$C$4)^(SUM($F$67:DF$67))</f>
        <v>0.14786064599762344</v>
      </c>
      <c r="DG80" s="127">
        <f>$D55*(1+$C$4)^(SUM($F$67:DG$67))</f>
        <v>0.14786064599762344</v>
      </c>
      <c r="DH80" s="127">
        <f>$D55*(1+$C$4)^(SUM($F$67:DH$67))</f>
        <v>0.14786064599762344</v>
      </c>
      <c r="DI80" s="127">
        <f>$D55*(1+$C$4)^(SUM($F$67:DI$67))</f>
        <v>0.14786064599762344</v>
      </c>
      <c r="DJ80" s="127">
        <f>$D55*(1+$C$4)^(SUM($F$67:DJ$67))</f>
        <v>0.14786064599762344</v>
      </c>
      <c r="DK80" s="127">
        <f>$D55*(1+$C$4)^(SUM($F$67:DK$67))</f>
        <v>0.14786064599762344</v>
      </c>
      <c r="DL80" s="127">
        <f>$D55*(1+$C$4)^(SUM($F$67:DL$67))</f>
        <v>0.14786064599762344</v>
      </c>
      <c r="DM80" s="127">
        <f>$D55*(1+$C$4)^(SUM($F$67:DM$67))</f>
        <v>0.14786064599762344</v>
      </c>
      <c r="DN80" s="127">
        <f>$D55*(1+$C$4)^(SUM($F$67:DN$67))</f>
        <v>0.14786064599762344</v>
      </c>
      <c r="DO80" s="127">
        <f>$D55*(1+$C$4)^(SUM($F$67:DO$67))</f>
        <v>0.14786064599762344</v>
      </c>
      <c r="DP80" s="127">
        <f>$D55*(1+$C$4)^(SUM($F$67:DP$67))</f>
        <v>0.14786064599762344</v>
      </c>
      <c r="DQ80" s="127">
        <f>$D55*(1+$C$4)^(SUM($F$67:DQ$67))</f>
        <v>0.14786064599762344</v>
      </c>
      <c r="DR80" s="127">
        <f>$D55*(1+$C$4)^(SUM($F$67:DR$67))</f>
        <v>0.14786064599762344</v>
      </c>
      <c r="DS80" s="127">
        <f>$D55*(1+$C$4)^(SUM($F$67:DS$67))</f>
        <v>0.14786064599762344</v>
      </c>
      <c r="DT80" s="127">
        <f>$D55*(1+$C$4)^(SUM($F$67:DT$67))</f>
        <v>0.14786064599762344</v>
      </c>
      <c r="DU80" s="127">
        <f>$D55*(1+$C$4)^(SUM($F$67:DU$67))</f>
        <v>0.14786064599762344</v>
      </c>
      <c r="DV80" s="127">
        <f>$D55*(1+$C$4)^(SUM($F$67:DV$67))</f>
        <v>0.14786064599762344</v>
      </c>
      <c r="DW80" s="127">
        <f>$D55*(1+$C$4)^(SUM($F$67:DW$67))</f>
        <v>0.14786064599762344</v>
      </c>
      <c r="DX80" s="127">
        <f>$D55*(1+$C$4)^(SUM($F$67:DX$67))</f>
        <v>0.14786064599762344</v>
      </c>
      <c r="DY80" s="127">
        <f>$D55*(1+$C$4)^(SUM($F$67:DY$67))</f>
        <v>0.14786064599762344</v>
      </c>
      <c r="DZ80" s="127">
        <f>$D55*(1+$C$4)^(SUM($F$67:DZ$67))</f>
        <v>0.14786064599762344</v>
      </c>
      <c r="EA80" s="127">
        <f>$D55*(1+$C$4)^(SUM($F$67:EA$67))</f>
        <v>0.14786064599762344</v>
      </c>
      <c r="EB80" s="127">
        <f>$D55*(1+$C$4)^(SUM($F$67:EB$67))</f>
        <v>0.14786064599762344</v>
      </c>
      <c r="EC80" s="127">
        <f>$D55*(1+$C$4)^(SUM($F$67:EC$67))</f>
        <v>0.14786064599762344</v>
      </c>
      <c r="ED80" s="127">
        <f>$D55*(1+$C$4)^(SUM($F$67:ED$67))</f>
        <v>0.14786064599762344</v>
      </c>
      <c r="EE80" s="127">
        <f>$D55*(1+$C$4)^(SUM($F$67:EE$67))</f>
        <v>0.14786064599762344</v>
      </c>
      <c r="EF80" s="127">
        <f>$D55*(1+$C$4)^(SUM($F$67:EF$67))</f>
        <v>0.14786064599762344</v>
      </c>
      <c r="EG80" s="127">
        <f>$D55*(1+$C$4)^(SUM($F$67:EG$67))</f>
        <v>0.14786064599762344</v>
      </c>
      <c r="EH80" s="127">
        <f>$D55*(1+$C$4)^(SUM($F$67:EH$67))</f>
        <v>0.14786064599762344</v>
      </c>
      <c r="EI80" s="127">
        <f>$D55*(1+$C$4)^(SUM($F$67:EI$67))</f>
        <v>0.14786064599762344</v>
      </c>
      <c r="EJ80" s="127">
        <f>$D55*(1+$C$4)^(SUM($F$67:EJ$67))</f>
        <v>0.14786064599762344</v>
      </c>
      <c r="EK80" s="127">
        <f>$D55*(1+$C$4)^(SUM($F$67:EK$67))</f>
        <v>0.14786064599762344</v>
      </c>
      <c r="EL80" s="127">
        <f>$D55*(1+$C$4)^(SUM($F$67:EL$67))</f>
        <v>0.14786064599762344</v>
      </c>
      <c r="EM80" s="127">
        <f>$D55*(1+$C$4)^(SUM($F$67:EM$67))</f>
        <v>0.14786064599762344</v>
      </c>
      <c r="EN80" s="127">
        <f>$D55*(1+$C$4)^(SUM($F$67:EN$67))</f>
        <v>0.14786064599762344</v>
      </c>
      <c r="EO80" s="127">
        <f>$D55*(1+$C$4)^(SUM($F$67:EO$67))</f>
        <v>0.14786064599762344</v>
      </c>
      <c r="EP80" s="127">
        <f>$D55*(1+$C$4)^(SUM($F$67:EP$67))</f>
        <v>0.14786064599762344</v>
      </c>
      <c r="EQ80" s="127">
        <f>$D55*(1+$C$4)^(SUM($F$67:EQ$67))</f>
        <v>0.14786064599762344</v>
      </c>
      <c r="ER80" s="127">
        <f>$D55*(1+$C$4)^(SUM($F$67:ER$67))</f>
        <v>0.14786064599762344</v>
      </c>
      <c r="ES80" s="127">
        <f>$D55*(1+$C$4)^(SUM($F$67:ES$67))</f>
        <v>0.14786064599762344</v>
      </c>
      <c r="ET80" s="127">
        <f>$D55*(1+$C$4)^(SUM($F$67:ET$67))</f>
        <v>0.14786064599762344</v>
      </c>
      <c r="EU80" s="127">
        <f>$D55*(1+$C$4)^(SUM($F$67:EU$67))</f>
        <v>0.14786064599762344</v>
      </c>
      <c r="EV80" s="127">
        <f>$D55*(1+$C$4)^(SUM($F$67:EV$67))</f>
        <v>0.14786064599762344</v>
      </c>
      <c r="EW80" s="127">
        <f>$D55*(1+$C$4)^(SUM($F$67:EW$67))</f>
        <v>0.14786064599762344</v>
      </c>
      <c r="EX80" s="127">
        <f>$D55*(1+$C$4)^(SUM($F$67:EX$67))</f>
        <v>0.14786064599762344</v>
      </c>
      <c r="EY80" s="127">
        <f>$D55*(1+$C$4)^(SUM($F$67:EY$67))</f>
        <v>0.14786064599762344</v>
      </c>
      <c r="EZ80" s="127">
        <f>$D55*(1+$C$4)^(SUM($F$67:EZ$67))</f>
        <v>0.14786064599762344</v>
      </c>
      <c r="FA80" s="127">
        <f>$D55*(1+$C$4)^(SUM($F$67:FA$67))</f>
        <v>0.14786064599762344</v>
      </c>
      <c r="FB80" s="127">
        <f>$D55*(1+$C$4)^(SUM($F$67:FB$67))</f>
        <v>0.14786064599762344</v>
      </c>
      <c r="FC80" s="127">
        <f>$D55*(1+$C$4)^(SUM($F$67:FC$67))</f>
        <v>0.14786064599762344</v>
      </c>
      <c r="FD80" s="127">
        <f>$D55*(1+$C$4)^(SUM($F$67:FD$67))</f>
        <v>0.14786064599762344</v>
      </c>
      <c r="FE80" s="127">
        <f>$D55*(1+$C$4)^(SUM($F$67:FE$67))</f>
        <v>0.14786064599762344</v>
      </c>
      <c r="FF80" s="127">
        <f>$D55*(1+$C$4)^(SUM($F$67:FF$67))</f>
        <v>0.14786064599762344</v>
      </c>
      <c r="FG80" s="127">
        <f>$D55*(1+$C$4)^(SUM($F$67:FG$67))</f>
        <v>0.14786064599762344</v>
      </c>
      <c r="FH80" s="127">
        <f>$D55*(1+$C$4)^(SUM($F$67:FH$67))</f>
        <v>0.14786064599762344</v>
      </c>
      <c r="FI80" s="127">
        <f>$D55*(1+$C$4)^(SUM($F$67:FI$67))</f>
        <v>0.14786064599762344</v>
      </c>
      <c r="FJ80" s="127">
        <f>$D55*(1+$C$4)^(SUM($F$67:FJ$67))</f>
        <v>0.14786064599762344</v>
      </c>
      <c r="FK80" s="127">
        <f>$D55*(1+$C$4)^(SUM($F$67:FK$67))</f>
        <v>0.14786064599762344</v>
      </c>
      <c r="FL80" s="127">
        <f>$D55*(1+$C$4)^(SUM($F$67:FL$67))</f>
        <v>0.14786064599762344</v>
      </c>
      <c r="FM80" s="127">
        <f>$D55*(1+$C$4)^(SUM($F$67:FM$67))</f>
        <v>0.14786064599762344</v>
      </c>
      <c r="FN80" s="127">
        <f>$D55*(1+$C$4)^(SUM($F$67:FN$67))</f>
        <v>0.14786064599762344</v>
      </c>
      <c r="FO80" s="127">
        <f>$D55*(1+$C$4)^(SUM($F$67:FO$67))</f>
        <v>0.14786064599762344</v>
      </c>
      <c r="FP80" s="127">
        <f>$D55*(1+$C$4)^(SUM($F$67:FP$67))</f>
        <v>0.14786064599762344</v>
      </c>
      <c r="FQ80" s="127">
        <f>$D55*(1+$C$4)^(SUM($F$67:FQ$67))</f>
        <v>0.14786064599762344</v>
      </c>
      <c r="FR80" s="127">
        <f>$D55*(1+$C$4)^(SUM($F$67:FR$67))</f>
        <v>0.14786064599762344</v>
      </c>
      <c r="FS80" s="127">
        <f>$D55*(1+$C$4)^(SUM($F$67:FS$67))</f>
        <v>0.14786064599762344</v>
      </c>
      <c r="FT80" s="127">
        <f>$D55*(1+$C$4)^(SUM($F$67:FT$67))</f>
        <v>0.14786064599762344</v>
      </c>
      <c r="FU80" s="127">
        <f>$D55*(1+$C$4)^(SUM($F$67:FU$67))</f>
        <v>0.14786064599762344</v>
      </c>
      <c r="FV80" s="127">
        <f>$D55*(1+$C$4)^(SUM($F$67:FV$67))</f>
        <v>0.14786064599762344</v>
      </c>
      <c r="FW80" s="127">
        <f>$D55*(1+$C$4)^(SUM($F$67:FW$67))</f>
        <v>0.14786064599762344</v>
      </c>
      <c r="FX80" s="127">
        <f>$D55*(1+$C$4)^(SUM($F$67:FX$67))</f>
        <v>0.14786064599762344</v>
      </c>
      <c r="FY80" s="127">
        <f>$D55*(1+$C$4)^(SUM($F$67:FY$67))</f>
        <v>0.14786064599762344</v>
      </c>
      <c r="FZ80" s="127">
        <f>$D55*(1+$C$4)^(SUM($F$67:FZ$67))</f>
        <v>0.14786064599762344</v>
      </c>
      <c r="GA80" s="127">
        <f>$D55*(1+$C$4)^(SUM($F$67:GA$67))</f>
        <v>0.14786064599762344</v>
      </c>
      <c r="GB80" s="127">
        <f>$D55*(1+$C$4)^(SUM($F$67:GB$67))</f>
        <v>0.14786064599762344</v>
      </c>
      <c r="GC80" s="127">
        <f>$D55*(1+$C$4)^(SUM($F$67:GC$67))</f>
        <v>0.14786064599762344</v>
      </c>
      <c r="GD80" s="127">
        <f>$D55*(1+$C$4)^(SUM($F$67:GD$67))</f>
        <v>0.14786064599762344</v>
      </c>
      <c r="GE80" s="127">
        <f>$D55*(1+$C$4)^(SUM($F$67:GE$67))</f>
        <v>0.14786064599762344</v>
      </c>
      <c r="GF80" s="127">
        <f>$D55*(1+$C$4)^(SUM($F$67:GF$67))</f>
        <v>0.14786064599762344</v>
      </c>
      <c r="GG80" s="127">
        <f>$D55*(1+$C$4)^(SUM($F$67:GG$67))</f>
        <v>0.14786064599762344</v>
      </c>
      <c r="GH80" s="127">
        <f>$D55*(1+$C$4)^(SUM($F$67:GH$67))</f>
        <v>0.14786064599762344</v>
      </c>
      <c r="GI80" s="127">
        <f>$D55*(1+$C$4)^(SUM($F$67:GI$67))</f>
        <v>0.14786064599762344</v>
      </c>
      <c r="GJ80" s="127">
        <f>$D55*(1+$C$4)^(SUM($F$67:GJ$67))</f>
        <v>0.14786064599762344</v>
      </c>
      <c r="GK80" s="127">
        <f>$D55*(1+$C$4)^(SUM($F$67:GK$67))</f>
        <v>0.14786064599762344</v>
      </c>
      <c r="GL80" s="127">
        <f>$D55*(1+$C$4)^(SUM($F$67:GL$67))</f>
        <v>0.14786064599762344</v>
      </c>
      <c r="GM80" s="127">
        <f>$D55*(1+$C$4)^(SUM($F$67:GM$67))</f>
        <v>0.14786064599762344</v>
      </c>
      <c r="GN80" s="127">
        <f>$D55*(1+$C$4)^(SUM($F$67:GN$67))</f>
        <v>0.14786064599762344</v>
      </c>
      <c r="GO80" s="127">
        <f>$D55*(1+$C$4)^(SUM($F$67:GO$67))</f>
        <v>0.14786064599762344</v>
      </c>
      <c r="GP80" s="127">
        <f>$D55*(1+$C$4)^(SUM($F$67:GP$67))</f>
        <v>0.14786064599762344</v>
      </c>
      <c r="GQ80" s="127">
        <f>$D55*(1+$C$4)^(SUM($F$67:GQ$67))</f>
        <v>0.14786064599762344</v>
      </c>
      <c r="GR80" s="127">
        <f>$D55*(1+$C$4)^(SUM($F$67:GR$67))</f>
        <v>0.14786064599762344</v>
      </c>
      <c r="GS80" s="127">
        <f>$D55*(1+$C$4)^(SUM($F$67:GS$67))</f>
        <v>0.14786064599762344</v>
      </c>
      <c r="GT80" s="127">
        <f>$D55*(1+$C$4)^(SUM($F$67:GT$67))</f>
        <v>0.14786064599762344</v>
      </c>
      <c r="GU80" s="127">
        <f>$D55*(1+$C$4)^(SUM($F$67:GU$67))</f>
        <v>0.14786064599762344</v>
      </c>
      <c r="GV80" s="127">
        <f>$D55*(1+$C$4)^(SUM($F$67:GV$67))</f>
        <v>0.14786064599762344</v>
      </c>
      <c r="GW80" s="127">
        <f>$D55*(1+$C$4)^(SUM($F$67:GW$67))</f>
        <v>0.14786064599762344</v>
      </c>
      <c r="GX80" s="127">
        <f>$D55*(1+$C$4)^(SUM($F$67:GX$67))</f>
        <v>0.14786064599762344</v>
      </c>
      <c r="GY80" s="127">
        <f>$D55*(1+$C$4)^(SUM($F$67:GY$67))</f>
        <v>0.14786064599762344</v>
      </c>
      <c r="GZ80" s="127">
        <f>$D55*(1+$C$4)^(SUM($F$67:GZ$67))</f>
        <v>0.14786064599762344</v>
      </c>
      <c r="HA80" s="127">
        <f>$D55*(1+$C$4)^(SUM($F$67:HA$67))</f>
        <v>0.14786064599762344</v>
      </c>
      <c r="HB80" s="127">
        <f>$D55*(1+$C$4)^(SUM($F$67:HB$67))</f>
        <v>0.14786064599762344</v>
      </c>
      <c r="HC80" s="127">
        <f>$D55*(1+$C$4)^(SUM($F$67:HC$67))</f>
        <v>0.14786064599762344</v>
      </c>
      <c r="HD80" s="127">
        <f>$D55*(1+$C$4)^(SUM($F$67:HD$67))</f>
        <v>0.14786064599762344</v>
      </c>
      <c r="HE80" s="127">
        <f>$D55*(1+$C$4)^(SUM($F$67:HE$67))</f>
        <v>0.14786064599762344</v>
      </c>
      <c r="HF80" s="127">
        <f>$D55*(1+$C$4)^(SUM($F$67:HF$67))</f>
        <v>0.14786064599762344</v>
      </c>
      <c r="HG80" s="127">
        <f>$D55*(1+$C$4)^(SUM($F$67:HG$67))</f>
        <v>0.14786064599762344</v>
      </c>
      <c r="HH80" s="127">
        <f>$D55*(1+$C$4)^(SUM($F$67:HH$67))</f>
        <v>0.14786064599762344</v>
      </c>
      <c r="HI80" s="127">
        <f>$D55*(1+$C$4)^(SUM($F$67:HI$67))</f>
        <v>0.14786064599762344</v>
      </c>
      <c r="HJ80" s="127">
        <f>$D55*(1+$C$4)^(SUM($F$67:HJ$67))</f>
        <v>0.14786064599762344</v>
      </c>
      <c r="HK80" s="127">
        <f>$D55*(1+$C$4)^(SUM($F$67:HK$67))</f>
        <v>0.14786064599762344</v>
      </c>
      <c r="HL80" s="127">
        <f>$D55*(1+$C$4)^(SUM($F$67:HL$67))</f>
        <v>0.14786064599762344</v>
      </c>
      <c r="HM80" s="127">
        <f>$D55*(1+$C$4)^(SUM($F$67:HM$67))</f>
        <v>0.14786064599762344</v>
      </c>
      <c r="HN80" s="127">
        <f>$D55*(1+$C$4)^(SUM($F$67:HN$67))</f>
        <v>0.14786064599762344</v>
      </c>
      <c r="HO80" s="127">
        <f>$D55*(1+$C$4)^(SUM($F$67:HO$67))</f>
        <v>0.14786064599762344</v>
      </c>
      <c r="HP80" s="127">
        <f>$D55*(1+$C$4)^(SUM($F$67:HP$67))</f>
        <v>0.14786064599762344</v>
      </c>
      <c r="HQ80" s="127">
        <f>$D55*(1+$C$4)^(SUM($F$67:HQ$67))</f>
        <v>0.14786064599762344</v>
      </c>
      <c r="HR80" s="127">
        <f>$D55*(1+$C$4)^(SUM($F$67:HR$67))</f>
        <v>0.14786064599762344</v>
      </c>
      <c r="HS80" s="127">
        <f>$D55*(1+$C$4)^(SUM($F$67:HS$67))</f>
        <v>0.14786064599762344</v>
      </c>
      <c r="HT80" s="127">
        <f>$D55*(1+$C$4)^(SUM($F$67:HT$67))</f>
        <v>0.14786064599762344</v>
      </c>
      <c r="HU80" s="127">
        <f>$D55*(1+$C$4)^(SUM($F$67:HU$67))</f>
        <v>0.14786064599762344</v>
      </c>
      <c r="HV80" s="127">
        <f>$D55*(1+$C$4)^(SUM($F$67:HV$67))</f>
        <v>0.14786064599762344</v>
      </c>
      <c r="HW80" s="127">
        <f>$D55*(1+$C$4)^(SUM($F$67:HW$67))</f>
        <v>0.14786064599762344</v>
      </c>
      <c r="HX80" s="127">
        <f>$D55*(1+$C$4)^(SUM($F$67:HX$67))</f>
        <v>0.14786064599762344</v>
      </c>
      <c r="HY80" s="127">
        <f>$D55*(1+$C$4)^(SUM($F$67:HY$67))</f>
        <v>0.14786064599762344</v>
      </c>
      <c r="HZ80" s="127">
        <f>$D55*(1+$C$4)^(SUM($F$67:HZ$67))</f>
        <v>0.14786064599762344</v>
      </c>
      <c r="IA80" s="127">
        <f>$D55*(1+$C$4)^(SUM($F$67:IA$67))</f>
        <v>0.14786064599762344</v>
      </c>
      <c r="IB80" s="127">
        <f>$D55*(1+$C$4)^(SUM($F$67:IB$67))</f>
        <v>0.14786064599762344</v>
      </c>
      <c r="IC80" s="127">
        <f>$D55*(1+$C$4)^(SUM($F$67:IC$67))</f>
        <v>0.14786064599762344</v>
      </c>
      <c r="ID80" s="127">
        <f>$D55*(1+$C$4)^(SUM($F$67:ID$67))</f>
        <v>0.14786064599762344</v>
      </c>
      <c r="IE80" s="127">
        <f>$D55*(1+$C$4)^(SUM($F$67:IE$67))</f>
        <v>0.14786064599762344</v>
      </c>
      <c r="IF80" s="127">
        <f>$D55*(1+$C$4)^(SUM($F$67:IF$67))</f>
        <v>0.14786064599762344</v>
      </c>
      <c r="IG80" s="127">
        <f>$D55*(1+$C$4)^(SUM($F$67:IG$67))</f>
        <v>0.14786064599762344</v>
      </c>
      <c r="IH80" s="127">
        <f>$D55*(1+$C$4)^(SUM($F$67:IH$67))</f>
        <v>0.14786064599762344</v>
      </c>
      <c r="II80" s="127">
        <f>$D55*(1+$C$4)^(SUM($F$67:II$67))</f>
        <v>0.14786064599762344</v>
      </c>
      <c r="IJ80" s="127">
        <f>$D55*(1+$C$4)^(SUM($F$67:IJ$67))</f>
        <v>0.14786064599762344</v>
      </c>
      <c r="IK80" s="127">
        <f>$D55*(1+$C$4)^(SUM($F$67:IK$67))</f>
        <v>0.14786064599762344</v>
      </c>
      <c r="IL80" s="127">
        <f>$D55*(1+$C$4)^(SUM($F$67:IL$67))</f>
        <v>0.14786064599762344</v>
      </c>
      <c r="IM80" s="127">
        <f>$D55*(1+$C$4)^(SUM($F$67:IM$67))</f>
        <v>0.14786064599762344</v>
      </c>
      <c r="IN80" s="127">
        <f>$D55*(1+$C$4)^(SUM($F$67:IN$67))</f>
        <v>0.14786064599762344</v>
      </c>
      <c r="IO80" s="127">
        <f>$D55*(1+$C$4)^(SUM($F$67:IO$67))</f>
        <v>0.14786064599762344</v>
      </c>
      <c r="IP80" s="127">
        <f>$D55*(1+$C$4)^(SUM($F$67:IP$67))</f>
        <v>0.14786064599762344</v>
      </c>
      <c r="IQ80" s="127">
        <f>$D55*(1+$C$4)^(SUM($F$67:IQ$67))</f>
        <v>0.14786064599762344</v>
      </c>
      <c r="IR80" s="127">
        <f>$D55*(1+$C$4)^(SUM($F$67:IR$67))</f>
        <v>0.14786064599762344</v>
      </c>
      <c r="IS80" s="127">
        <f>$D55*(1+$C$4)^(SUM($F$67:IS$67))</f>
        <v>0.14786064599762344</v>
      </c>
      <c r="IT80" s="127">
        <f>$D55*(1+$C$4)^(SUM($F$67:IT$67))</f>
        <v>0.14786064599762344</v>
      </c>
      <c r="IU80" s="127">
        <f>$D55*(1+$C$4)^(SUM($F$67:IU$67))</f>
        <v>0.14786064599762344</v>
      </c>
      <c r="IV80" s="127">
        <f>$D55*(1+$C$4)^(SUM($F$67:IV$67))</f>
        <v>0.14786064599762344</v>
      </c>
      <c r="IW80" s="127">
        <f>$D55*(1+$C$4)^(SUM($F$67:IW$67))</f>
        <v>0.14786064599762344</v>
      </c>
      <c r="IX80" s="127">
        <f>$D55*(1+$C$4)^(SUM($F$67:IX$67))</f>
        <v>0.14786064599762344</v>
      </c>
      <c r="IY80" s="127">
        <f>$D55*(1+$C$4)^(SUM($F$67:IY$67))</f>
        <v>0.14786064599762344</v>
      </c>
      <c r="IZ80" s="127">
        <f>$D55*(1+$C$4)^(SUM($F$67:IZ$67))</f>
        <v>0.14786064599762344</v>
      </c>
      <c r="JA80" s="127">
        <f>$D55*(1+$C$4)^(SUM($F$67:JA$67))</f>
        <v>0.14786064599762344</v>
      </c>
      <c r="JB80" s="127">
        <f>$D55*(1+$C$4)^(SUM($F$67:JB$67))</f>
        <v>0.14786064599762344</v>
      </c>
      <c r="JC80" s="127">
        <f>$D55*(1+$C$4)^(SUM($F$67:JC$67))</f>
        <v>0.14786064599762344</v>
      </c>
      <c r="JD80" s="127">
        <f>$D55*(1+$C$4)^(SUM($F$67:JD$67))</f>
        <v>0.14786064599762344</v>
      </c>
      <c r="JE80" s="127">
        <f>$D55*(1+$C$4)^(SUM($F$67:JE$67))</f>
        <v>0.14786064599762344</v>
      </c>
      <c r="JF80" s="127">
        <f>$D55*(1+$C$4)^(SUM($F$67:JF$67))</f>
        <v>0.14786064599762344</v>
      </c>
      <c r="JG80" s="127">
        <f>$D55*(1+$C$4)^(SUM($F$67:JG$67))</f>
        <v>0.14786064599762344</v>
      </c>
      <c r="JH80" s="127">
        <f>$D55*(1+$C$4)^(SUM($F$67:JH$67))</f>
        <v>0.14786064599762344</v>
      </c>
      <c r="JI80" s="127">
        <f>$D55*(1+$C$4)^(SUM($F$67:JI$67))</f>
        <v>0.14786064599762344</v>
      </c>
      <c r="JJ80" s="127">
        <f>$D55*(1+$C$4)^(SUM($F$67:JJ$67))</f>
        <v>0.14786064599762344</v>
      </c>
      <c r="JK80" s="127">
        <f>$D55*(1+$C$4)^(SUM($F$67:JK$67))</f>
        <v>0.14786064599762344</v>
      </c>
      <c r="JL80" s="127">
        <f>$D55*(1+$C$4)^(SUM($F$67:JL$67))</f>
        <v>0.14786064599762344</v>
      </c>
      <c r="JM80" s="127">
        <f>$D55*(1+$C$4)^(SUM($F$67:JM$67))</f>
        <v>0.14786064599762344</v>
      </c>
      <c r="JN80" s="127">
        <f>$D55*(1+$C$4)^(SUM($F$67:JN$67))</f>
        <v>0.14786064599762344</v>
      </c>
      <c r="JO80" s="127">
        <f>$D55*(1+$C$4)^(SUM($F$67:JO$67))</f>
        <v>0.14786064599762344</v>
      </c>
      <c r="JP80" s="127">
        <f>$D55*(1+$C$4)^(SUM($F$67:JP$67))</f>
        <v>0.14786064599762344</v>
      </c>
      <c r="JQ80" s="127">
        <f>$D55*(1+$C$4)^(SUM($F$67:JQ$67))</f>
        <v>0.14786064599762344</v>
      </c>
      <c r="JR80" s="127">
        <f>$D55*(1+$C$4)^(SUM($F$67:JR$67))</f>
        <v>0.14786064599762344</v>
      </c>
      <c r="JS80" s="127">
        <f>$D55*(1+$C$4)^(SUM($F$67:JS$67))</f>
        <v>0.14786064599762344</v>
      </c>
      <c r="JT80" s="127">
        <f>$D55*(1+$C$4)^(SUM($F$67:JT$67))</f>
        <v>0.14786064599762344</v>
      </c>
      <c r="JU80" s="127">
        <f>$D55*(1+$C$4)^(SUM($F$67:JU$67))</f>
        <v>0.14786064599762344</v>
      </c>
      <c r="JV80" s="127">
        <f>$D55*(1+$C$4)^(SUM($F$67:JV$67))</f>
        <v>0.14786064599762344</v>
      </c>
      <c r="JW80" s="127">
        <f>$D55*(1+$C$4)^(SUM($F$67:JW$67))</f>
        <v>0.14786064599762344</v>
      </c>
      <c r="JX80" s="127">
        <f>$D55*(1+$C$4)^(SUM($F$67:JX$67))</f>
        <v>0.14786064599762344</v>
      </c>
      <c r="JY80" s="127">
        <f>$D55*(1+$C$4)^(SUM($F$67:JY$67))</f>
        <v>0.14786064599762344</v>
      </c>
      <c r="JZ80" s="127">
        <f>$D55*(1+$C$4)^(SUM($F$67:JZ$67))</f>
        <v>0.14786064599762344</v>
      </c>
      <c r="KA80" s="127">
        <f>$D55*(1+$C$4)^(SUM($F$67:KA$67))</f>
        <v>0.14786064599762344</v>
      </c>
      <c r="KB80" s="127">
        <f>$D55*(1+$C$4)^(SUM($F$67:KB$67))</f>
        <v>0.14786064599762344</v>
      </c>
      <c r="KC80" s="127">
        <f>$D55*(1+$C$4)^(SUM($F$67:KC$67))</f>
        <v>0.14786064599762344</v>
      </c>
      <c r="KD80" s="127">
        <f>$D55*(1+$C$4)^(SUM($F$67:KD$67))</f>
        <v>0.14786064599762344</v>
      </c>
      <c r="KE80" s="127">
        <f>$D55*(1+$C$4)^(SUM($F$67:KE$67))</f>
        <v>0.14786064599762344</v>
      </c>
      <c r="KF80" s="127">
        <f>$D55*(1+$C$4)^(SUM($F$67:KF$67))</f>
        <v>0.14786064599762344</v>
      </c>
      <c r="KG80" s="127">
        <f>$D55*(1+$C$4)^(SUM($F$67:KG$67))</f>
        <v>0.14786064599762344</v>
      </c>
      <c r="KH80" s="127">
        <f>$D55*(1+$C$4)^(SUM($F$67:KH$67))</f>
        <v>0.14786064599762344</v>
      </c>
      <c r="KI80" s="127">
        <f>$D55*(1+$C$4)^(SUM($F$67:KI$67))</f>
        <v>0.14786064599762344</v>
      </c>
      <c r="KJ80" s="127">
        <f>$D55*(1+$C$4)^(SUM($F$67:KJ$67))</f>
        <v>0.14786064599762344</v>
      </c>
      <c r="KK80" s="127">
        <f>$D55*(1+$C$4)^(SUM($F$67:KK$67))</f>
        <v>0.14786064599762344</v>
      </c>
      <c r="KL80" s="127">
        <f>$D55*(1+$C$4)^(SUM($F$67:KL$67))</f>
        <v>0.14786064599762344</v>
      </c>
      <c r="KM80" s="127">
        <f>$D55*(1+$C$4)^(SUM($F$67:KM$67))</f>
        <v>0.14786064599762344</v>
      </c>
      <c r="KN80" s="127">
        <f>$D55*(1+$C$4)^(SUM($F$67:KN$67))</f>
        <v>0.14786064599762344</v>
      </c>
      <c r="KO80" s="127">
        <f>$D55*(1+$C$4)^(SUM($F$67:KO$67))</f>
        <v>0.14786064599762344</v>
      </c>
      <c r="KP80" s="127">
        <f>$D55*(1+$C$4)^(SUM($F$67:KP$67))</f>
        <v>0.14786064599762344</v>
      </c>
      <c r="KQ80" s="127">
        <f>$D55*(1+$C$4)^(SUM($F$67:KQ$67))</f>
        <v>0.14786064599762344</v>
      </c>
      <c r="KR80" s="127">
        <f>$D55*(1+$C$4)^(SUM($F$67:KR$67))</f>
        <v>0.14786064599762344</v>
      </c>
      <c r="KS80" s="127">
        <f>$D55*(1+$C$4)^(SUM($F$67:KS$67))</f>
        <v>0.14786064599762344</v>
      </c>
      <c r="KT80" s="127">
        <f>$D55*(1+$C$4)^(SUM($F$67:KT$67))</f>
        <v>0.14786064599762344</v>
      </c>
      <c r="KU80" s="127">
        <f>$D55*(1+$C$4)^(SUM($F$67:KU$67))</f>
        <v>0.14786064599762344</v>
      </c>
      <c r="KV80" s="127">
        <f>$D55*(1+$C$4)^(SUM($F$67:KV$67))</f>
        <v>0.14786064599762344</v>
      </c>
      <c r="KW80" s="127">
        <f>$D55*(1+$C$4)^(SUM($F$67:KW$67))</f>
        <v>0.14786064599762344</v>
      </c>
      <c r="KX80" s="127">
        <f>$D55*(1+$C$4)^(SUM($F$67:KX$67))</f>
        <v>0.14786064599762344</v>
      </c>
      <c r="KY80" s="127">
        <f>$D55*(1+$C$4)^(SUM($F$67:KY$67))</f>
        <v>0.14786064599762344</v>
      </c>
      <c r="KZ80" s="127">
        <f>$D55*(1+$C$4)^(SUM($F$67:KZ$67))</f>
        <v>0.14786064599762344</v>
      </c>
      <c r="LA80" s="127">
        <f>$D55*(1+$C$4)^(SUM($F$67:LA$67))</f>
        <v>0.14786064599762344</v>
      </c>
      <c r="LB80" s="127">
        <f>$D55*(1+$C$4)^(SUM($F$67:LB$67))</f>
        <v>0.14786064599762344</v>
      </c>
      <c r="LC80" s="127">
        <f>$D55*(1+$C$4)^(SUM($F$67:LC$67))</f>
        <v>0.14786064599762344</v>
      </c>
      <c r="LD80" s="127">
        <f>$D55*(1+$C$4)^(SUM($F$67:LD$67))</f>
        <v>0.14786064599762344</v>
      </c>
      <c r="LE80" s="127">
        <f>$D55*(1+$C$4)^(SUM($F$67:LE$67))</f>
        <v>0.14786064599762344</v>
      </c>
      <c r="LF80" s="127">
        <f>$D55*(1+$C$4)^(SUM($F$67:LF$67))</f>
        <v>0.14786064599762344</v>
      </c>
      <c r="LG80" s="127">
        <f>$D55*(1+$C$4)^(SUM($F$67:LG$67))</f>
        <v>0.14786064599762344</v>
      </c>
      <c r="LH80" s="127">
        <f>$D55*(1+$C$4)^(SUM($F$67:LH$67))</f>
        <v>0.14786064599762344</v>
      </c>
      <c r="LI80" s="127">
        <f>$D55*(1+$C$4)^(SUM($F$67:LI$67))</f>
        <v>0.14786064599762344</v>
      </c>
      <c r="LJ80" s="127">
        <f>$D55*(1+$C$4)^(SUM($F$67:LJ$67))</f>
        <v>0.14786064599762344</v>
      </c>
      <c r="LK80" s="127">
        <f>$D55*(1+$C$4)^(SUM($F$67:LK$67))</f>
        <v>0.14786064599762344</v>
      </c>
      <c r="LL80" s="127">
        <f>$D55*(1+$C$4)^(SUM($F$67:LL$67))</f>
        <v>0.14786064599762344</v>
      </c>
      <c r="LM80" s="127">
        <f>$D55*(1+$C$4)^(SUM($F$67:LM$67))</f>
        <v>0.14786064599762344</v>
      </c>
      <c r="LN80" s="127">
        <f>$D55*(1+$C$4)^(SUM($F$67:LN$67))</f>
        <v>0.14786064599762344</v>
      </c>
      <c r="LO80" s="127">
        <f>$D55*(1+$C$4)^(SUM($F$67:LO$67))</f>
        <v>0.14786064599762344</v>
      </c>
      <c r="LP80" s="127">
        <f>$D55*(1+$C$4)^(SUM($F$67:LP$67))</f>
        <v>0.14786064599762344</v>
      </c>
      <c r="LQ80" s="127">
        <f>$D55*(1+$C$4)^(SUM($F$67:LQ$67))</f>
        <v>0.14786064599762344</v>
      </c>
      <c r="LR80" s="127">
        <f>$D55*(1+$C$4)^(SUM($F$67:LR$67))</f>
        <v>0.14786064599762344</v>
      </c>
      <c r="LS80" s="127">
        <f>$D55*(1+$C$4)^(SUM($F$67:LS$67))</f>
        <v>0.14786064599762344</v>
      </c>
      <c r="LT80" s="127">
        <f>$D55*(1+$C$4)^(SUM($F$67:LT$67))</f>
        <v>0.14786064599762344</v>
      </c>
      <c r="LU80" s="127">
        <f>$D55*(1+$C$4)^(SUM($F$67:LU$67))</f>
        <v>0.14786064599762344</v>
      </c>
      <c r="LV80" s="127">
        <f>$D55*(1+$C$4)^(SUM($F$67:LV$67))</f>
        <v>0.14786064599762344</v>
      </c>
      <c r="LW80" s="127">
        <f>$D55*(1+$C$4)^(SUM($F$67:LW$67))</f>
        <v>0.14786064599762344</v>
      </c>
      <c r="LX80" s="127">
        <f>$D55*(1+$C$4)^(SUM($F$67:LX$67))</f>
        <v>0.14786064599762344</v>
      </c>
      <c r="LY80" s="127">
        <f>$D55*(1+$C$4)^(SUM($F$67:LY$67))</f>
        <v>0.14786064599762344</v>
      </c>
      <c r="LZ80" s="127">
        <f>$D55*(1+$C$4)^(SUM($F$67:LZ$67))</f>
        <v>0.14786064599762344</v>
      </c>
      <c r="MA80" s="127">
        <f>$D55*(1+$C$4)^(SUM($F$67:MA$67))</f>
        <v>0.14786064599762344</v>
      </c>
      <c r="MB80" s="127">
        <f>$D55*(1+$C$4)^(SUM($F$67:MB$67))</f>
        <v>0.14786064599762344</v>
      </c>
      <c r="MC80" s="127">
        <f>$D55*(1+$C$4)^(SUM($F$67:MC$67))</f>
        <v>0.14786064599762344</v>
      </c>
      <c r="MD80" s="127">
        <f>$D55*(1+$C$4)^(SUM($F$67:MD$67))</f>
        <v>0.14786064599762344</v>
      </c>
      <c r="ME80" s="127">
        <f>$D55*(1+$C$4)^(SUM($F$67:ME$67))</f>
        <v>0.14786064599762344</v>
      </c>
      <c r="MF80" s="127">
        <f>$D55*(1+$C$4)^(SUM($F$67:MF$67))</f>
        <v>0.14786064599762344</v>
      </c>
      <c r="MG80" s="127">
        <f>$D55*(1+$C$4)^(SUM($F$67:MG$67))</f>
        <v>0.14786064599762344</v>
      </c>
      <c r="MH80" s="127">
        <f>$D55*(1+$C$4)^(SUM($F$67:MH$67))</f>
        <v>0.14786064599762344</v>
      </c>
      <c r="MI80" s="127">
        <f>$D55*(1+$C$4)^(SUM($F$67:MI$67))</f>
        <v>0.14786064599762344</v>
      </c>
      <c r="MJ80" s="127">
        <f>$D55*(1+$C$4)^(SUM($F$67:MJ$67))</f>
        <v>0.14786064599762344</v>
      </c>
      <c r="MK80" s="127">
        <f>$D55*(1+$C$4)^(SUM($F$67:MK$67))</f>
        <v>0.14786064599762344</v>
      </c>
      <c r="ML80" s="127">
        <f>$D55*(1+$C$4)^(SUM($F$67:ML$67))</f>
        <v>0.14786064599762344</v>
      </c>
      <c r="MM80" s="127">
        <f>$D55*(1+$C$4)^(SUM($F$67:MM$67))</f>
        <v>0.14786064599762344</v>
      </c>
      <c r="MN80" s="127">
        <f>$D55*(1+$C$4)^(SUM($F$67:MN$67))</f>
        <v>0.14786064599762344</v>
      </c>
      <c r="MO80" s="127">
        <f>$D55*(1+$C$4)^(SUM($F$67:MO$67))</f>
        <v>0.14786064599762344</v>
      </c>
      <c r="MP80" s="127">
        <f>$D55*(1+$C$4)^(SUM($F$67:MP$67))</f>
        <v>0.14786064599762344</v>
      </c>
      <c r="MQ80" s="127">
        <f>$D55*(1+$C$4)^(SUM($F$67:MQ$67))</f>
        <v>0.14786064599762344</v>
      </c>
      <c r="MR80" s="127">
        <f>$D55*(1+$C$4)^(SUM($F$67:MR$67))</f>
        <v>0.14786064599762344</v>
      </c>
      <c r="MS80" s="127">
        <f>$D55*(1+$C$4)^(SUM($F$67:MS$67))</f>
        <v>0.14786064599762344</v>
      </c>
      <c r="MT80" s="127">
        <f>$D55*(1+$C$4)^(SUM($F$67:MT$67))</f>
        <v>0.14786064599762344</v>
      </c>
      <c r="MU80" s="127">
        <f>$D55*(1+$C$4)^(SUM($F$67:MU$67))</f>
        <v>0.14786064599762344</v>
      </c>
      <c r="MV80" s="127">
        <f>$D55*(1+$C$4)^(SUM($F$67:MV$67))</f>
        <v>0.14786064599762344</v>
      </c>
      <c r="MW80" s="127">
        <f>$D55*(1+$C$4)^(SUM($F$67:MW$67))</f>
        <v>0.14786064599762344</v>
      </c>
      <c r="MX80" s="127">
        <f>$D55*(1+$C$4)^(SUM($F$67:MX$67))</f>
        <v>0.14786064599762344</v>
      </c>
      <c r="MY80" s="127">
        <f>$D55*(1+$C$4)^(SUM($F$67:MY$67))</f>
        <v>0.14786064599762344</v>
      </c>
      <c r="MZ80" s="127">
        <f>$D55*(1+$C$4)^(SUM($F$67:MZ$67))</f>
        <v>0.14786064599762344</v>
      </c>
      <c r="NA80" s="127">
        <f>$D55*(1+$C$4)^(SUM($F$67:NA$67))</f>
        <v>0.14786064599762344</v>
      </c>
      <c r="NB80" s="127">
        <f>$D55*(1+$C$4)^(SUM($F$67:NB$67))</f>
        <v>0.14786064599762344</v>
      </c>
      <c r="NC80" s="127">
        <f>$D55*(1+$C$4)^(SUM($F$67:NC$67))</f>
        <v>0.14786064599762344</v>
      </c>
      <c r="ND80" s="127">
        <f>$D55*(1+$C$4)^(SUM($F$67:ND$67))</f>
        <v>0.14786064599762344</v>
      </c>
      <c r="NE80" s="127">
        <f>$D55*(1+$C$4)^(SUM($F$67:NE$67))</f>
        <v>0.14786064599762344</v>
      </c>
      <c r="NF80" s="127">
        <f>$D55*(1+$C$4)^(SUM($F$67:NF$67))</f>
        <v>0.14786064599762344</v>
      </c>
      <c r="NG80" s="127">
        <f>$D55*(1+$C$4)^(SUM($F$67:NG$67))</f>
        <v>0.14786064599762344</v>
      </c>
      <c r="NH80" s="127">
        <f>$D55*(1+$C$4)^(SUM($F$67:NH$67))</f>
        <v>0.14786064599762344</v>
      </c>
      <c r="NI80" s="127">
        <f>$D55*(1+$C$4)^(SUM($F$67:NI$67))</f>
        <v>0.14786064599762344</v>
      </c>
      <c r="NJ80" s="127">
        <f>$D55*(1+$C$4)^(SUM($F$67:NJ$67))</f>
        <v>0.14786064599762344</v>
      </c>
      <c r="NK80" s="127">
        <f>$D55*(1+$C$4)^(SUM($F$67:NK$67))</f>
        <v>0.14786064599762344</v>
      </c>
      <c r="NL80" s="127">
        <f>$D55*(1+$C$4)^(SUM($F$67:NL$67))</f>
        <v>0.14786064599762344</v>
      </c>
      <c r="NM80" s="127">
        <f>$D55*(1+$C$4)^(SUM($F$67:NM$67))</f>
        <v>0.14786064599762344</v>
      </c>
      <c r="NN80" s="127">
        <f>$D55*(1+$C$4)^(SUM($F$67:NN$67))</f>
        <v>0.14786064599762344</v>
      </c>
      <c r="NO80" s="127">
        <f>$D55*(1+$C$4)^(SUM($F$67:NO$67))</f>
        <v>0.14786064599762344</v>
      </c>
      <c r="NP80" s="127">
        <f>$D55*(1+$C$4)^(SUM($F$67:NP$67))</f>
        <v>0.14786064599762344</v>
      </c>
      <c r="NQ80" s="127">
        <f>$D55*(1+$C$4)^(SUM($F$67:NQ$67))</f>
        <v>0.14786064599762344</v>
      </c>
      <c r="NR80" s="127">
        <f>$D55*(1+$C$4)^(SUM($F$67:NR$67))</f>
        <v>0.14786064599762344</v>
      </c>
      <c r="NS80" s="127">
        <f>$D55*(1+$C$4)^(SUM($F$67:NS$67))</f>
        <v>0.14786064599762344</v>
      </c>
      <c r="NT80" s="127">
        <f>$D55*(1+$C$4)^(SUM($F$67:NT$67))</f>
        <v>0.14786064599762344</v>
      </c>
      <c r="NU80" s="127">
        <f>$D55*(1+$C$4)^(SUM($F$67:NU$67))</f>
        <v>0.14786064599762344</v>
      </c>
      <c r="NV80" s="127">
        <f>$D55*(1+$C$4)^(SUM($F$67:NV$67))</f>
        <v>0.14786064599762344</v>
      </c>
      <c r="NW80" s="127">
        <f>$D55*(1+$C$4)^(SUM($F$67:NW$67))</f>
        <v>0.14786064599762344</v>
      </c>
      <c r="NX80" s="127">
        <f>$D55*(1+$C$4)^(SUM($F$67:NX$67))</f>
        <v>0.14786064599762344</v>
      </c>
      <c r="NY80" s="127">
        <f>$D55*(1+$C$4)^(SUM($F$67:NY$67))</f>
        <v>0.14786064599762344</v>
      </c>
      <c r="NZ80" s="127">
        <f>$D55*(1+$C$4)^(SUM($F$67:NZ$67))</f>
        <v>0.14786064599762344</v>
      </c>
      <c r="OA80" s="127">
        <f>$D55*(1+$C$4)^(SUM($F$67:OA$67))</f>
        <v>0.14786064599762344</v>
      </c>
      <c r="OB80" s="127">
        <f>$D55*(1+$C$4)^(SUM($F$67:OB$67))</f>
        <v>0.14786064599762344</v>
      </c>
      <c r="OC80" s="127">
        <f>$D55*(1+$C$4)^(SUM($F$67:OC$67))</f>
        <v>0.14786064599762344</v>
      </c>
      <c r="OD80" s="127">
        <f>$D55*(1+$C$4)^(SUM($F$67:OD$67))</f>
        <v>0.14786064599762344</v>
      </c>
      <c r="OE80" s="127">
        <f>$D55*(1+$C$4)^(SUM($F$67:OE$67))</f>
        <v>0.14786064599762344</v>
      </c>
      <c r="OF80" s="127">
        <f>$D55*(1+$C$4)^(SUM($F$67:OF$67))</f>
        <v>0.14786064599762344</v>
      </c>
      <c r="OG80" s="127">
        <f>$D55*(1+$C$4)^(SUM($F$67:OG$67))</f>
        <v>0.14786064599762344</v>
      </c>
      <c r="OH80" s="127">
        <f>$D55*(1+$C$4)^(SUM($F$67:OH$67))</f>
        <v>0.14786064599762344</v>
      </c>
      <c r="OI80" s="127">
        <f>$D55*(1+$C$4)^(SUM($F$67:OI$67))</f>
        <v>0.14786064599762344</v>
      </c>
      <c r="OJ80" s="127">
        <f>$D55*(1+$C$4)^(SUM($F$67:OJ$67))</f>
        <v>0.14786064599762344</v>
      </c>
      <c r="OK80" s="127">
        <f>$D55*(1+$C$4)^(SUM($F$67:OK$67))</f>
        <v>0.14786064599762344</v>
      </c>
      <c r="OL80" s="127">
        <f>$D55*(1+$C$4)^(SUM($F$67:OL$67))</f>
        <v>0.14786064599762344</v>
      </c>
      <c r="OM80" s="127">
        <f>$D55*(1+$C$4)^(SUM($F$67:OM$67))</f>
        <v>0.14786064599762344</v>
      </c>
      <c r="ON80" s="127">
        <f>$D55*(1+$C$4)^(SUM($F$67:ON$67))</f>
        <v>0.14786064599762344</v>
      </c>
      <c r="OO80" s="127">
        <f>$D55*(1+$C$4)^(SUM($F$67:OO$67))</f>
        <v>0.14786064599762344</v>
      </c>
      <c r="OP80" s="127">
        <f>$D55*(1+$C$4)^(SUM($F$67:OP$67))</f>
        <v>0.14786064599762344</v>
      </c>
      <c r="OQ80" s="127">
        <f>$D55*(1+$C$4)^(SUM($F$67:OQ$67))</f>
        <v>0.14786064599762344</v>
      </c>
      <c r="OR80" s="127">
        <f>$D55*(1+$C$4)^(SUM($F$67:OR$67))</f>
        <v>0.14786064599762344</v>
      </c>
      <c r="OS80" s="127">
        <f>$D55*(1+$C$4)^(SUM($F$67:OS$67))</f>
        <v>0.14786064599762344</v>
      </c>
      <c r="OT80" s="127">
        <f>$D55*(1+$C$4)^(SUM($F$67:OT$67))</f>
        <v>0.14786064599762344</v>
      </c>
      <c r="OU80" s="127">
        <f>$D55*(1+$C$4)^(SUM($F$67:OU$67))</f>
        <v>0.14786064599762344</v>
      </c>
      <c r="OV80" s="127">
        <f>$D55*(1+$C$4)^(SUM($F$67:OV$67))</f>
        <v>0.14786064599762344</v>
      </c>
      <c r="OW80" s="127">
        <f>$D55*(1+$C$4)^(SUM($F$67:OW$67))</f>
        <v>0.14786064599762344</v>
      </c>
      <c r="OX80" s="127">
        <f>$D55*(1+$C$4)^(SUM($F$67:OX$67))</f>
        <v>0.14786064599762344</v>
      </c>
      <c r="OY80" s="127">
        <f>$D55*(1+$C$4)^(SUM($F$67:OY$67))</f>
        <v>0.14786064599762344</v>
      </c>
      <c r="OZ80" s="127">
        <f>$D55*(1+$C$4)^(SUM($F$67:OZ$67))</f>
        <v>0.14786064599762344</v>
      </c>
      <c r="PA80" s="127">
        <f>$D55*(1+$C$4)^(SUM($F$67:PA$67))</f>
        <v>0.14786064599762344</v>
      </c>
      <c r="PB80" s="127">
        <f>$D55*(1+$C$4)^(SUM($F$67:PB$67))</f>
        <v>0.14786064599762344</v>
      </c>
      <c r="PC80" s="127">
        <f>$D55*(1+$C$4)^(SUM($F$67:PC$67))</f>
        <v>0.14786064599762344</v>
      </c>
      <c r="PD80" s="127">
        <f>$D55*(1+$C$4)^(SUM($F$67:PD$67))</f>
        <v>0.14786064599762344</v>
      </c>
      <c r="PE80" s="127">
        <f>$D55*(1+$C$4)^(SUM($F$67:PE$67))</f>
        <v>0.14786064599762344</v>
      </c>
      <c r="PF80" s="127">
        <f>$D55*(1+$C$4)^(SUM($F$67:PF$67))</f>
        <v>0.14786064599762344</v>
      </c>
      <c r="PG80" s="127">
        <f>$D55*(1+$C$4)^(SUM($F$67:PG$67))</f>
        <v>0.14786064599762344</v>
      </c>
      <c r="PH80" s="127">
        <f>$D55*(1+$C$4)^(SUM($F$67:PH$67))</f>
        <v>0.14786064599762344</v>
      </c>
      <c r="PI80" s="127">
        <f>$D55*(1+$C$4)^(SUM($F$67:PI$67))</f>
        <v>0.14786064599762344</v>
      </c>
      <c r="PJ80" s="127">
        <f>$D55*(1+$C$4)^(SUM($F$67:PJ$67))</f>
        <v>0.14786064599762344</v>
      </c>
      <c r="PK80" s="127">
        <f>$D55*(1+$C$4)^(SUM($F$67:PK$67))</f>
        <v>0.14786064599762344</v>
      </c>
      <c r="PL80" s="127">
        <f>$D55*(1+$C$4)^(SUM($F$67:PL$67))</f>
        <v>0.14786064599762344</v>
      </c>
      <c r="PM80" s="127">
        <f>$D55*(1+$C$4)^(SUM($F$67:PM$67))</f>
        <v>0.14786064599762344</v>
      </c>
      <c r="PN80" s="127">
        <f>$D55*(1+$C$4)^(SUM($F$67:PN$67))</f>
        <v>0.14786064599762344</v>
      </c>
      <c r="PO80" s="127">
        <f>$D55*(1+$C$4)^(SUM($F$67:PO$67))</f>
        <v>0.14786064599762344</v>
      </c>
      <c r="PP80" s="127">
        <f>$D55*(1+$C$4)^(SUM($F$67:PP$67))</f>
        <v>0.14786064599762344</v>
      </c>
      <c r="PQ80" s="127">
        <f>$D55*(1+$C$4)^(SUM($F$67:PQ$67))</f>
        <v>0.14786064599762344</v>
      </c>
      <c r="PR80" s="127">
        <f>$D55*(1+$C$4)^(SUM($F$67:PR$67))</f>
        <v>0.14786064599762344</v>
      </c>
      <c r="PS80" s="127">
        <f>$D55*(1+$C$4)^(SUM($F$67:PS$67))</f>
        <v>0.14786064599762344</v>
      </c>
      <c r="PT80" s="127">
        <f>$D55*(1+$C$4)^(SUM($F$67:PT$67))</f>
        <v>0.14786064599762344</v>
      </c>
      <c r="PU80" s="127">
        <f>$D55*(1+$C$4)^(SUM($F$67:PU$67))</f>
        <v>0.14786064599762344</v>
      </c>
      <c r="PV80" s="127">
        <f>$D55*(1+$C$4)^(SUM($F$67:PV$67))</f>
        <v>0.14786064599762344</v>
      </c>
      <c r="PW80" s="127">
        <f>$D55*(1+$C$4)^(SUM($F$67:PW$67))</f>
        <v>0.14786064599762344</v>
      </c>
      <c r="PX80" s="127">
        <f>$D55*(1+$C$4)^(SUM($F$67:PX$67))</f>
        <v>0.14786064599762344</v>
      </c>
      <c r="PY80" s="127">
        <f>$D55*(1+$C$4)^(SUM($F$67:PY$67))</f>
        <v>0.14786064599762344</v>
      </c>
      <c r="PZ80" s="127">
        <f>$D55*(1+$C$4)^(SUM($F$67:PZ$67))</f>
        <v>0.14786064599762344</v>
      </c>
      <c r="QA80" s="127">
        <f>$D55*(1+$C$4)^(SUM($F$67:QA$67))</f>
        <v>0.14786064599762344</v>
      </c>
      <c r="QB80" s="127">
        <f>$D55*(1+$C$4)^(SUM($F$67:QB$67))</f>
        <v>0.14786064599762344</v>
      </c>
      <c r="QC80" s="127">
        <f>$D55*(1+$C$4)^(SUM($F$67:QC$67))</f>
        <v>0.14786064599762344</v>
      </c>
      <c r="QD80" s="127">
        <f>$D55*(1+$C$4)^(SUM($F$67:QD$67))</f>
        <v>0.14786064599762344</v>
      </c>
      <c r="QE80" s="127">
        <f>$D55*(1+$C$4)^(SUM($F$67:QE$67))</f>
        <v>0.14786064599762344</v>
      </c>
      <c r="QF80" s="127">
        <f>$D55*(1+$C$4)^(SUM($F$67:QF$67))</f>
        <v>0.14786064599762344</v>
      </c>
      <c r="QG80" s="127">
        <f>$D55*(1+$C$4)^(SUM($F$67:QG$67))</f>
        <v>0.14786064599762344</v>
      </c>
      <c r="QH80" s="127">
        <f>$D55*(1+$C$4)^(SUM($F$67:QH$67))</f>
        <v>0.14786064599762344</v>
      </c>
      <c r="QI80" s="127">
        <f>$D55*(1+$C$4)^(SUM($F$67:QI$67))</f>
        <v>0.14786064599762344</v>
      </c>
      <c r="QJ80" s="127">
        <f>$D55*(1+$C$4)^(SUM($F$67:QJ$67))</f>
        <v>0.14786064599762344</v>
      </c>
      <c r="QK80" s="127">
        <f>$D55*(1+$C$4)^(SUM($F$67:QK$67))</f>
        <v>0.14786064599762344</v>
      </c>
      <c r="QL80" s="127">
        <f>$D55*(1+$C$4)^(SUM($F$67:QL$67))</f>
        <v>0.14786064599762344</v>
      </c>
      <c r="QM80" s="127">
        <f>$D55*(1+$C$4)^(SUM($F$67:QM$67))</f>
        <v>0.14786064599762344</v>
      </c>
      <c r="QN80" s="127">
        <f>$D55*(1+$C$4)^(SUM($F$67:QN$67))</f>
        <v>0.14786064599762344</v>
      </c>
      <c r="QO80" s="127">
        <f>$D55*(1+$C$4)^(SUM($F$67:QO$67))</f>
        <v>0.14786064599762344</v>
      </c>
      <c r="QP80" s="127">
        <f>$D55*(1+$C$4)^(SUM($F$67:QP$67))</f>
        <v>0.14786064599762344</v>
      </c>
      <c r="QQ80" s="127">
        <f>$D55*(1+$C$4)^(SUM($F$67:QQ$67))</f>
        <v>0.14786064599762344</v>
      </c>
      <c r="QR80" s="127">
        <f>$D55*(1+$C$4)^(SUM($F$67:QR$67))</f>
        <v>0.14786064599762344</v>
      </c>
      <c r="QS80" s="127">
        <f>$D55*(1+$C$4)^(SUM($F$67:QS$67))</f>
        <v>0.14786064599762344</v>
      </c>
      <c r="QT80" s="127">
        <f>$D55*(1+$C$4)^(SUM($F$67:QT$67))</f>
        <v>0.14786064599762344</v>
      </c>
      <c r="QU80" s="127">
        <f>$D55*(1+$C$4)^(SUM($F$67:QU$67))</f>
        <v>0.14786064599762344</v>
      </c>
      <c r="QV80" s="127">
        <f>$D55*(1+$C$4)^(SUM($F$67:QV$67))</f>
        <v>0.14786064599762344</v>
      </c>
      <c r="QW80" s="127">
        <f>$D55*(1+$C$4)^(SUM($F$67:QW$67))</f>
        <v>0.14786064599762344</v>
      </c>
      <c r="QX80" s="127">
        <f>$D55*(1+$C$4)^(SUM($F$67:QX$67))</f>
        <v>0.14786064599762344</v>
      </c>
      <c r="QY80" s="127">
        <f>$D55*(1+$C$4)^(SUM($F$67:QY$67))</f>
        <v>0.14786064599762344</v>
      </c>
      <c r="QZ80" s="127">
        <f>$D55*(1+$C$4)^(SUM($F$67:QZ$67))</f>
        <v>0.14786064599762344</v>
      </c>
      <c r="RA80" s="127">
        <f>$D55*(1+$C$4)^(SUM($F$67:RA$67))</f>
        <v>0.14786064599762344</v>
      </c>
      <c r="RB80" s="127">
        <f>$D55*(1+$C$4)^(SUM($F$67:RB$67))</f>
        <v>0.14786064599762344</v>
      </c>
      <c r="RC80" s="127">
        <f>$D55*(1+$C$4)^(SUM($F$67:RC$67))</f>
        <v>0.14786064599762344</v>
      </c>
      <c r="RD80" s="127">
        <f>$D55*(1+$C$4)^(SUM($F$67:RD$67))</f>
        <v>0.14786064599762344</v>
      </c>
      <c r="RE80" s="127">
        <f>$D55*(1+$C$4)^(SUM($F$67:RE$67))</f>
        <v>0.14786064599762344</v>
      </c>
      <c r="RF80" s="127">
        <f>$D55*(1+$C$4)^(SUM($F$67:RF$67))</f>
        <v>0.14786064599762344</v>
      </c>
      <c r="RG80" s="127">
        <f>$D55*(1+$C$4)^(SUM($F$67:RG$67))</f>
        <v>0.14786064599762344</v>
      </c>
      <c r="RH80" s="127">
        <f>$D55*(1+$C$4)^(SUM($F$67:RH$67))</f>
        <v>0.14786064599762344</v>
      </c>
      <c r="RI80" s="127">
        <f>$D55*(1+$C$4)^(SUM($F$67:RI$67))</f>
        <v>0.14786064599762344</v>
      </c>
      <c r="RJ80" s="127">
        <f>$D55*(1+$C$4)^(SUM($F$67:RJ$67))</f>
        <v>0.14786064599762344</v>
      </c>
      <c r="RK80" s="127">
        <f>$D55*(1+$C$4)^(SUM($F$67:RK$67))</f>
        <v>0.14786064599762344</v>
      </c>
      <c r="RL80" s="127">
        <f>$D55*(1+$C$4)^(SUM($F$67:RL$67))</f>
        <v>0.14786064599762344</v>
      </c>
      <c r="RM80" s="127">
        <f>$D55*(1+$C$4)^(SUM($F$67:RM$67))</f>
        <v>0.14786064599762344</v>
      </c>
      <c r="RN80" s="127">
        <f>$D55*(1+$C$4)^(SUM($F$67:RN$67))</f>
        <v>0.14786064599762344</v>
      </c>
      <c r="RO80" s="127">
        <f>$D55*(1+$C$4)^(SUM($F$67:RO$67))</f>
        <v>0.14786064599762344</v>
      </c>
      <c r="RP80" s="127">
        <f>$D55*(1+$C$4)^(SUM($F$67:RP$67))</f>
        <v>0.14786064599762344</v>
      </c>
      <c r="RQ80" s="127">
        <f>$D55*(1+$C$4)^(SUM($F$67:RQ$67))</f>
        <v>0.14786064599762344</v>
      </c>
      <c r="RR80" s="127">
        <f>$D55*(1+$C$4)^(SUM($F$67:RR$67))</f>
        <v>0.14786064599762344</v>
      </c>
    </row>
    <row r="81" spans="1:486" s="9" customFormat="1">
      <c r="E81" s="2"/>
      <c r="F81" s="2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  <c r="AE81" s="275"/>
      <c r="AF81" s="275"/>
      <c r="AG81" s="275"/>
      <c r="AH81" s="275"/>
      <c r="AI81" s="275"/>
      <c r="AJ81" s="275"/>
      <c r="AK81" s="275"/>
      <c r="AL81" s="275"/>
      <c r="AM81" s="275"/>
      <c r="AN81" s="275"/>
      <c r="AO81" s="275"/>
      <c r="AP81" s="275"/>
      <c r="AQ81" s="275"/>
      <c r="AR81" s="275"/>
      <c r="AS81" s="275"/>
      <c r="AT81" s="275"/>
      <c r="AU81" s="275"/>
      <c r="AV81" s="275"/>
      <c r="AW81" s="275"/>
      <c r="AX81" s="275"/>
      <c r="AY81" s="275"/>
      <c r="AZ81" s="275"/>
      <c r="BA81" s="275"/>
      <c r="BB81" s="275"/>
      <c r="BC81" s="275"/>
      <c r="BD81" s="275"/>
      <c r="BE81" s="275"/>
      <c r="BF81" s="275"/>
      <c r="BG81" s="275"/>
      <c r="BH81" s="275"/>
      <c r="BI81" s="275"/>
      <c r="BJ81" s="275"/>
      <c r="BK81" s="275"/>
      <c r="BL81" s="275"/>
      <c r="BM81" s="275"/>
      <c r="BN81" s="275"/>
      <c r="BO81" s="275"/>
      <c r="BP81" s="275"/>
      <c r="BQ81" s="275"/>
      <c r="BR81" s="275"/>
      <c r="BS81" s="275"/>
      <c r="BT81" s="275"/>
      <c r="BU81" s="275"/>
      <c r="BV81" s="275"/>
      <c r="BW81" s="275"/>
      <c r="BX81" s="275"/>
      <c r="BY81" s="275"/>
      <c r="BZ81" s="275"/>
      <c r="CA81" s="275"/>
      <c r="CB81" s="275"/>
      <c r="CC81" s="275"/>
      <c r="CD81" s="275"/>
      <c r="CE81" s="275"/>
      <c r="CF81" s="275"/>
      <c r="CG81" s="275"/>
      <c r="CH81" s="275"/>
      <c r="CI81" s="275"/>
      <c r="CJ81" s="275"/>
      <c r="CK81" s="275"/>
      <c r="CL81" s="275"/>
      <c r="CM81" s="275"/>
      <c r="CN81" s="275"/>
      <c r="CO81" s="275"/>
      <c r="CP81" s="275"/>
      <c r="CQ81" s="275"/>
      <c r="CR81" s="275"/>
      <c r="CS81" s="275"/>
      <c r="CT81" s="275"/>
      <c r="CU81" s="275"/>
      <c r="CV81" s="275"/>
      <c r="CW81" s="275"/>
      <c r="CX81" s="275"/>
      <c r="CY81" s="275"/>
      <c r="CZ81" s="275"/>
      <c r="DA81" s="275"/>
      <c r="DB81" s="275"/>
      <c r="DC81" s="275"/>
      <c r="DD81" s="275"/>
      <c r="DE81" s="275"/>
      <c r="DF81" s="275"/>
      <c r="DG81" s="275"/>
      <c r="DH81" s="275"/>
      <c r="DI81" s="275"/>
      <c r="DJ81" s="275"/>
      <c r="DK81" s="275"/>
      <c r="DL81" s="275"/>
      <c r="DM81" s="275"/>
      <c r="DN81" s="275"/>
      <c r="DO81" s="275"/>
      <c r="DP81" s="275"/>
      <c r="DQ81" s="275"/>
      <c r="DR81" s="275"/>
      <c r="DS81" s="275"/>
      <c r="DT81" s="275"/>
      <c r="DU81" s="275"/>
      <c r="DV81" s="275"/>
      <c r="DW81" s="275"/>
      <c r="DX81" s="275"/>
      <c r="DY81" s="275"/>
      <c r="DZ81" s="275"/>
      <c r="EA81" s="275"/>
      <c r="EB81" s="275"/>
      <c r="EC81" s="275"/>
      <c r="ED81" s="275"/>
      <c r="EE81" s="275"/>
      <c r="EF81" s="275"/>
      <c r="EG81" s="275"/>
      <c r="EH81" s="275"/>
      <c r="EI81" s="275"/>
      <c r="EJ81" s="275"/>
      <c r="EK81" s="275"/>
      <c r="EL81" s="275"/>
      <c r="EM81" s="275"/>
      <c r="EN81" s="275"/>
      <c r="EO81" s="275"/>
      <c r="EP81" s="275"/>
      <c r="EQ81" s="275"/>
      <c r="ER81" s="275"/>
      <c r="ES81" s="275"/>
      <c r="ET81" s="275"/>
      <c r="EU81" s="275"/>
      <c r="EV81" s="275"/>
      <c r="EW81" s="275"/>
      <c r="EX81" s="275"/>
      <c r="EY81" s="275"/>
      <c r="EZ81" s="275"/>
      <c r="FA81" s="275"/>
      <c r="FB81" s="275"/>
      <c r="FC81" s="275"/>
      <c r="FD81" s="275"/>
      <c r="FE81" s="275"/>
      <c r="FF81" s="275"/>
      <c r="FG81" s="275"/>
      <c r="FH81" s="275"/>
      <c r="FI81" s="275"/>
      <c r="FJ81" s="275"/>
      <c r="FK81" s="275"/>
      <c r="FL81" s="275"/>
      <c r="FM81" s="275"/>
      <c r="FN81" s="275"/>
      <c r="FO81" s="275"/>
      <c r="FP81" s="275"/>
      <c r="FQ81" s="275"/>
      <c r="FR81" s="275"/>
      <c r="FS81" s="275"/>
      <c r="FT81" s="275"/>
      <c r="FU81" s="275"/>
      <c r="FV81" s="275"/>
      <c r="FW81" s="275"/>
      <c r="FX81" s="275"/>
      <c r="FY81" s="275"/>
      <c r="FZ81" s="275"/>
      <c r="GA81" s="275"/>
      <c r="GB81" s="275"/>
      <c r="GC81" s="275"/>
      <c r="GD81" s="275"/>
      <c r="GE81" s="275"/>
      <c r="GF81" s="275"/>
      <c r="GG81" s="275"/>
      <c r="GH81" s="275"/>
      <c r="GI81" s="275"/>
      <c r="GJ81" s="275"/>
      <c r="GK81" s="275"/>
      <c r="GL81" s="275"/>
      <c r="GM81" s="275"/>
      <c r="GN81" s="275"/>
      <c r="GO81" s="275"/>
      <c r="GP81" s="275"/>
      <c r="GQ81" s="275"/>
      <c r="GR81" s="275"/>
      <c r="GS81" s="275"/>
      <c r="GT81" s="275"/>
      <c r="GU81" s="275"/>
      <c r="GV81" s="275"/>
      <c r="GW81" s="275"/>
      <c r="GX81" s="275"/>
      <c r="GY81" s="275"/>
      <c r="GZ81" s="275"/>
      <c r="HA81" s="275"/>
      <c r="HB81" s="275"/>
      <c r="HC81" s="275"/>
      <c r="HD81" s="275"/>
      <c r="HE81" s="275"/>
      <c r="HF81" s="275"/>
      <c r="HG81" s="275"/>
      <c r="HH81" s="275"/>
      <c r="HI81" s="275"/>
      <c r="HJ81" s="275"/>
      <c r="HK81" s="275"/>
      <c r="HL81" s="275"/>
      <c r="HM81" s="275"/>
      <c r="HN81" s="275"/>
      <c r="HO81" s="275"/>
      <c r="HP81" s="275"/>
      <c r="HQ81" s="275"/>
      <c r="HR81" s="275"/>
      <c r="HS81" s="275"/>
      <c r="HT81" s="275"/>
      <c r="HU81" s="275"/>
      <c r="HV81" s="275"/>
      <c r="HW81" s="275"/>
      <c r="HX81" s="275"/>
      <c r="HY81" s="275"/>
      <c r="HZ81" s="275"/>
      <c r="IA81" s="275"/>
      <c r="IB81" s="275"/>
      <c r="IC81" s="275"/>
      <c r="ID81" s="275"/>
      <c r="IE81" s="275"/>
      <c r="IF81" s="275"/>
      <c r="IG81" s="275"/>
      <c r="IH81" s="275"/>
      <c r="II81" s="275"/>
      <c r="IJ81" s="275"/>
      <c r="IK81" s="275"/>
      <c r="IL81" s="275"/>
      <c r="IM81" s="275"/>
      <c r="IN81" s="275"/>
      <c r="IO81" s="275"/>
      <c r="IP81" s="275"/>
      <c r="IQ81" s="275"/>
      <c r="IR81" s="275"/>
      <c r="IS81" s="275"/>
      <c r="IT81" s="275"/>
      <c r="IU81" s="275"/>
      <c r="IV81" s="275"/>
      <c r="IW81" s="275"/>
      <c r="IX81" s="275"/>
      <c r="IY81" s="275"/>
      <c r="IZ81" s="275"/>
      <c r="JA81" s="275"/>
      <c r="JB81" s="275"/>
      <c r="JC81" s="275"/>
      <c r="JD81" s="275"/>
      <c r="JE81" s="275"/>
      <c r="JF81" s="275"/>
      <c r="JG81" s="275"/>
      <c r="JH81" s="275"/>
      <c r="JI81" s="275"/>
      <c r="JJ81" s="275"/>
      <c r="JK81" s="275"/>
      <c r="JL81" s="275"/>
      <c r="JM81" s="275"/>
      <c r="JN81" s="275"/>
      <c r="JO81" s="275"/>
      <c r="JP81" s="275"/>
      <c r="JQ81" s="275"/>
      <c r="JR81" s="275"/>
      <c r="JS81" s="275"/>
      <c r="JT81" s="275"/>
      <c r="JU81" s="275"/>
      <c r="JV81" s="275"/>
      <c r="JW81" s="275"/>
      <c r="JX81" s="275"/>
      <c r="JY81" s="275"/>
      <c r="JZ81" s="275"/>
      <c r="KA81" s="275"/>
      <c r="KB81" s="275"/>
      <c r="KC81" s="275"/>
      <c r="KD81" s="275"/>
      <c r="KE81" s="275"/>
      <c r="KF81" s="275"/>
      <c r="KG81" s="275"/>
      <c r="KH81" s="275"/>
      <c r="KI81" s="275"/>
      <c r="KJ81" s="275"/>
      <c r="KK81" s="275"/>
      <c r="KL81" s="275"/>
      <c r="KM81" s="275"/>
      <c r="KN81" s="275"/>
      <c r="KO81" s="275"/>
      <c r="KP81" s="275"/>
      <c r="KQ81" s="275"/>
      <c r="KR81" s="275"/>
      <c r="KS81" s="275"/>
      <c r="KT81" s="275"/>
      <c r="KU81" s="275"/>
      <c r="KV81" s="275"/>
      <c r="KW81" s="275"/>
      <c r="KX81" s="275"/>
      <c r="KY81" s="275"/>
      <c r="KZ81" s="275"/>
      <c r="LA81" s="275"/>
      <c r="LB81" s="275"/>
      <c r="LC81" s="275"/>
      <c r="LD81" s="275"/>
      <c r="LE81" s="275"/>
      <c r="LF81" s="275"/>
      <c r="LG81" s="275"/>
      <c r="LH81" s="275"/>
      <c r="LI81" s="275"/>
      <c r="LJ81" s="275"/>
      <c r="LK81" s="275"/>
      <c r="LL81" s="275"/>
      <c r="LM81" s="275"/>
      <c r="LN81" s="275"/>
      <c r="LO81" s="275"/>
      <c r="LP81" s="275"/>
      <c r="LQ81" s="275"/>
      <c r="LR81" s="275"/>
      <c r="LS81" s="275"/>
      <c r="LT81" s="275"/>
      <c r="LU81" s="275"/>
      <c r="LV81" s="275"/>
      <c r="LW81" s="275"/>
      <c r="LX81" s="275"/>
      <c r="LY81" s="275"/>
      <c r="LZ81" s="275"/>
      <c r="MA81" s="275"/>
      <c r="MB81" s="275"/>
      <c r="MC81" s="275"/>
      <c r="MD81" s="275"/>
      <c r="ME81" s="275"/>
      <c r="MF81" s="275"/>
      <c r="MG81" s="275"/>
      <c r="MH81" s="275"/>
      <c r="MI81" s="275"/>
      <c r="MJ81" s="275"/>
      <c r="MK81" s="275"/>
      <c r="ML81" s="275"/>
      <c r="MM81" s="275"/>
      <c r="MN81" s="275"/>
      <c r="MO81" s="275"/>
      <c r="MP81" s="275"/>
      <c r="MQ81" s="275"/>
      <c r="MR81" s="275"/>
      <c r="MS81" s="275"/>
      <c r="MT81" s="275"/>
      <c r="MU81" s="275"/>
      <c r="MV81" s="275"/>
      <c r="MW81" s="275"/>
      <c r="MX81" s="275"/>
      <c r="MY81" s="275"/>
      <c r="MZ81" s="275"/>
      <c r="NA81" s="275"/>
      <c r="NB81" s="275"/>
      <c r="NC81" s="275"/>
      <c r="ND81" s="275"/>
      <c r="NE81" s="275"/>
      <c r="NF81" s="275"/>
      <c r="NG81" s="275"/>
      <c r="NH81" s="275"/>
      <c r="NI81" s="275"/>
      <c r="NJ81" s="275"/>
      <c r="NK81" s="275"/>
      <c r="NL81" s="275"/>
      <c r="NM81" s="275"/>
      <c r="NN81" s="275"/>
      <c r="NO81" s="275"/>
      <c r="NP81" s="275"/>
      <c r="NQ81" s="275"/>
      <c r="NR81" s="275"/>
      <c r="NS81" s="275"/>
      <c r="NT81" s="275"/>
      <c r="NU81" s="275"/>
      <c r="NV81" s="275"/>
      <c r="NW81" s="275"/>
      <c r="NX81" s="275"/>
      <c r="NY81" s="275"/>
      <c r="NZ81" s="275"/>
      <c r="OA81" s="275"/>
      <c r="OB81" s="275"/>
      <c r="OC81" s="275"/>
      <c r="OD81" s="275"/>
      <c r="OE81" s="275"/>
      <c r="OF81" s="275"/>
      <c r="OG81" s="275"/>
      <c r="OH81" s="275"/>
      <c r="OI81" s="275"/>
      <c r="OJ81" s="275"/>
      <c r="OK81" s="275"/>
      <c r="OL81" s="275"/>
      <c r="OM81" s="275"/>
      <c r="ON81" s="275"/>
      <c r="OO81" s="275"/>
      <c r="OP81" s="275"/>
      <c r="OQ81" s="275"/>
      <c r="OR81" s="275"/>
      <c r="OS81" s="275"/>
      <c r="OT81" s="275"/>
      <c r="OU81" s="275"/>
      <c r="OV81" s="275"/>
      <c r="OW81" s="275"/>
      <c r="OX81" s="275"/>
      <c r="OY81" s="275"/>
      <c r="OZ81" s="275"/>
      <c r="PA81" s="275"/>
      <c r="PB81" s="275"/>
      <c r="PC81" s="275"/>
      <c r="PD81" s="275"/>
      <c r="PE81" s="275"/>
      <c r="PF81" s="275"/>
      <c r="PG81" s="275"/>
      <c r="PH81" s="275"/>
      <c r="PI81" s="275"/>
      <c r="PJ81" s="275"/>
      <c r="PK81" s="275"/>
      <c r="PL81" s="275"/>
      <c r="PM81" s="275"/>
      <c r="PN81" s="275"/>
      <c r="PO81" s="275"/>
      <c r="PP81" s="275"/>
      <c r="PQ81" s="275"/>
      <c r="PR81" s="275"/>
      <c r="PS81" s="275"/>
      <c r="PT81" s="275"/>
      <c r="PU81" s="275"/>
      <c r="PV81" s="275"/>
      <c r="PW81" s="275"/>
      <c r="PX81" s="275"/>
      <c r="PY81" s="275"/>
      <c r="PZ81" s="275"/>
      <c r="QA81" s="275"/>
      <c r="QB81" s="275"/>
      <c r="QC81" s="275"/>
      <c r="QD81" s="275"/>
      <c r="QE81" s="275"/>
      <c r="QF81" s="275"/>
      <c r="QG81" s="275"/>
      <c r="QH81" s="275"/>
      <c r="QI81" s="275"/>
      <c r="QJ81" s="275"/>
      <c r="QK81" s="275"/>
      <c r="QL81" s="275"/>
      <c r="QM81" s="275"/>
      <c r="QN81" s="275"/>
      <c r="QO81" s="275"/>
      <c r="QP81" s="275"/>
      <c r="QQ81" s="275"/>
      <c r="QR81" s="275"/>
      <c r="QS81" s="275"/>
      <c r="QT81" s="275"/>
      <c r="QU81" s="275"/>
      <c r="QV81" s="275"/>
      <c r="QW81" s="275"/>
      <c r="QX81" s="275"/>
      <c r="QY81" s="275"/>
      <c r="QZ81" s="275"/>
      <c r="RA81" s="275"/>
      <c r="RB81" s="275"/>
      <c r="RC81" s="275"/>
      <c r="RD81" s="275"/>
      <c r="RE81" s="275"/>
      <c r="RF81" s="275"/>
      <c r="RG81" s="275"/>
      <c r="RH81" s="275"/>
      <c r="RI81" s="275"/>
      <c r="RJ81" s="275"/>
      <c r="RK81" s="275"/>
      <c r="RL81" s="275"/>
      <c r="RM81" s="275"/>
      <c r="RN81" s="275"/>
      <c r="RO81" s="275"/>
      <c r="RP81" s="275"/>
      <c r="RQ81" s="275"/>
      <c r="RR81" s="275"/>
    </row>
    <row r="82" spans="1:486" s="9" customFormat="1">
      <c r="A82" s="289" t="s">
        <v>228</v>
      </c>
      <c r="B82" s="66" t="s">
        <v>226</v>
      </c>
      <c r="E82" s="95">
        <v>0</v>
      </c>
      <c r="F82" s="270">
        <f ca="1">_xll.RiskLogistic(0.010115,0.033236,_xll.RiskTruncate(-0.99,0.99))</f>
        <v>1.0114686573509113E-2</v>
      </c>
      <c r="G82" s="8">
        <f ca="1">_xll.RiskLogistic(0.010115,0.033236,_xll.RiskTruncate(-0.99,0.99))</f>
        <v>1.0114686573509113E-2</v>
      </c>
      <c r="H82" s="8">
        <f ca="1">_xll.RiskLogistic(0.010115,0.033236,_xll.RiskTruncate(-0.99,0.99))</f>
        <v>1.0114686573509113E-2</v>
      </c>
      <c r="I82" s="8">
        <f ca="1">_xll.RiskLogistic(0.010115,0.033236,_xll.RiskTruncate(-0.99,0.99))</f>
        <v>1.0114686573509113E-2</v>
      </c>
      <c r="J82" s="8">
        <f ca="1">_xll.RiskLogistic(0.010115,0.033236,_xll.RiskTruncate(-0.99,0.99))</f>
        <v>1.0114686573509113E-2</v>
      </c>
      <c r="K82" s="8">
        <f ca="1">_xll.RiskLogistic(0.010115,0.033236,_xll.RiskTruncate(-0.99,0.99))</f>
        <v>1.0114686573509113E-2</v>
      </c>
      <c r="L82" s="8">
        <f ca="1">_xll.RiskLogistic(0.010115,0.033236,_xll.RiskTruncate(-0.99,0.99))</f>
        <v>1.0114686573509113E-2</v>
      </c>
      <c r="M82" s="8">
        <f ca="1">_xll.RiskLogistic(0.010115,0.033236,_xll.RiskTruncate(-0.99,0.99))</f>
        <v>1.0114686573509113E-2</v>
      </c>
      <c r="N82" s="8">
        <f ca="1">_xll.RiskLogistic(0.010115,0.033236,_xll.RiskTruncate(-0.99,0.99))</f>
        <v>1.0114686573509113E-2</v>
      </c>
      <c r="O82" s="8">
        <f ca="1">_xll.RiskLogistic(0.010115,0.033236,_xll.RiskTruncate(-0.99,0.99))</f>
        <v>1.0114686573509113E-2</v>
      </c>
      <c r="P82" s="8">
        <f ca="1">_xll.RiskLogistic(0.010115,0.033236,_xll.RiskTruncate(-0.99,0.99))</f>
        <v>1.0114686573509113E-2</v>
      </c>
      <c r="Q82" s="8">
        <f ca="1">_xll.RiskLogistic(0.010115,0.033236,_xll.RiskTruncate(-0.99,0.99))</f>
        <v>1.0114686573509113E-2</v>
      </c>
      <c r="R82" s="8">
        <f ca="1">_xll.RiskLogistic(0.010115,0.033236,_xll.RiskTruncate(-0.99,0.99))</f>
        <v>1.0114686573509113E-2</v>
      </c>
      <c r="S82" s="8">
        <f ca="1">_xll.RiskLogistic(0.010115,0.033236,_xll.RiskTruncate(-0.99,0.99))</f>
        <v>1.0114686573509113E-2</v>
      </c>
      <c r="T82" s="8">
        <f ca="1">_xll.RiskLogistic(0.010115,0.033236,_xll.RiskTruncate(-0.99,0.99))</f>
        <v>1.0114686573509113E-2</v>
      </c>
      <c r="U82" s="8">
        <f ca="1">_xll.RiskLogistic(0.010115,0.033236,_xll.RiskTruncate(-0.99,0.99))</f>
        <v>1.0114686573509113E-2</v>
      </c>
      <c r="V82" s="8">
        <f ca="1">_xll.RiskLogistic(0.010115,0.033236,_xll.RiskTruncate(-0.99,0.99))</f>
        <v>1.0114686573509113E-2</v>
      </c>
      <c r="W82" s="8">
        <f ca="1">_xll.RiskLogistic(0.010115,0.033236,_xll.RiskTruncate(-0.99,0.99))</f>
        <v>1.0114686573509113E-2</v>
      </c>
      <c r="X82" s="8">
        <f ca="1">_xll.RiskLogistic(0.010115,0.033236,_xll.RiskTruncate(-0.99,0.99))</f>
        <v>1.0114686573509113E-2</v>
      </c>
      <c r="Y82" s="8">
        <f ca="1">_xll.RiskLogistic(0.010115,0.033236,_xll.RiskTruncate(-0.99,0.99))</f>
        <v>1.0114686573509113E-2</v>
      </c>
      <c r="Z82" s="8">
        <f ca="1">_xll.RiskLogistic(0.010115,0.033236,_xll.RiskTruncate(-0.99,0.99))</f>
        <v>1.0114686573509113E-2</v>
      </c>
      <c r="AA82" s="8">
        <f ca="1">_xll.RiskLogistic(0.010115,0.033236,_xll.RiskTruncate(-0.99,0.99))</f>
        <v>1.0114686573509113E-2</v>
      </c>
      <c r="AB82" s="8">
        <f ca="1">_xll.RiskLogistic(0.010115,0.033236,_xll.RiskTruncate(-0.99,0.99))</f>
        <v>1.0114686573509113E-2</v>
      </c>
      <c r="AC82" s="8">
        <f ca="1">_xll.RiskLogistic(0.010115,0.033236,_xll.RiskTruncate(-0.99,0.99))</f>
        <v>1.0114686573509113E-2</v>
      </c>
      <c r="AD82" s="8">
        <f ca="1">_xll.RiskLogistic(0.010115,0.033236,_xll.RiskTruncate(-0.99,0.99))</f>
        <v>1.0114686573509113E-2</v>
      </c>
      <c r="AE82" s="8">
        <f ca="1">_xll.RiskLogistic(0.010115,0.033236,_xll.RiskTruncate(-0.99,0.99))</f>
        <v>1.0114686573509113E-2</v>
      </c>
      <c r="AF82" s="8">
        <f ca="1">_xll.RiskLogistic(0.010115,0.033236,_xll.RiskTruncate(-0.99,0.99))</f>
        <v>1.0114686573509113E-2</v>
      </c>
      <c r="AG82" s="8">
        <f ca="1">_xll.RiskLogistic(0.010115,0.033236,_xll.RiskTruncate(-0.99,0.99))</f>
        <v>1.0114686573509113E-2</v>
      </c>
      <c r="AH82" s="8">
        <f ca="1">_xll.RiskLogistic(0.010115,0.033236,_xll.RiskTruncate(-0.99,0.99))</f>
        <v>1.0114686573509113E-2</v>
      </c>
      <c r="AI82" s="8">
        <f ca="1">_xll.RiskLogistic(0.010115,0.033236,_xll.RiskTruncate(-0.99,0.99))</f>
        <v>1.0114686573509113E-2</v>
      </c>
      <c r="AJ82" s="8">
        <f ca="1">_xll.RiskLogistic(0.010115,0.033236,_xll.RiskTruncate(-0.99,0.99))</f>
        <v>1.0114686573509113E-2</v>
      </c>
      <c r="AK82" s="8">
        <f ca="1">_xll.RiskLogistic(0.010115,0.033236,_xll.RiskTruncate(-0.99,0.99))</f>
        <v>1.0114686573509113E-2</v>
      </c>
      <c r="AL82" s="8">
        <f ca="1">_xll.RiskLogistic(0.010115,0.033236,_xll.RiskTruncate(-0.99,0.99))</f>
        <v>1.0114686573509113E-2</v>
      </c>
      <c r="AM82" s="8">
        <f ca="1">_xll.RiskLogistic(0.010115,0.033236,_xll.RiskTruncate(-0.99,0.99))</f>
        <v>1.0114686573509113E-2</v>
      </c>
      <c r="AN82" s="8">
        <f ca="1">_xll.RiskLogistic(0.010115,0.033236,_xll.RiskTruncate(-0.99,0.99))</f>
        <v>1.0114686573509113E-2</v>
      </c>
      <c r="AO82" s="8">
        <f ca="1">_xll.RiskLogistic(0.010115,0.033236,_xll.RiskTruncate(-0.99,0.99))</f>
        <v>1.0114686573509113E-2</v>
      </c>
      <c r="AP82" s="8">
        <f ca="1">_xll.RiskLogistic(0.010115,0.033236,_xll.RiskTruncate(-0.99,0.99))</f>
        <v>1.0114686573509113E-2</v>
      </c>
      <c r="AQ82" s="8">
        <f ca="1">_xll.RiskLogistic(0.010115,0.033236,_xll.RiskTruncate(-0.99,0.99))</f>
        <v>1.0114686573509113E-2</v>
      </c>
      <c r="AR82" s="8">
        <f ca="1">_xll.RiskLogistic(0.010115,0.033236,_xll.RiskTruncate(-0.99,0.99))</f>
        <v>1.0114686573509113E-2</v>
      </c>
      <c r="AS82" s="8">
        <f ca="1">_xll.RiskLogistic(0.010115,0.033236,_xll.RiskTruncate(-0.99,0.99))</f>
        <v>1.0114686573509113E-2</v>
      </c>
      <c r="AT82" s="8">
        <f ca="1">_xll.RiskLogistic(0.010115,0.033236,_xll.RiskTruncate(-0.99,0.99))</f>
        <v>1.0114686573509113E-2</v>
      </c>
      <c r="AU82" s="8">
        <f ca="1">_xll.RiskLogistic(0.010115,0.033236,_xll.RiskTruncate(-0.99,0.99))</f>
        <v>1.0114686573509113E-2</v>
      </c>
      <c r="AV82" s="8">
        <f ca="1">_xll.RiskLogistic(0.010115,0.033236,_xll.RiskTruncate(-0.99,0.99))</f>
        <v>1.0114686573509113E-2</v>
      </c>
      <c r="AW82" s="8">
        <f ca="1">_xll.RiskLogistic(0.010115,0.033236,_xll.RiskTruncate(-0.99,0.99))</f>
        <v>1.0114686573509113E-2</v>
      </c>
      <c r="AX82" s="8">
        <f ca="1">_xll.RiskLogistic(0.010115,0.033236,_xll.RiskTruncate(-0.99,0.99))</f>
        <v>1.0114686573509113E-2</v>
      </c>
      <c r="AY82" s="8">
        <f ca="1">_xll.RiskLogistic(0.010115,0.033236,_xll.RiskTruncate(-0.99,0.99))</f>
        <v>1.0114686573509113E-2</v>
      </c>
      <c r="AZ82" s="8">
        <f ca="1">_xll.RiskLogistic(0.010115,0.033236,_xll.RiskTruncate(-0.99,0.99))</f>
        <v>1.0114686573509113E-2</v>
      </c>
      <c r="BA82" s="8">
        <f ca="1">_xll.RiskLogistic(0.010115,0.033236,_xll.RiskTruncate(-0.99,0.99))</f>
        <v>1.0114686573509113E-2</v>
      </c>
      <c r="BB82" s="8">
        <f ca="1">_xll.RiskLogistic(0.010115,0.033236,_xll.RiskTruncate(-0.99,0.99))</f>
        <v>1.0114686573509113E-2</v>
      </c>
      <c r="BC82" s="8">
        <f ca="1">_xll.RiskLogistic(0.010115,0.033236,_xll.RiskTruncate(-0.99,0.99))</f>
        <v>1.0114686573509113E-2</v>
      </c>
      <c r="BD82" s="8">
        <f ca="1">_xll.RiskLogistic(0.010115,0.033236,_xll.RiskTruncate(-0.99,0.99))</f>
        <v>1.0114686573509113E-2</v>
      </c>
      <c r="BE82" s="8">
        <f ca="1">_xll.RiskLogistic(0.010115,0.033236,_xll.RiskTruncate(-0.99,0.99))</f>
        <v>1.0114686573509113E-2</v>
      </c>
      <c r="BF82" s="8">
        <f ca="1">_xll.RiskLogistic(0.010115,0.033236,_xll.RiskTruncate(-0.99,0.99))</f>
        <v>1.0114686573509113E-2</v>
      </c>
      <c r="BG82" s="8">
        <f ca="1">_xll.RiskLogistic(0.010115,0.033236,_xll.RiskTruncate(-0.99,0.99))</f>
        <v>1.0114686573509113E-2</v>
      </c>
      <c r="BH82" s="8">
        <f ca="1">_xll.RiskLogistic(0.010115,0.033236,_xll.RiskTruncate(-0.99,0.99))</f>
        <v>1.0114686573509113E-2</v>
      </c>
      <c r="BI82" s="8">
        <f ca="1">_xll.RiskLogistic(0.010115,0.033236,_xll.RiskTruncate(-0.99,0.99))</f>
        <v>1.0114686573509113E-2</v>
      </c>
      <c r="BJ82" s="8">
        <f ca="1">_xll.RiskLogistic(0.010115,0.033236,_xll.RiskTruncate(-0.99,0.99))</f>
        <v>1.0114686573509113E-2</v>
      </c>
      <c r="BK82" s="8">
        <f ca="1">_xll.RiskLogistic(0.010115,0.033236,_xll.RiskTruncate(-0.99,0.99))</f>
        <v>1.0114686573509113E-2</v>
      </c>
      <c r="BL82" s="8">
        <f ca="1">_xll.RiskLogistic(0.010115,0.033236,_xll.RiskTruncate(-0.99,0.99))</f>
        <v>1.0114686573509113E-2</v>
      </c>
      <c r="BM82" s="8">
        <f ca="1">_xll.RiskLogistic(0.010115,0.033236,_xll.RiskTruncate(-0.99,0.99))</f>
        <v>1.0114686573509113E-2</v>
      </c>
      <c r="BN82" s="8">
        <f ca="1">_xll.RiskLogistic(0.010115,0.033236,_xll.RiskTruncate(-0.99,0.99))</f>
        <v>1.0114686573509113E-2</v>
      </c>
      <c r="BO82" s="8">
        <f ca="1">_xll.RiskLogistic(0.010115,0.033236,_xll.RiskTruncate(-0.99,0.99))</f>
        <v>1.0114686573509113E-2</v>
      </c>
      <c r="BP82" s="8">
        <f ca="1">_xll.RiskLogistic(0.010115,0.033236,_xll.RiskTruncate(-0.99,0.99))</f>
        <v>1.0114686573509113E-2</v>
      </c>
      <c r="BQ82" s="8">
        <f ca="1">_xll.RiskLogistic(0.010115,0.033236,_xll.RiskTruncate(-0.99,0.99))</f>
        <v>1.0114686573509113E-2</v>
      </c>
      <c r="BR82" s="8">
        <f ca="1">_xll.RiskLogistic(0.010115,0.033236,_xll.RiskTruncate(-0.99,0.99))</f>
        <v>1.0114686573509113E-2</v>
      </c>
      <c r="BS82" s="8">
        <f ca="1">_xll.RiskLogistic(0.010115,0.033236,_xll.RiskTruncate(-0.99,0.99))</f>
        <v>1.0114686573509113E-2</v>
      </c>
      <c r="BT82" s="8">
        <f ca="1">_xll.RiskLogistic(0.010115,0.033236,_xll.RiskTruncate(-0.99,0.99))</f>
        <v>1.0114686573509113E-2</v>
      </c>
      <c r="BU82" s="8">
        <f ca="1">_xll.RiskLogistic(0.010115,0.033236,_xll.RiskTruncate(-0.99,0.99))</f>
        <v>1.0114686573509113E-2</v>
      </c>
      <c r="BV82" s="8">
        <f ca="1">_xll.RiskLogistic(0.010115,0.033236,_xll.RiskTruncate(-0.99,0.99))</f>
        <v>1.0114686573509113E-2</v>
      </c>
      <c r="BW82" s="8">
        <f ca="1">_xll.RiskLogistic(0.010115,0.033236,_xll.RiskTruncate(-0.99,0.99))</f>
        <v>1.0114686573509113E-2</v>
      </c>
      <c r="BX82" s="8">
        <f ca="1">_xll.RiskLogistic(0.010115,0.033236,_xll.RiskTruncate(-0.99,0.99))</f>
        <v>1.0114686573509113E-2</v>
      </c>
      <c r="BY82" s="8">
        <f ca="1">_xll.RiskLogistic(0.010115,0.033236,_xll.RiskTruncate(-0.99,0.99))</f>
        <v>1.0114686573509113E-2</v>
      </c>
      <c r="BZ82" s="8">
        <f ca="1">_xll.RiskLogistic(0.010115,0.033236,_xll.RiskTruncate(-0.99,0.99))</f>
        <v>1.0114686573509113E-2</v>
      </c>
      <c r="CA82" s="8">
        <f ca="1">_xll.RiskLogistic(0.010115,0.033236,_xll.RiskTruncate(-0.99,0.99))</f>
        <v>1.0114686573509113E-2</v>
      </c>
      <c r="CB82" s="8">
        <f ca="1">_xll.RiskLogistic(0.010115,0.033236,_xll.RiskTruncate(-0.99,0.99))</f>
        <v>1.0114686573509113E-2</v>
      </c>
      <c r="CC82" s="8">
        <f ca="1">_xll.RiskLogistic(0.010115,0.033236,_xll.RiskTruncate(-0.99,0.99))</f>
        <v>1.0114686573509113E-2</v>
      </c>
      <c r="CD82" s="8">
        <f ca="1">_xll.RiskLogistic(0.010115,0.033236,_xll.RiskTruncate(-0.99,0.99))</f>
        <v>1.0114686573509113E-2</v>
      </c>
      <c r="CE82" s="8">
        <f ca="1">_xll.RiskLogistic(0.010115,0.033236,_xll.RiskTruncate(-0.99,0.99))</f>
        <v>1.0114686573509113E-2</v>
      </c>
      <c r="CF82" s="8">
        <f ca="1">_xll.RiskLogistic(0.010115,0.033236,_xll.RiskTruncate(-0.99,0.99))</f>
        <v>1.0114686573509113E-2</v>
      </c>
      <c r="CG82" s="8">
        <f ca="1">_xll.RiskLogistic(0.010115,0.033236,_xll.RiskTruncate(-0.99,0.99))</f>
        <v>1.0114686573509113E-2</v>
      </c>
      <c r="CH82" s="8">
        <f ca="1">_xll.RiskLogistic(0.010115,0.033236,_xll.RiskTruncate(-0.99,0.99))</f>
        <v>1.0114686573509113E-2</v>
      </c>
      <c r="CI82" s="8">
        <f ca="1">_xll.RiskLogistic(0.010115,0.033236,_xll.RiskTruncate(-0.99,0.99))</f>
        <v>1.0114686573509113E-2</v>
      </c>
      <c r="CJ82" s="8">
        <f ca="1">_xll.RiskLogistic(0.010115,0.033236,_xll.RiskTruncate(-0.99,0.99))</f>
        <v>1.0114686573509113E-2</v>
      </c>
      <c r="CK82" s="8">
        <f ca="1">_xll.RiskLogistic(0.010115,0.033236,_xll.RiskTruncate(-0.99,0.99))</f>
        <v>1.0114686573509113E-2</v>
      </c>
      <c r="CL82" s="8">
        <f ca="1">_xll.RiskLogistic(0.010115,0.033236,_xll.RiskTruncate(-0.99,0.99))</f>
        <v>1.0114686573509113E-2</v>
      </c>
      <c r="CM82" s="8">
        <f ca="1">_xll.RiskLogistic(0.010115,0.033236,_xll.RiskTruncate(-0.99,0.99))</f>
        <v>1.0114686573509113E-2</v>
      </c>
      <c r="CN82" s="8">
        <f ca="1">_xll.RiskLogistic(0.010115,0.033236,_xll.RiskTruncate(-0.99,0.99))</f>
        <v>1.0114686573509113E-2</v>
      </c>
      <c r="CO82" s="8">
        <f ca="1">_xll.RiskLogistic(0.010115,0.033236,_xll.RiskTruncate(-0.99,0.99))</f>
        <v>1.0114686573509113E-2</v>
      </c>
      <c r="CP82" s="8">
        <f ca="1">_xll.RiskLogistic(0.010115,0.033236,_xll.RiskTruncate(-0.99,0.99))</f>
        <v>1.0114686573509113E-2</v>
      </c>
      <c r="CQ82" s="8">
        <f ca="1">_xll.RiskLogistic(0.010115,0.033236,_xll.RiskTruncate(-0.99,0.99))</f>
        <v>1.0114686573509113E-2</v>
      </c>
      <c r="CR82" s="8">
        <f ca="1">_xll.RiskLogistic(0.010115,0.033236,_xll.RiskTruncate(-0.99,0.99))</f>
        <v>1.0114686573509113E-2</v>
      </c>
      <c r="CS82" s="8">
        <f ca="1">_xll.RiskLogistic(0.010115,0.033236,_xll.RiskTruncate(-0.99,0.99))</f>
        <v>1.0114686573509113E-2</v>
      </c>
      <c r="CT82" s="8">
        <f ca="1">_xll.RiskLogistic(0.010115,0.033236,_xll.RiskTruncate(-0.99,0.99))</f>
        <v>1.0114686573509113E-2</v>
      </c>
      <c r="CU82" s="8">
        <f ca="1">_xll.RiskLogistic(0.010115,0.033236,_xll.RiskTruncate(-0.99,0.99))</f>
        <v>1.0114686573509113E-2</v>
      </c>
      <c r="CV82" s="8">
        <f ca="1">_xll.RiskLogistic(0.010115,0.033236,_xll.RiskTruncate(-0.99,0.99))</f>
        <v>1.0114686573509113E-2</v>
      </c>
      <c r="CW82" s="8">
        <f ca="1">_xll.RiskLogistic(0.010115,0.033236,_xll.RiskTruncate(-0.99,0.99))</f>
        <v>1.0114686573509113E-2</v>
      </c>
      <c r="CX82" s="8">
        <f ca="1">_xll.RiskLogistic(0.010115,0.033236,_xll.RiskTruncate(-0.99,0.99))</f>
        <v>1.0114686573509113E-2</v>
      </c>
      <c r="CY82" s="8">
        <f ca="1">_xll.RiskLogistic(0.010115,0.033236,_xll.RiskTruncate(-0.99,0.99))</f>
        <v>1.0114686573509113E-2</v>
      </c>
      <c r="CZ82" s="8">
        <f ca="1">_xll.RiskLogistic(0.010115,0.033236,_xll.RiskTruncate(-0.99,0.99))</f>
        <v>1.0114686573509113E-2</v>
      </c>
      <c r="DA82" s="8">
        <f ca="1">_xll.RiskLogistic(0.010115,0.033236,_xll.RiskTruncate(-0.99,0.99))</f>
        <v>1.0114686573509113E-2</v>
      </c>
      <c r="DB82" s="8">
        <f ca="1">_xll.RiskLogistic(0.010115,0.033236,_xll.RiskTruncate(-0.99,0.99))</f>
        <v>1.0114686573509113E-2</v>
      </c>
      <c r="DC82" s="8">
        <f ca="1">_xll.RiskLogistic(0.010115,0.033236,_xll.RiskTruncate(-0.99,0.99))</f>
        <v>1.0114686573509113E-2</v>
      </c>
      <c r="DD82" s="8">
        <f ca="1">_xll.RiskLogistic(0.010115,0.033236,_xll.RiskTruncate(-0.99,0.99))</f>
        <v>1.0114686573509113E-2</v>
      </c>
      <c r="DE82" s="8">
        <f ca="1">_xll.RiskLogistic(0.010115,0.033236,_xll.RiskTruncate(-0.99,0.99))</f>
        <v>1.0114686573509113E-2</v>
      </c>
      <c r="DF82" s="8">
        <f ca="1">_xll.RiskLogistic(0.010115,0.033236,_xll.RiskTruncate(-0.99,0.99))</f>
        <v>1.0114686573509113E-2</v>
      </c>
      <c r="DG82" s="8">
        <f ca="1">_xll.RiskLogistic(0.010115,0.033236,_xll.RiskTruncate(-0.99,0.99))</f>
        <v>1.0114686573509113E-2</v>
      </c>
      <c r="DH82" s="8">
        <f ca="1">_xll.RiskLogistic(0.010115,0.033236,_xll.RiskTruncate(-0.99,0.99))</f>
        <v>1.0114686573509113E-2</v>
      </c>
      <c r="DI82" s="8">
        <f ca="1">_xll.RiskLogistic(0.010115,0.033236,_xll.RiskTruncate(-0.99,0.99))</f>
        <v>1.0114686573509113E-2</v>
      </c>
      <c r="DJ82" s="8">
        <f ca="1">_xll.RiskLogistic(0.010115,0.033236,_xll.RiskTruncate(-0.99,0.99))</f>
        <v>1.0114686573509113E-2</v>
      </c>
      <c r="DK82" s="8">
        <f ca="1">_xll.RiskLogistic(0.010115,0.033236,_xll.RiskTruncate(-0.99,0.99))</f>
        <v>1.0114686573509113E-2</v>
      </c>
      <c r="DL82" s="8">
        <f ca="1">_xll.RiskLogistic(0.010115,0.033236,_xll.RiskTruncate(-0.99,0.99))</f>
        <v>1.0114686573509113E-2</v>
      </c>
      <c r="DM82" s="8">
        <f ca="1">_xll.RiskLogistic(0.010115,0.033236,_xll.RiskTruncate(-0.99,0.99))</f>
        <v>1.0114686573509113E-2</v>
      </c>
      <c r="DN82" s="8">
        <f ca="1">_xll.RiskLogistic(0.010115,0.033236,_xll.RiskTruncate(-0.99,0.99))</f>
        <v>1.0114686573509113E-2</v>
      </c>
      <c r="DO82" s="8">
        <f ca="1">_xll.RiskLogistic(0.010115,0.033236,_xll.RiskTruncate(-0.99,0.99))</f>
        <v>1.0114686573509113E-2</v>
      </c>
      <c r="DP82" s="8">
        <f ca="1">_xll.RiskLogistic(0.010115,0.033236,_xll.RiskTruncate(-0.99,0.99))</f>
        <v>1.0114686573509113E-2</v>
      </c>
      <c r="DQ82" s="8">
        <f ca="1">_xll.RiskLogistic(0.010115,0.033236,_xll.RiskTruncate(-0.99,0.99))</f>
        <v>1.0114686573509113E-2</v>
      </c>
      <c r="DR82" s="8">
        <f ca="1">_xll.RiskLogistic(0.010115,0.033236,_xll.RiskTruncate(-0.99,0.99))</f>
        <v>1.0114686573509113E-2</v>
      </c>
      <c r="DS82" s="8">
        <f ca="1">_xll.RiskLogistic(0.010115,0.033236,_xll.RiskTruncate(-0.99,0.99))</f>
        <v>1.0114686573509113E-2</v>
      </c>
      <c r="DT82" s="8">
        <f ca="1">_xll.RiskLogistic(0.010115,0.033236,_xll.RiskTruncate(-0.99,0.99))</f>
        <v>1.0114686573509113E-2</v>
      </c>
      <c r="DU82" s="8">
        <f ca="1">_xll.RiskLogistic(0.010115,0.033236,_xll.RiskTruncate(-0.99,0.99))</f>
        <v>1.0114686573509113E-2</v>
      </c>
      <c r="DV82" s="8">
        <f ca="1">_xll.RiskLogistic(0.010115,0.033236,_xll.RiskTruncate(-0.99,0.99))</f>
        <v>1.0114686573509113E-2</v>
      </c>
      <c r="DW82" s="8">
        <f ca="1">_xll.RiskLogistic(0.010115,0.033236,_xll.RiskTruncate(-0.99,0.99))</f>
        <v>1.0114686573509113E-2</v>
      </c>
      <c r="DX82" s="8">
        <f ca="1">_xll.RiskLogistic(0.010115,0.033236,_xll.RiskTruncate(-0.99,0.99))</f>
        <v>1.0114686573509113E-2</v>
      </c>
      <c r="DY82" s="8">
        <f ca="1">_xll.RiskLogistic(0.010115,0.033236,_xll.RiskTruncate(-0.99,0.99))</f>
        <v>1.0114686573509113E-2</v>
      </c>
      <c r="DZ82" s="8">
        <f ca="1">_xll.RiskLogistic(0.010115,0.033236,_xll.RiskTruncate(-0.99,0.99))</f>
        <v>1.0114686573509113E-2</v>
      </c>
      <c r="EA82" s="8">
        <f ca="1">_xll.RiskLogistic(0.010115,0.033236,_xll.RiskTruncate(-0.99,0.99))</f>
        <v>1.0114686573509113E-2</v>
      </c>
      <c r="EB82" s="8">
        <f ca="1">_xll.RiskLogistic(0.010115,0.033236,_xll.RiskTruncate(-0.99,0.99))</f>
        <v>1.0114686573509113E-2</v>
      </c>
      <c r="EC82" s="8">
        <f ca="1">_xll.RiskLogistic(0.010115,0.033236,_xll.RiskTruncate(-0.99,0.99))</f>
        <v>1.0114686573509113E-2</v>
      </c>
      <c r="ED82" s="8">
        <f ca="1">_xll.RiskLogistic(0.010115,0.033236,_xll.RiskTruncate(-0.99,0.99))</f>
        <v>1.0114686573509113E-2</v>
      </c>
      <c r="EE82" s="8">
        <f ca="1">_xll.RiskLogistic(0.010115,0.033236,_xll.RiskTruncate(-0.99,0.99))</f>
        <v>1.0114686573509113E-2</v>
      </c>
      <c r="EF82" s="8">
        <f ca="1">_xll.RiskLogistic(0.010115,0.033236,_xll.RiskTruncate(-0.99,0.99))</f>
        <v>1.0114686573509113E-2</v>
      </c>
      <c r="EG82" s="8">
        <f ca="1">_xll.RiskLogistic(0.010115,0.033236,_xll.RiskTruncate(-0.99,0.99))</f>
        <v>1.0114686573509113E-2</v>
      </c>
      <c r="EH82" s="8">
        <f ca="1">_xll.RiskLogistic(0.010115,0.033236,_xll.RiskTruncate(-0.99,0.99))</f>
        <v>1.0114686573509113E-2</v>
      </c>
      <c r="EI82" s="8">
        <f ca="1">_xll.RiskLogistic(0.010115,0.033236,_xll.RiskTruncate(-0.99,0.99))</f>
        <v>1.0114686573509113E-2</v>
      </c>
      <c r="EJ82" s="8">
        <f ca="1">_xll.RiskLogistic(0.010115,0.033236,_xll.RiskTruncate(-0.99,0.99))</f>
        <v>1.0114686573509113E-2</v>
      </c>
      <c r="EK82" s="8">
        <f ca="1">_xll.RiskLogistic(0.010115,0.033236,_xll.RiskTruncate(-0.99,0.99))</f>
        <v>1.0114686573509113E-2</v>
      </c>
      <c r="EL82" s="8">
        <f ca="1">_xll.RiskLogistic(0.010115,0.033236,_xll.RiskTruncate(-0.99,0.99))</f>
        <v>1.0114686573509113E-2</v>
      </c>
      <c r="EM82" s="8">
        <f ca="1">_xll.RiskLogistic(0.010115,0.033236,_xll.RiskTruncate(-0.99,0.99))</f>
        <v>1.0114686573509113E-2</v>
      </c>
      <c r="EN82" s="8">
        <f ca="1">_xll.RiskLogistic(0.010115,0.033236,_xll.RiskTruncate(-0.99,0.99))</f>
        <v>1.0114686573509113E-2</v>
      </c>
      <c r="EO82" s="8">
        <f ca="1">_xll.RiskLogistic(0.010115,0.033236,_xll.RiskTruncate(-0.99,0.99))</f>
        <v>1.0114686573509113E-2</v>
      </c>
      <c r="EP82" s="8">
        <f ca="1">_xll.RiskLogistic(0.010115,0.033236,_xll.RiskTruncate(-0.99,0.99))</f>
        <v>1.0114686573509113E-2</v>
      </c>
      <c r="EQ82" s="8">
        <f ca="1">_xll.RiskLogistic(0.010115,0.033236,_xll.RiskTruncate(-0.99,0.99))</f>
        <v>1.0114686573509113E-2</v>
      </c>
      <c r="ER82" s="8">
        <f ca="1">_xll.RiskLogistic(0.010115,0.033236,_xll.RiskTruncate(-0.99,0.99))</f>
        <v>1.0114686573509113E-2</v>
      </c>
      <c r="ES82" s="8">
        <f ca="1">_xll.RiskLogistic(0.010115,0.033236,_xll.RiskTruncate(-0.99,0.99))</f>
        <v>1.0114686573509113E-2</v>
      </c>
      <c r="ET82" s="8">
        <f ca="1">_xll.RiskLogistic(0.010115,0.033236,_xll.RiskTruncate(-0.99,0.99))</f>
        <v>1.0114686573509113E-2</v>
      </c>
      <c r="EU82" s="8">
        <f ca="1">_xll.RiskLogistic(0.010115,0.033236,_xll.RiskTruncate(-0.99,0.99))</f>
        <v>1.0114686573509113E-2</v>
      </c>
      <c r="EV82" s="8">
        <f ca="1">_xll.RiskLogistic(0.010115,0.033236,_xll.RiskTruncate(-0.99,0.99))</f>
        <v>1.0114686573509113E-2</v>
      </c>
      <c r="EW82" s="8">
        <f ca="1">_xll.RiskLogistic(0.010115,0.033236,_xll.RiskTruncate(-0.99,0.99))</f>
        <v>1.0114686573509113E-2</v>
      </c>
      <c r="EX82" s="8">
        <f ca="1">_xll.RiskLogistic(0.010115,0.033236,_xll.RiskTruncate(-0.99,0.99))</f>
        <v>1.0114686573509113E-2</v>
      </c>
      <c r="EY82" s="8">
        <f ca="1">_xll.RiskLogistic(0.010115,0.033236,_xll.RiskTruncate(-0.99,0.99))</f>
        <v>1.0114686573509113E-2</v>
      </c>
      <c r="EZ82" s="8">
        <f ca="1">_xll.RiskLogistic(0.010115,0.033236,_xll.RiskTruncate(-0.99,0.99))</f>
        <v>1.0114686573509113E-2</v>
      </c>
      <c r="FA82" s="8">
        <f ca="1">_xll.RiskLogistic(0.010115,0.033236,_xll.RiskTruncate(-0.99,0.99))</f>
        <v>1.0114686573509113E-2</v>
      </c>
      <c r="FB82" s="8">
        <f ca="1">_xll.RiskLogistic(0.010115,0.033236,_xll.RiskTruncate(-0.99,0.99))</f>
        <v>1.0114686573509113E-2</v>
      </c>
      <c r="FC82" s="8">
        <f ca="1">_xll.RiskLogistic(0.010115,0.033236,_xll.RiskTruncate(-0.99,0.99))</f>
        <v>1.0114686573509113E-2</v>
      </c>
      <c r="FD82" s="8">
        <f ca="1">_xll.RiskLogistic(0.010115,0.033236,_xll.RiskTruncate(-0.99,0.99))</f>
        <v>1.0114686573509113E-2</v>
      </c>
      <c r="FE82" s="8">
        <f ca="1">_xll.RiskLogistic(0.010115,0.033236,_xll.RiskTruncate(-0.99,0.99))</f>
        <v>1.0114686573509113E-2</v>
      </c>
      <c r="FF82" s="8">
        <f ca="1">_xll.RiskLogistic(0.010115,0.033236,_xll.RiskTruncate(-0.99,0.99))</f>
        <v>1.0114686573509113E-2</v>
      </c>
      <c r="FG82" s="8">
        <f ca="1">_xll.RiskLogistic(0.010115,0.033236,_xll.RiskTruncate(-0.99,0.99))</f>
        <v>1.0114686573509113E-2</v>
      </c>
      <c r="FH82" s="8">
        <f ca="1">_xll.RiskLogistic(0.010115,0.033236,_xll.RiskTruncate(-0.99,0.99))</f>
        <v>1.0114686573509113E-2</v>
      </c>
      <c r="FI82" s="8">
        <f ca="1">_xll.RiskLogistic(0.010115,0.033236,_xll.RiskTruncate(-0.99,0.99))</f>
        <v>1.0114686573509113E-2</v>
      </c>
      <c r="FJ82" s="8">
        <f ca="1">_xll.RiskLogistic(0.010115,0.033236,_xll.RiskTruncate(-0.99,0.99))</f>
        <v>1.0114686573509113E-2</v>
      </c>
      <c r="FK82" s="8">
        <f ca="1">_xll.RiskLogistic(0.010115,0.033236,_xll.RiskTruncate(-0.99,0.99))</f>
        <v>1.0114686573509113E-2</v>
      </c>
      <c r="FL82" s="8">
        <f ca="1">_xll.RiskLogistic(0.010115,0.033236,_xll.RiskTruncate(-0.99,0.99))</f>
        <v>1.0114686573509113E-2</v>
      </c>
      <c r="FM82" s="8">
        <f ca="1">_xll.RiskLogistic(0.010115,0.033236,_xll.RiskTruncate(-0.99,0.99))</f>
        <v>1.0114686573509113E-2</v>
      </c>
      <c r="FN82" s="8">
        <f ca="1">_xll.RiskLogistic(0.010115,0.033236,_xll.RiskTruncate(-0.99,0.99))</f>
        <v>1.0114686573509113E-2</v>
      </c>
      <c r="FO82" s="8">
        <f ca="1">_xll.RiskLogistic(0.010115,0.033236,_xll.RiskTruncate(-0.99,0.99))</f>
        <v>1.0114686573509113E-2</v>
      </c>
      <c r="FP82" s="8">
        <f ca="1">_xll.RiskLogistic(0.010115,0.033236,_xll.RiskTruncate(-0.99,0.99))</f>
        <v>1.0114686573509113E-2</v>
      </c>
      <c r="FQ82" s="8">
        <f ca="1">_xll.RiskLogistic(0.010115,0.033236,_xll.RiskTruncate(-0.99,0.99))</f>
        <v>1.0114686573509113E-2</v>
      </c>
      <c r="FR82" s="8">
        <f ca="1">_xll.RiskLogistic(0.010115,0.033236,_xll.RiskTruncate(-0.99,0.99))</f>
        <v>1.0114686573509113E-2</v>
      </c>
      <c r="FS82" s="8">
        <f ca="1">_xll.RiskLogistic(0.010115,0.033236,_xll.RiskTruncate(-0.99,0.99))</f>
        <v>1.0114686573509113E-2</v>
      </c>
      <c r="FT82" s="8">
        <f ca="1">_xll.RiskLogistic(0.010115,0.033236,_xll.RiskTruncate(-0.99,0.99))</f>
        <v>1.0114686573509113E-2</v>
      </c>
      <c r="FU82" s="8">
        <f ca="1">_xll.RiskLogistic(0.010115,0.033236,_xll.RiskTruncate(-0.99,0.99))</f>
        <v>1.0114686573509113E-2</v>
      </c>
      <c r="FV82" s="8">
        <f ca="1">_xll.RiskLogistic(0.010115,0.033236,_xll.RiskTruncate(-0.99,0.99))</f>
        <v>1.0114686573509113E-2</v>
      </c>
      <c r="FW82" s="8">
        <f ca="1">_xll.RiskLogistic(0.010115,0.033236,_xll.RiskTruncate(-0.99,0.99))</f>
        <v>1.0114686573509113E-2</v>
      </c>
      <c r="FX82" s="8">
        <f ca="1">_xll.RiskLogistic(0.010115,0.033236,_xll.RiskTruncate(-0.99,0.99))</f>
        <v>1.0114686573509113E-2</v>
      </c>
      <c r="FY82" s="8">
        <f ca="1">_xll.RiskLogistic(0.010115,0.033236,_xll.RiskTruncate(-0.99,0.99))</f>
        <v>1.0114686573509113E-2</v>
      </c>
      <c r="FZ82" s="8">
        <f ca="1">_xll.RiskLogistic(0.010115,0.033236,_xll.RiskTruncate(-0.99,0.99))</f>
        <v>1.0114686573509113E-2</v>
      </c>
      <c r="GA82" s="8">
        <f ca="1">_xll.RiskLogistic(0.010115,0.033236,_xll.RiskTruncate(-0.99,0.99))</f>
        <v>1.0114686573509113E-2</v>
      </c>
      <c r="GB82" s="8">
        <f ca="1">_xll.RiskLogistic(0.010115,0.033236,_xll.RiskTruncate(-0.99,0.99))</f>
        <v>1.0114686573509113E-2</v>
      </c>
      <c r="GC82" s="8">
        <f ca="1">_xll.RiskLogistic(0.010115,0.033236,_xll.RiskTruncate(-0.99,0.99))</f>
        <v>1.0114686573509113E-2</v>
      </c>
      <c r="GD82" s="8">
        <f ca="1">_xll.RiskLogistic(0.010115,0.033236,_xll.RiskTruncate(-0.99,0.99))</f>
        <v>1.0114686573509113E-2</v>
      </c>
      <c r="GE82" s="8">
        <f ca="1">_xll.RiskLogistic(0.010115,0.033236,_xll.RiskTruncate(-0.99,0.99))</f>
        <v>1.0114686573509113E-2</v>
      </c>
      <c r="GF82" s="8">
        <f ca="1">_xll.RiskLogistic(0.010115,0.033236,_xll.RiskTruncate(-0.99,0.99))</f>
        <v>1.0114686573509113E-2</v>
      </c>
      <c r="GG82" s="8">
        <f ca="1">_xll.RiskLogistic(0.010115,0.033236,_xll.RiskTruncate(-0.99,0.99))</f>
        <v>1.0114686573509113E-2</v>
      </c>
      <c r="GH82" s="8">
        <f ca="1">_xll.RiskLogistic(0.010115,0.033236,_xll.RiskTruncate(-0.99,0.99))</f>
        <v>1.0114686573509113E-2</v>
      </c>
      <c r="GI82" s="8">
        <f ca="1">_xll.RiskLogistic(0.010115,0.033236,_xll.RiskTruncate(-0.99,0.99))</f>
        <v>1.0114686573509113E-2</v>
      </c>
      <c r="GJ82" s="8">
        <f ca="1">_xll.RiskLogistic(0.010115,0.033236,_xll.RiskTruncate(-0.99,0.99))</f>
        <v>1.0114686573509113E-2</v>
      </c>
      <c r="GK82" s="8">
        <f ca="1">_xll.RiskLogistic(0.010115,0.033236,_xll.RiskTruncate(-0.99,0.99))</f>
        <v>1.0114686573509113E-2</v>
      </c>
      <c r="GL82" s="8">
        <f ca="1">_xll.RiskLogistic(0.010115,0.033236,_xll.RiskTruncate(-0.99,0.99))</f>
        <v>1.0114686573509113E-2</v>
      </c>
      <c r="GM82" s="8">
        <f ca="1">_xll.RiskLogistic(0.010115,0.033236,_xll.RiskTruncate(-0.99,0.99))</f>
        <v>1.0114686573509113E-2</v>
      </c>
      <c r="GN82" s="8">
        <f ca="1">_xll.RiskLogistic(0.010115,0.033236,_xll.RiskTruncate(-0.99,0.99))</f>
        <v>1.0114686573509113E-2</v>
      </c>
      <c r="GO82" s="8">
        <f ca="1">_xll.RiskLogistic(0.010115,0.033236,_xll.RiskTruncate(-0.99,0.99))</f>
        <v>1.0114686573509113E-2</v>
      </c>
      <c r="GP82" s="8">
        <f ca="1">_xll.RiskLogistic(0.010115,0.033236,_xll.RiskTruncate(-0.99,0.99))</f>
        <v>1.0114686573509113E-2</v>
      </c>
      <c r="GQ82" s="8">
        <f ca="1">_xll.RiskLogistic(0.010115,0.033236,_xll.RiskTruncate(-0.99,0.99))</f>
        <v>1.0114686573509113E-2</v>
      </c>
      <c r="GR82" s="8">
        <f ca="1">_xll.RiskLogistic(0.010115,0.033236,_xll.RiskTruncate(-0.99,0.99))</f>
        <v>1.0114686573509113E-2</v>
      </c>
      <c r="GS82" s="8">
        <f ca="1">_xll.RiskLogistic(0.010115,0.033236,_xll.RiskTruncate(-0.99,0.99))</f>
        <v>1.0114686573509113E-2</v>
      </c>
      <c r="GT82" s="8">
        <f ca="1">_xll.RiskLogistic(0.010115,0.033236,_xll.RiskTruncate(-0.99,0.99))</f>
        <v>1.0114686573509113E-2</v>
      </c>
      <c r="GU82" s="8">
        <f ca="1">_xll.RiskLogistic(0.010115,0.033236,_xll.RiskTruncate(-0.99,0.99))</f>
        <v>1.0114686573509113E-2</v>
      </c>
      <c r="GV82" s="8">
        <f ca="1">_xll.RiskLogistic(0.010115,0.033236,_xll.RiskTruncate(-0.99,0.99))</f>
        <v>1.0114686573509113E-2</v>
      </c>
      <c r="GW82" s="8">
        <f ca="1">_xll.RiskLogistic(0.010115,0.033236,_xll.RiskTruncate(-0.99,0.99))</f>
        <v>1.0114686573509113E-2</v>
      </c>
      <c r="GX82" s="8">
        <f ca="1">_xll.RiskLogistic(0.010115,0.033236,_xll.RiskTruncate(-0.99,0.99))</f>
        <v>1.0114686573509113E-2</v>
      </c>
      <c r="GY82" s="8">
        <f ca="1">_xll.RiskLogistic(0.010115,0.033236,_xll.RiskTruncate(-0.99,0.99))</f>
        <v>1.0114686573509113E-2</v>
      </c>
      <c r="GZ82" s="8">
        <f ca="1">_xll.RiskLogistic(0.010115,0.033236,_xll.RiskTruncate(-0.99,0.99))</f>
        <v>1.0114686573509113E-2</v>
      </c>
      <c r="HA82" s="8">
        <f ca="1">_xll.RiskLogistic(0.010115,0.033236,_xll.RiskTruncate(-0.99,0.99))</f>
        <v>1.0114686573509113E-2</v>
      </c>
      <c r="HB82" s="8">
        <f ca="1">_xll.RiskLogistic(0.010115,0.033236,_xll.RiskTruncate(-0.99,0.99))</f>
        <v>1.0114686573509113E-2</v>
      </c>
      <c r="HC82" s="8">
        <f ca="1">_xll.RiskLogistic(0.010115,0.033236,_xll.RiskTruncate(-0.99,0.99))</f>
        <v>1.0114686573509113E-2</v>
      </c>
      <c r="HD82" s="8">
        <f ca="1">_xll.RiskLogistic(0.010115,0.033236,_xll.RiskTruncate(-0.99,0.99))</f>
        <v>1.0114686573509113E-2</v>
      </c>
      <c r="HE82" s="8">
        <f ca="1">_xll.RiskLogistic(0.010115,0.033236,_xll.RiskTruncate(-0.99,0.99))</f>
        <v>1.0114686573509113E-2</v>
      </c>
      <c r="HF82" s="8">
        <f ca="1">_xll.RiskLogistic(0.010115,0.033236,_xll.RiskTruncate(-0.99,0.99))</f>
        <v>1.0114686573509113E-2</v>
      </c>
      <c r="HG82" s="8">
        <f ca="1">_xll.RiskLogistic(0.010115,0.033236,_xll.RiskTruncate(-0.99,0.99))</f>
        <v>1.0114686573509113E-2</v>
      </c>
      <c r="HH82" s="8">
        <f ca="1">_xll.RiskLogistic(0.010115,0.033236,_xll.RiskTruncate(-0.99,0.99))</f>
        <v>1.0114686573509113E-2</v>
      </c>
      <c r="HI82" s="8">
        <f ca="1">_xll.RiskLogistic(0.010115,0.033236,_xll.RiskTruncate(-0.99,0.99))</f>
        <v>1.0114686573509113E-2</v>
      </c>
      <c r="HJ82" s="8">
        <f ca="1">_xll.RiskLogistic(0.010115,0.033236,_xll.RiskTruncate(-0.99,0.99))</f>
        <v>1.0114686573509113E-2</v>
      </c>
      <c r="HK82" s="8">
        <f ca="1">_xll.RiskLogistic(0.010115,0.033236,_xll.RiskTruncate(-0.99,0.99))</f>
        <v>1.0114686573509113E-2</v>
      </c>
      <c r="HL82" s="8">
        <f ca="1">_xll.RiskLogistic(0.010115,0.033236,_xll.RiskTruncate(-0.99,0.99))</f>
        <v>1.0114686573509113E-2</v>
      </c>
      <c r="HM82" s="8">
        <f ca="1">_xll.RiskLogistic(0.010115,0.033236,_xll.RiskTruncate(-0.99,0.99))</f>
        <v>1.0114686573509113E-2</v>
      </c>
      <c r="HN82" s="8">
        <f ca="1">_xll.RiskLogistic(0.010115,0.033236,_xll.RiskTruncate(-0.99,0.99))</f>
        <v>1.0114686573509113E-2</v>
      </c>
      <c r="HO82" s="8">
        <f ca="1">_xll.RiskLogistic(0.010115,0.033236,_xll.RiskTruncate(-0.99,0.99))</f>
        <v>1.0114686573509113E-2</v>
      </c>
      <c r="HP82" s="8">
        <f ca="1">_xll.RiskLogistic(0.010115,0.033236,_xll.RiskTruncate(-0.99,0.99))</f>
        <v>1.0114686573509113E-2</v>
      </c>
      <c r="HQ82" s="8">
        <f ca="1">_xll.RiskLogistic(0.010115,0.033236,_xll.RiskTruncate(-0.99,0.99))</f>
        <v>1.0114686573509113E-2</v>
      </c>
      <c r="HR82" s="8">
        <f ca="1">_xll.RiskLogistic(0.010115,0.033236,_xll.RiskTruncate(-0.99,0.99))</f>
        <v>1.0114686573509113E-2</v>
      </c>
      <c r="HS82" s="8">
        <f ca="1">_xll.RiskLogistic(0.010115,0.033236,_xll.RiskTruncate(-0.99,0.99))</f>
        <v>1.0114686573509113E-2</v>
      </c>
      <c r="HT82" s="8">
        <f ca="1">_xll.RiskLogistic(0.010115,0.033236,_xll.RiskTruncate(-0.99,0.99))</f>
        <v>1.0114686573509113E-2</v>
      </c>
      <c r="HU82" s="8">
        <f ca="1">_xll.RiskLogistic(0.010115,0.033236,_xll.RiskTruncate(-0.99,0.99))</f>
        <v>1.0114686573509113E-2</v>
      </c>
      <c r="HV82" s="8">
        <f ca="1">_xll.RiskLogistic(0.010115,0.033236,_xll.RiskTruncate(-0.99,0.99))</f>
        <v>1.0114686573509113E-2</v>
      </c>
      <c r="HW82" s="8">
        <f ca="1">_xll.RiskLogistic(0.010115,0.033236,_xll.RiskTruncate(-0.99,0.99))</f>
        <v>1.0114686573509113E-2</v>
      </c>
      <c r="HX82" s="8">
        <f ca="1">_xll.RiskLogistic(0.010115,0.033236,_xll.RiskTruncate(-0.99,0.99))</f>
        <v>1.0114686573509113E-2</v>
      </c>
      <c r="HY82" s="8">
        <f ca="1">_xll.RiskLogistic(0.010115,0.033236,_xll.RiskTruncate(-0.99,0.99))</f>
        <v>1.0114686573509113E-2</v>
      </c>
      <c r="HZ82" s="8">
        <f ca="1">_xll.RiskLogistic(0.010115,0.033236,_xll.RiskTruncate(-0.99,0.99))</f>
        <v>1.0114686573509113E-2</v>
      </c>
      <c r="IA82" s="8">
        <f ca="1">_xll.RiskLogistic(0.010115,0.033236,_xll.RiskTruncate(-0.99,0.99))</f>
        <v>1.0114686573509113E-2</v>
      </c>
      <c r="IB82" s="8">
        <f ca="1">_xll.RiskLogistic(0.010115,0.033236,_xll.RiskTruncate(-0.99,0.99))</f>
        <v>1.0114686573509113E-2</v>
      </c>
      <c r="IC82" s="8">
        <f ca="1">_xll.RiskLogistic(0.010115,0.033236,_xll.RiskTruncate(-0.99,0.99))</f>
        <v>1.0114686573509113E-2</v>
      </c>
      <c r="ID82" s="8">
        <f ca="1">_xll.RiskLogistic(0.010115,0.033236,_xll.RiskTruncate(-0.99,0.99))</f>
        <v>1.0114686573509113E-2</v>
      </c>
      <c r="IE82" s="8">
        <f ca="1">_xll.RiskLogistic(0.010115,0.033236,_xll.RiskTruncate(-0.99,0.99))</f>
        <v>1.0114686573509113E-2</v>
      </c>
      <c r="IF82" s="8">
        <f ca="1">_xll.RiskLogistic(0.010115,0.033236,_xll.RiskTruncate(-0.99,0.99))</f>
        <v>1.0114686573509113E-2</v>
      </c>
      <c r="IG82" s="8">
        <f ca="1">_xll.RiskLogistic(0.010115,0.033236,_xll.RiskTruncate(-0.99,0.99))</f>
        <v>1.0114686573509113E-2</v>
      </c>
      <c r="IH82" s="8">
        <f ca="1">_xll.RiskLogistic(0.010115,0.033236,_xll.RiskTruncate(-0.99,0.99))</f>
        <v>1.0114686573509113E-2</v>
      </c>
      <c r="II82" s="8">
        <f ca="1">_xll.RiskLogistic(0.010115,0.033236,_xll.RiskTruncate(-0.99,0.99))</f>
        <v>1.0114686573509113E-2</v>
      </c>
      <c r="IJ82" s="8">
        <f ca="1">_xll.RiskLogistic(0.010115,0.033236,_xll.RiskTruncate(-0.99,0.99))</f>
        <v>1.0114686573509113E-2</v>
      </c>
      <c r="IK82" s="8">
        <f ca="1">_xll.RiskLogistic(0.010115,0.033236,_xll.RiskTruncate(-0.99,0.99))</f>
        <v>1.0114686573509113E-2</v>
      </c>
      <c r="IL82" s="8">
        <f ca="1">_xll.RiskLogistic(0.010115,0.033236,_xll.RiskTruncate(-0.99,0.99))</f>
        <v>1.0114686573509113E-2</v>
      </c>
      <c r="IM82" s="8">
        <f ca="1">_xll.RiskLogistic(0.010115,0.033236,_xll.RiskTruncate(-0.99,0.99))</f>
        <v>1.0114686573509113E-2</v>
      </c>
      <c r="IN82" s="8">
        <f ca="1">_xll.RiskLogistic(0.010115,0.033236,_xll.RiskTruncate(-0.99,0.99))</f>
        <v>1.0114686573509113E-2</v>
      </c>
      <c r="IO82" s="8">
        <f ca="1">_xll.RiskLogistic(0.010115,0.033236,_xll.RiskTruncate(-0.99,0.99))</f>
        <v>1.0114686573509113E-2</v>
      </c>
      <c r="IP82" s="8">
        <f ca="1">_xll.RiskLogistic(0.010115,0.033236,_xll.RiskTruncate(-0.99,0.99))</f>
        <v>1.0114686573509113E-2</v>
      </c>
      <c r="IQ82" s="8">
        <f ca="1">_xll.RiskLogistic(0.010115,0.033236,_xll.RiskTruncate(-0.99,0.99))</f>
        <v>1.0114686573509113E-2</v>
      </c>
      <c r="IR82" s="8">
        <f ca="1">_xll.RiskLogistic(0.010115,0.033236,_xll.RiskTruncate(-0.99,0.99))</f>
        <v>1.0114686573509113E-2</v>
      </c>
      <c r="IS82" s="8">
        <f ca="1">_xll.RiskLogistic(0.010115,0.033236,_xll.RiskTruncate(-0.99,0.99))</f>
        <v>1.0114686573509113E-2</v>
      </c>
      <c r="IT82" s="8">
        <f ca="1">_xll.RiskLogistic(0.010115,0.033236,_xll.RiskTruncate(-0.99,0.99))</f>
        <v>1.0114686573509113E-2</v>
      </c>
      <c r="IU82" s="8">
        <f ca="1">_xll.RiskLogistic(0.010115,0.033236,_xll.RiskTruncate(-0.99,0.99))</f>
        <v>1.0114686573509113E-2</v>
      </c>
      <c r="IV82" s="8">
        <f ca="1">_xll.RiskLogistic(0.010115,0.033236,_xll.RiskTruncate(-0.99,0.99))</f>
        <v>1.0114686573509113E-2</v>
      </c>
      <c r="IW82" s="8">
        <f ca="1">_xll.RiskLogistic(0.010115,0.033236,_xll.RiskTruncate(-0.99,0.99))</f>
        <v>1.0114686573509113E-2</v>
      </c>
      <c r="IX82" s="8">
        <f ca="1">_xll.RiskLogistic(0.010115,0.033236,_xll.RiskTruncate(-0.99,0.99))</f>
        <v>1.0114686573509113E-2</v>
      </c>
      <c r="IY82" s="8">
        <f ca="1">_xll.RiskLogistic(0.010115,0.033236,_xll.RiskTruncate(-0.99,0.99))</f>
        <v>1.0114686573509113E-2</v>
      </c>
      <c r="IZ82" s="8">
        <f ca="1">_xll.RiskLogistic(0.010115,0.033236,_xll.RiskTruncate(-0.99,0.99))</f>
        <v>1.0114686573509113E-2</v>
      </c>
      <c r="JA82" s="8">
        <f ca="1">_xll.RiskLogistic(0.010115,0.033236,_xll.RiskTruncate(-0.99,0.99))</f>
        <v>1.0114686573509113E-2</v>
      </c>
      <c r="JB82" s="8">
        <f ca="1">_xll.RiskLogistic(0.010115,0.033236,_xll.RiskTruncate(-0.99,0.99))</f>
        <v>1.0114686573509113E-2</v>
      </c>
      <c r="JC82" s="8">
        <f ca="1">_xll.RiskLogistic(0.010115,0.033236,_xll.RiskTruncate(-0.99,0.99))</f>
        <v>1.0114686573509113E-2</v>
      </c>
      <c r="JD82" s="8">
        <f ca="1">_xll.RiskLogistic(0.010115,0.033236,_xll.RiskTruncate(-0.99,0.99))</f>
        <v>1.0114686573509113E-2</v>
      </c>
      <c r="JE82" s="8">
        <f ca="1">_xll.RiskLogistic(0.010115,0.033236,_xll.RiskTruncate(-0.99,0.99))</f>
        <v>1.0114686573509113E-2</v>
      </c>
      <c r="JF82" s="8">
        <f ca="1">_xll.RiskLogistic(0.010115,0.033236,_xll.RiskTruncate(-0.99,0.99))</f>
        <v>1.0114686573509113E-2</v>
      </c>
      <c r="JG82" s="8">
        <f ca="1">_xll.RiskLogistic(0.010115,0.033236,_xll.RiskTruncate(-0.99,0.99))</f>
        <v>1.0114686573509113E-2</v>
      </c>
      <c r="JH82" s="8">
        <f ca="1">_xll.RiskLogistic(0.010115,0.033236,_xll.RiskTruncate(-0.99,0.99))</f>
        <v>1.0114686573509113E-2</v>
      </c>
      <c r="JI82" s="8">
        <f ca="1">_xll.RiskLogistic(0.010115,0.033236,_xll.RiskTruncate(-0.99,0.99))</f>
        <v>1.0114686573509113E-2</v>
      </c>
      <c r="JJ82" s="8">
        <f ca="1">_xll.RiskLogistic(0.010115,0.033236,_xll.RiskTruncate(-0.99,0.99))</f>
        <v>1.0114686573509113E-2</v>
      </c>
      <c r="JK82" s="8">
        <f ca="1">_xll.RiskLogistic(0.010115,0.033236,_xll.RiskTruncate(-0.99,0.99))</f>
        <v>1.0114686573509113E-2</v>
      </c>
      <c r="JL82" s="8">
        <f ca="1">_xll.RiskLogistic(0.010115,0.033236,_xll.RiskTruncate(-0.99,0.99))</f>
        <v>1.0114686573509113E-2</v>
      </c>
      <c r="JM82" s="8">
        <f ca="1">_xll.RiskLogistic(0.010115,0.033236,_xll.RiskTruncate(-0.99,0.99))</f>
        <v>1.0114686573509113E-2</v>
      </c>
      <c r="JN82" s="8">
        <f ca="1">_xll.RiskLogistic(0.010115,0.033236,_xll.RiskTruncate(-0.99,0.99))</f>
        <v>1.0114686573509113E-2</v>
      </c>
      <c r="JO82" s="8">
        <f ca="1">_xll.RiskLogistic(0.010115,0.033236,_xll.RiskTruncate(-0.99,0.99))</f>
        <v>1.0114686573509113E-2</v>
      </c>
      <c r="JP82" s="8">
        <f ca="1">_xll.RiskLogistic(0.010115,0.033236,_xll.RiskTruncate(-0.99,0.99))</f>
        <v>1.0114686573509113E-2</v>
      </c>
      <c r="JQ82" s="8">
        <f ca="1">_xll.RiskLogistic(0.010115,0.033236,_xll.RiskTruncate(-0.99,0.99))</f>
        <v>1.0114686573509113E-2</v>
      </c>
      <c r="JR82" s="8">
        <f ca="1">_xll.RiskLogistic(0.010115,0.033236,_xll.RiskTruncate(-0.99,0.99))</f>
        <v>1.0114686573509113E-2</v>
      </c>
      <c r="JS82" s="8">
        <f ca="1">_xll.RiskLogistic(0.010115,0.033236,_xll.RiskTruncate(-0.99,0.99))</f>
        <v>1.0114686573509113E-2</v>
      </c>
      <c r="JT82" s="8">
        <f ca="1">_xll.RiskLogistic(0.010115,0.033236,_xll.RiskTruncate(-0.99,0.99))</f>
        <v>1.0114686573509113E-2</v>
      </c>
      <c r="JU82" s="8">
        <f ca="1">_xll.RiskLogistic(0.010115,0.033236,_xll.RiskTruncate(-0.99,0.99))</f>
        <v>1.0114686573509113E-2</v>
      </c>
      <c r="JV82" s="8">
        <f ca="1">_xll.RiskLogistic(0.010115,0.033236,_xll.RiskTruncate(-0.99,0.99))</f>
        <v>1.0114686573509113E-2</v>
      </c>
      <c r="JW82" s="8">
        <f ca="1">_xll.RiskLogistic(0.010115,0.033236,_xll.RiskTruncate(-0.99,0.99))</f>
        <v>1.0114686573509113E-2</v>
      </c>
      <c r="JX82" s="8">
        <f ca="1">_xll.RiskLogistic(0.010115,0.033236,_xll.RiskTruncate(-0.99,0.99))</f>
        <v>1.0114686573509113E-2</v>
      </c>
      <c r="JY82" s="8">
        <f ca="1">_xll.RiskLogistic(0.010115,0.033236,_xll.RiskTruncate(-0.99,0.99))</f>
        <v>1.0114686573509113E-2</v>
      </c>
      <c r="JZ82" s="8">
        <f ca="1">_xll.RiskLogistic(0.010115,0.033236,_xll.RiskTruncate(-0.99,0.99))</f>
        <v>1.0114686573509113E-2</v>
      </c>
      <c r="KA82" s="8">
        <f ca="1">_xll.RiskLogistic(0.010115,0.033236,_xll.RiskTruncate(-0.99,0.99))</f>
        <v>1.0114686573509113E-2</v>
      </c>
      <c r="KB82" s="8">
        <f ca="1">_xll.RiskLogistic(0.010115,0.033236,_xll.RiskTruncate(-0.99,0.99))</f>
        <v>1.0114686573509113E-2</v>
      </c>
      <c r="KC82" s="8">
        <f ca="1">_xll.RiskLogistic(0.010115,0.033236,_xll.RiskTruncate(-0.99,0.99))</f>
        <v>1.0114686573509113E-2</v>
      </c>
      <c r="KD82" s="8">
        <f ca="1">_xll.RiskLogistic(0.010115,0.033236,_xll.RiskTruncate(-0.99,0.99))</f>
        <v>1.0114686573509113E-2</v>
      </c>
      <c r="KE82" s="8">
        <f ca="1">_xll.RiskLogistic(0.010115,0.033236,_xll.RiskTruncate(-0.99,0.99))</f>
        <v>1.0114686573509113E-2</v>
      </c>
      <c r="KF82" s="8">
        <f ca="1">_xll.RiskLogistic(0.010115,0.033236,_xll.RiskTruncate(-0.99,0.99))</f>
        <v>1.0114686573509113E-2</v>
      </c>
      <c r="KG82" s="8">
        <f ca="1">_xll.RiskLogistic(0.010115,0.033236,_xll.RiskTruncate(-0.99,0.99))</f>
        <v>1.0114686573509113E-2</v>
      </c>
      <c r="KH82" s="8">
        <f ca="1">_xll.RiskLogistic(0.010115,0.033236,_xll.RiskTruncate(-0.99,0.99))</f>
        <v>1.0114686573509113E-2</v>
      </c>
      <c r="KI82" s="8">
        <f ca="1">_xll.RiskLogistic(0.010115,0.033236,_xll.RiskTruncate(-0.99,0.99))</f>
        <v>1.0114686573509113E-2</v>
      </c>
      <c r="KJ82" s="8">
        <f ca="1">_xll.RiskLogistic(0.010115,0.033236,_xll.RiskTruncate(-0.99,0.99))</f>
        <v>1.0114686573509113E-2</v>
      </c>
      <c r="KK82" s="8">
        <f ca="1">_xll.RiskLogistic(0.010115,0.033236,_xll.RiskTruncate(-0.99,0.99))</f>
        <v>1.0114686573509113E-2</v>
      </c>
      <c r="KL82" s="8">
        <f ca="1">_xll.RiskLogistic(0.010115,0.033236,_xll.RiskTruncate(-0.99,0.99))</f>
        <v>1.0114686573509113E-2</v>
      </c>
      <c r="KM82" s="8">
        <f ca="1">_xll.RiskLogistic(0.010115,0.033236,_xll.RiskTruncate(-0.99,0.99))</f>
        <v>1.0114686573509113E-2</v>
      </c>
      <c r="KN82" s="8">
        <f ca="1">_xll.RiskLogistic(0.010115,0.033236,_xll.RiskTruncate(-0.99,0.99))</f>
        <v>1.0114686573509113E-2</v>
      </c>
      <c r="KO82" s="8">
        <f ca="1">_xll.RiskLogistic(0.010115,0.033236,_xll.RiskTruncate(-0.99,0.99))</f>
        <v>1.0114686573509113E-2</v>
      </c>
      <c r="KP82" s="8">
        <f ca="1">_xll.RiskLogistic(0.010115,0.033236,_xll.RiskTruncate(-0.99,0.99))</f>
        <v>1.0114686573509113E-2</v>
      </c>
      <c r="KQ82" s="8">
        <f ca="1">_xll.RiskLogistic(0.010115,0.033236,_xll.RiskTruncate(-0.99,0.99))</f>
        <v>1.0114686573509113E-2</v>
      </c>
      <c r="KR82" s="8">
        <f ca="1">_xll.RiskLogistic(0.010115,0.033236,_xll.RiskTruncate(-0.99,0.99))</f>
        <v>1.0114686573509113E-2</v>
      </c>
      <c r="KS82" s="8">
        <f ca="1">_xll.RiskLogistic(0.010115,0.033236,_xll.RiskTruncate(-0.99,0.99))</f>
        <v>1.0114686573509113E-2</v>
      </c>
      <c r="KT82" s="8">
        <f ca="1">_xll.RiskLogistic(0.010115,0.033236,_xll.RiskTruncate(-0.99,0.99))</f>
        <v>1.0114686573509113E-2</v>
      </c>
      <c r="KU82" s="8">
        <f ca="1">_xll.RiskLogistic(0.010115,0.033236,_xll.RiskTruncate(-0.99,0.99))</f>
        <v>1.0114686573509113E-2</v>
      </c>
      <c r="KV82" s="8">
        <f ca="1">_xll.RiskLogistic(0.010115,0.033236,_xll.RiskTruncate(-0.99,0.99))</f>
        <v>1.0114686573509113E-2</v>
      </c>
      <c r="KW82" s="8">
        <f ca="1">_xll.RiskLogistic(0.010115,0.033236,_xll.RiskTruncate(-0.99,0.99))</f>
        <v>1.0114686573509113E-2</v>
      </c>
      <c r="KX82" s="8">
        <f ca="1">_xll.RiskLogistic(0.010115,0.033236,_xll.RiskTruncate(-0.99,0.99))</f>
        <v>1.0114686573509113E-2</v>
      </c>
      <c r="KY82" s="8">
        <f ca="1">_xll.RiskLogistic(0.010115,0.033236,_xll.RiskTruncate(-0.99,0.99))</f>
        <v>1.0114686573509113E-2</v>
      </c>
      <c r="KZ82" s="8">
        <f ca="1">_xll.RiskLogistic(0.010115,0.033236,_xll.RiskTruncate(-0.99,0.99))</f>
        <v>1.0114686573509113E-2</v>
      </c>
      <c r="LA82" s="8">
        <f ca="1">_xll.RiskLogistic(0.010115,0.033236,_xll.RiskTruncate(-0.99,0.99))</f>
        <v>1.0114686573509113E-2</v>
      </c>
      <c r="LB82" s="8">
        <f ca="1">_xll.RiskLogistic(0.010115,0.033236,_xll.RiskTruncate(-0.99,0.99))</f>
        <v>1.0114686573509113E-2</v>
      </c>
      <c r="LC82" s="8">
        <f ca="1">_xll.RiskLogistic(0.010115,0.033236,_xll.RiskTruncate(-0.99,0.99))</f>
        <v>1.0114686573509113E-2</v>
      </c>
      <c r="LD82" s="8">
        <f ca="1">_xll.RiskLogistic(0.010115,0.033236,_xll.RiskTruncate(-0.99,0.99))</f>
        <v>1.0114686573509113E-2</v>
      </c>
      <c r="LE82" s="8">
        <f ca="1">_xll.RiskLogistic(0.010115,0.033236,_xll.RiskTruncate(-0.99,0.99))</f>
        <v>1.0114686573509113E-2</v>
      </c>
      <c r="LF82" s="8">
        <f ca="1">_xll.RiskLogistic(0.010115,0.033236,_xll.RiskTruncate(-0.99,0.99))</f>
        <v>1.0114686573509113E-2</v>
      </c>
      <c r="LG82" s="8">
        <f ca="1">_xll.RiskLogistic(0.010115,0.033236,_xll.RiskTruncate(-0.99,0.99))</f>
        <v>1.0114686573509113E-2</v>
      </c>
      <c r="LH82" s="8">
        <f ca="1">_xll.RiskLogistic(0.010115,0.033236,_xll.RiskTruncate(-0.99,0.99))</f>
        <v>1.0114686573509113E-2</v>
      </c>
      <c r="LI82" s="8">
        <f ca="1">_xll.RiskLogistic(0.010115,0.033236,_xll.RiskTruncate(-0.99,0.99))</f>
        <v>1.0114686573509113E-2</v>
      </c>
      <c r="LJ82" s="8">
        <f ca="1">_xll.RiskLogistic(0.010115,0.033236,_xll.RiskTruncate(-0.99,0.99))</f>
        <v>1.0114686573509113E-2</v>
      </c>
      <c r="LK82" s="8">
        <f ca="1">_xll.RiskLogistic(0.010115,0.033236,_xll.RiskTruncate(-0.99,0.99))</f>
        <v>1.0114686573509113E-2</v>
      </c>
      <c r="LL82" s="8">
        <f ca="1">_xll.RiskLogistic(0.010115,0.033236,_xll.RiskTruncate(-0.99,0.99))</f>
        <v>1.0114686573509113E-2</v>
      </c>
      <c r="LM82" s="8">
        <f ca="1">_xll.RiskLogistic(0.010115,0.033236,_xll.RiskTruncate(-0.99,0.99))</f>
        <v>1.0114686573509113E-2</v>
      </c>
      <c r="LN82" s="8">
        <f ca="1">_xll.RiskLogistic(0.010115,0.033236,_xll.RiskTruncate(-0.99,0.99))</f>
        <v>1.0114686573509113E-2</v>
      </c>
      <c r="LO82" s="8">
        <f ca="1">_xll.RiskLogistic(0.010115,0.033236,_xll.RiskTruncate(-0.99,0.99))</f>
        <v>1.0114686573509113E-2</v>
      </c>
      <c r="LP82" s="8">
        <f ca="1">_xll.RiskLogistic(0.010115,0.033236,_xll.RiskTruncate(-0.99,0.99))</f>
        <v>1.0114686573509113E-2</v>
      </c>
      <c r="LQ82" s="8">
        <f ca="1">_xll.RiskLogistic(0.010115,0.033236,_xll.RiskTruncate(-0.99,0.99))</f>
        <v>1.0114686573509113E-2</v>
      </c>
      <c r="LR82" s="8">
        <f ca="1">_xll.RiskLogistic(0.010115,0.033236,_xll.RiskTruncate(-0.99,0.99))</f>
        <v>1.0114686573509113E-2</v>
      </c>
      <c r="LS82" s="8">
        <f ca="1">_xll.RiskLogistic(0.010115,0.033236,_xll.RiskTruncate(-0.99,0.99))</f>
        <v>1.0114686573509113E-2</v>
      </c>
      <c r="LT82" s="8">
        <f ca="1">_xll.RiskLogistic(0.010115,0.033236,_xll.RiskTruncate(-0.99,0.99))</f>
        <v>1.0114686573509113E-2</v>
      </c>
      <c r="LU82" s="8">
        <f ca="1">_xll.RiskLogistic(0.010115,0.033236,_xll.RiskTruncate(-0.99,0.99))</f>
        <v>1.0114686573509113E-2</v>
      </c>
      <c r="LV82" s="8">
        <f ca="1">_xll.RiskLogistic(0.010115,0.033236,_xll.RiskTruncate(-0.99,0.99))</f>
        <v>1.0114686573509113E-2</v>
      </c>
      <c r="LW82" s="8">
        <f ca="1">_xll.RiskLogistic(0.010115,0.033236,_xll.RiskTruncate(-0.99,0.99))</f>
        <v>1.0114686573509113E-2</v>
      </c>
      <c r="LX82" s="8">
        <f ca="1">_xll.RiskLogistic(0.010115,0.033236,_xll.RiskTruncate(-0.99,0.99))</f>
        <v>1.0114686573509113E-2</v>
      </c>
      <c r="LY82" s="8">
        <f ca="1">_xll.RiskLogistic(0.010115,0.033236,_xll.RiskTruncate(-0.99,0.99))</f>
        <v>1.0114686573509113E-2</v>
      </c>
      <c r="LZ82" s="8">
        <f ca="1">_xll.RiskLogistic(0.010115,0.033236,_xll.RiskTruncate(-0.99,0.99))</f>
        <v>1.0114686573509113E-2</v>
      </c>
      <c r="MA82" s="8">
        <f ca="1">_xll.RiskLogistic(0.010115,0.033236,_xll.RiskTruncate(-0.99,0.99))</f>
        <v>1.0114686573509113E-2</v>
      </c>
      <c r="MB82" s="8">
        <f ca="1">_xll.RiskLogistic(0.010115,0.033236,_xll.RiskTruncate(-0.99,0.99))</f>
        <v>1.0114686573509113E-2</v>
      </c>
      <c r="MC82" s="8">
        <f ca="1">_xll.RiskLogistic(0.010115,0.033236,_xll.RiskTruncate(-0.99,0.99))</f>
        <v>1.0114686573509113E-2</v>
      </c>
      <c r="MD82" s="8">
        <f ca="1">_xll.RiskLogistic(0.010115,0.033236,_xll.RiskTruncate(-0.99,0.99))</f>
        <v>1.0114686573509113E-2</v>
      </c>
      <c r="ME82" s="8">
        <f ca="1">_xll.RiskLogistic(0.010115,0.033236,_xll.RiskTruncate(-0.99,0.99))</f>
        <v>1.0114686573509113E-2</v>
      </c>
      <c r="MF82" s="8">
        <f ca="1">_xll.RiskLogistic(0.010115,0.033236,_xll.RiskTruncate(-0.99,0.99))</f>
        <v>1.0114686573509113E-2</v>
      </c>
      <c r="MG82" s="8">
        <f ca="1">_xll.RiskLogistic(0.010115,0.033236,_xll.RiskTruncate(-0.99,0.99))</f>
        <v>1.0114686573509113E-2</v>
      </c>
      <c r="MH82" s="8">
        <f ca="1">_xll.RiskLogistic(0.010115,0.033236,_xll.RiskTruncate(-0.99,0.99))</f>
        <v>1.0114686573509113E-2</v>
      </c>
      <c r="MI82" s="8">
        <f ca="1">_xll.RiskLogistic(0.010115,0.033236,_xll.RiskTruncate(-0.99,0.99))</f>
        <v>1.0114686573509113E-2</v>
      </c>
      <c r="MJ82" s="8">
        <f ca="1">_xll.RiskLogistic(0.010115,0.033236,_xll.RiskTruncate(-0.99,0.99))</f>
        <v>1.0114686573509113E-2</v>
      </c>
      <c r="MK82" s="8">
        <f ca="1">_xll.RiskLogistic(0.010115,0.033236,_xll.RiskTruncate(-0.99,0.99))</f>
        <v>1.0114686573509113E-2</v>
      </c>
      <c r="ML82" s="8">
        <f ca="1">_xll.RiskLogistic(0.010115,0.033236,_xll.RiskTruncate(-0.99,0.99))</f>
        <v>1.0114686573509113E-2</v>
      </c>
      <c r="MM82" s="8">
        <f ca="1">_xll.RiskLogistic(0.010115,0.033236,_xll.RiskTruncate(-0.99,0.99))</f>
        <v>1.0114686573509113E-2</v>
      </c>
      <c r="MN82" s="8">
        <f ca="1">_xll.RiskLogistic(0.010115,0.033236,_xll.RiskTruncate(-0.99,0.99))</f>
        <v>1.0114686573509113E-2</v>
      </c>
      <c r="MO82" s="8">
        <f ca="1">_xll.RiskLogistic(0.010115,0.033236,_xll.RiskTruncate(-0.99,0.99))</f>
        <v>1.0114686573509113E-2</v>
      </c>
      <c r="MP82" s="8">
        <f ca="1">_xll.RiskLogistic(0.010115,0.033236,_xll.RiskTruncate(-0.99,0.99))</f>
        <v>1.0114686573509113E-2</v>
      </c>
      <c r="MQ82" s="8">
        <f ca="1">_xll.RiskLogistic(0.010115,0.033236,_xll.RiskTruncate(-0.99,0.99))</f>
        <v>1.0114686573509113E-2</v>
      </c>
      <c r="MR82" s="8">
        <f ca="1">_xll.RiskLogistic(0.010115,0.033236,_xll.RiskTruncate(-0.99,0.99))</f>
        <v>1.0114686573509113E-2</v>
      </c>
      <c r="MS82" s="8">
        <f ca="1">_xll.RiskLogistic(0.010115,0.033236,_xll.RiskTruncate(-0.99,0.99))</f>
        <v>1.0114686573509113E-2</v>
      </c>
      <c r="MT82" s="8">
        <f ca="1">_xll.RiskLogistic(0.010115,0.033236,_xll.RiskTruncate(-0.99,0.99))</f>
        <v>1.0114686573509113E-2</v>
      </c>
      <c r="MU82" s="8">
        <f ca="1">_xll.RiskLogistic(0.010115,0.033236,_xll.RiskTruncate(-0.99,0.99))</f>
        <v>1.0114686573509113E-2</v>
      </c>
      <c r="MV82" s="8">
        <f ca="1">_xll.RiskLogistic(0.010115,0.033236,_xll.RiskTruncate(-0.99,0.99))</f>
        <v>1.0114686573509113E-2</v>
      </c>
      <c r="MW82" s="8">
        <f ca="1">_xll.RiskLogistic(0.010115,0.033236,_xll.RiskTruncate(-0.99,0.99))</f>
        <v>1.0114686573509113E-2</v>
      </c>
      <c r="MX82" s="8">
        <f ca="1">_xll.RiskLogistic(0.010115,0.033236,_xll.RiskTruncate(-0.99,0.99))</f>
        <v>1.0114686573509113E-2</v>
      </c>
      <c r="MY82" s="8">
        <f ca="1">_xll.RiskLogistic(0.010115,0.033236,_xll.RiskTruncate(-0.99,0.99))</f>
        <v>1.0114686573509113E-2</v>
      </c>
      <c r="MZ82" s="8">
        <f ca="1">_xll.RiskLogistic(0.010115,0.033236,_xll.RiskTruncate(-0.99,0.99))</f>
        <v>1.0114686573509113E-2</v>
      </c>
      <c r="NA82" s="8">
        <f ca="1">_xll.RiskLogistic(0.010115,0.033236,_xll.RiskTruncate(-0.99,0.99))</f>
        <v>1.0114686573509113E-2</v>
      </c>
      <c r="NB82" s="8">
        <f ca="1">_xll.RiskLogistic(0.010115,0.033236,_xll.RiskTruncate(-0.99,0.99))</f>
        <v>1.0114686573509113E-2</v>
      </c>
      <c r="NC82" s="8">
        <f ca="1">_xll.RiskLogistic(0.010115,0.033236,_xll.RiskTruncate(-0.99,0.99))</f>
        <v>1.0114686573509113E-2</v>
      </c>
      <c r="ND82" s="8">
        <f ca="1">_xll.RiskLogistic(0.010115,0.033236,_xll.RiskTruncate(-0.99,0.99))</f>
        <v>1.0114686573509113E-2</v>
      </c>
      <c r="NE82" s="8">
        <f ca="1">_xll.RiskLogistic(0.010115,0.033236,_xll.RiskTruncate(-0.99,0.99))</f>
        <v>1.0114686573509113E-2</v>
      </c>
      <c r="NF82" s="8">
        <f ca="1">_xll.RiskLogistic(0.010115,0.033236,_xll.RiskTruncate(-0.99,0.99))</f>
        <v>1.0114686573509113E-2</v>
      </c>
      <c r="NG82" s="8">
        <f ca="1">_xll.RiskLogistic(0.010115,0.033236,_xll.RiskTruncate(-0.99,0.99))</f>
        <v>1.0114686573509113E-2</v>
      </c>
      <c r="NH82" s="8">
        <f ca="1">_xll.RiskLogistic(0.010115,0.033236,_xll.RiskTruncate(-0.99,0.99))</f>
        <v>1.0114686573509113E-2</v>
      </c>
      <c r="NI82" s="8">
        <f ca="1">_xll.RiskLogistic(0.010115,0.033236,_xll.RiskTruncate(-0.99,0.99))</f>
        <v>1.0114686573509113E-2</v>
      </c>
      <c r="NJ82" s="8">
        <f ca="1">_xll.RiskLogistic(0.010115,0.033236,_xll.RiskTruncate(-0.99,0.99))</f>
        <v>1.0114686573509113E-2</v>
      </c>
      <c r="NK82" s="8">
        <f ca="1">_xll.RiskLogistic(0.010115,0.033236,_xll.RiskTruncate(-0.99,0.99))</f>
        <v>1.0114686573509113E-2</v>
      </c>
      <c r="NL82" s="8">
        <f ca="1">_xll.RiskLogistic(0.010115,0.033236,_xll.RiskTruncate(-0.99,0.99))</f>
        <v>1.0114686573509113E-2</v>
      </c>
      <c r="NM82" s="8">
        <f ca="1">_xll.RiskLogistic(0.010115,0.033236,_xll.RiskTruncate(-0.99,0.99))</f>
        <v>1.0114686573509113E-2</v>
      </c>
      <c r="NN82" s="8">
        <f ca="1">_xll.RiskLogistic(0.010115,0.033236,_xll.RiskTruncate(-0.99,0.99))</f>
        <v>1.0114686573509113E-2</v>
      </c>
      <c r="NO82" s="8">
        <f ca="1">_xll.RiskLogistic(0.010115,0.033236,_xll.RiskTruncate(-0.99,0.99))</f>
        <v>1.0114686573509113E-2</v>
      </c>
      <c r="NP82" s="8">
        <f ca="1">_xll.RiskLogistic(0.010115,0.033236,_xll.RiskTruncate(-0.99,0.99))</f>
        <v>1.0114686573509113E-2</v>
      </c>
      <c r="NQ82" s="8">
        <f ca="1">_xll.RiskLogistic(0.010115,0.033236,_xll.RiskTruncate(-0.99,0.99))</f>
        <v>1.0114686573509113E-2</v>
      </c>
      <c r="NR82" s="8">
        <f ca="1">_xll.RiskLogistic(0.010115,0.033236,_xll.RiskTruncate(-0.99,0.99))</f>
        <v>1.0114686573509113E-2</v>
      </c>
      <c r="NS82" s="8">
        <f ca="1">_xll.RiskLogistic(0.010115,0.033236,_xll.RiskTruncate(-0.99,0.99))</f>
        <v>1.0114686573509113E-2</v>
      </c>
      <c r="NT82" s="8">
        <f ca="1">_xll.RiskLogistic(0.010115,0.033236,_xll.RiskTruncate(-0.99,0.99))</f>
        <v>1.0114686573509113E-2</v>
      </c>
      <c r="NU82" s="8">
        <f ca="1">_xll.RiskLogistic(0.010115,0.033236,_xll.RiskTruncate(-0.99,0.99))</f>
        <v>1.0114686573509113E-2</v>
      </c>
      <c r="NV82" s="8">
        <f ca="1">_xll.RiskLogistic(0.010115,0.033236,_xll.RiskTruncate(-0.99,0.99))</f>
        <v>1.0114686573509113E-2</v>
      </c>
      <c r="NW82" s="8">
        <f ca="1">_xll.RiskLogistic(0.010115,0.033236,_xll.RiskTruncate(-0.99,0.99))</f>
        <v>1.0114686573509113E-2</v>
      </c>
      <c r="NX82" s="8">
        <f ca="1">_xll.RiskLogistic(0.010115,0.033236,_xll.RiskTruncate(-0.99,0.99))</f>
        <v>1.0114686573509113E-2</v>
      </c>
      <c r="NY82" s="8">
        <f ca="1">_xll.RiskLogistic(0.010115,0.033236,_xll.RiskTruncate(-0.99,0.99))</f>
        <v>1.0114686573509113E-2</v>
      </c>
      <c r="NZ82" s="8">
        <f ca="1">_xll.RiskLogistic(0.010115,0.033236,_xll.RiskTruncate(-0.99,0.99))</f>
        <v>1.0114686573509113E-2</v>
      </c>
      <c r="OA82" s="8">
        <f ca="1">_xll.RiskLogistic(0.010115,0.033236,_xll.RiskTruncate(-0.99,0.99))</f>
        <v>1.0114686573509113E-2</v>
      </c>
      <c r="OB82" s="8">
        <f ca="1">_xll.RiskLogistic(0.010115,0.033236,_xll.RiskTruncate(-0.99,0.99))</f>
        <v>1.0114686573509113E-2</v>
      </c>
      <c r="OC82" s="8">
        <f ca="1">_xll.RiskLogistic(0.010115,0.033236,_xll.RiskTruncate(-0.99,0.99))</f>
        <v>1.0114686573509113E-2</v>
      </c>
      <c r="OD82" s="8">
        <f ca="1">_xll.RiskLogistic(0.010115,0.033236,_xll.RiskTruncate(-0.99,0.99))</f>
        <v>1.0114686573509113E-2</v>
      </c>
      <c r="OE82" s="8">
        <f ca="1">_xll.RiskLogistic(0.010115,0.033236,_xll.RiskTruncate(-0.99,0.99))</f>
        <v>1.0114686573509113E-2</v>
      </c>
      <c r="OF82" s="8">
        <f ca="1">_xll.RiskLogistic(0.010115,0.033236,_xll.RiskTruncate(-0.99,0.99))</f>
        <v>1.0114686573509113E-2</v>
      </c>
      <c r="OG82" s="8">
        <f ca="1">_xll.RiskLogistic(0.010115,0.033236,_xll.RiskTruncate(-0.99,0.99))</f>
        <v>1.0114686573509113E-2</v>
      </c>
      <c r="OH82" s="8">
        <f ca="1">_xll.RiskLogistic(0.010115,0.033236,_xll.RiskTruncate(-0.99,0.99))</f>
        <v>1.0114686573509113E-2</v>
      </c>
      <c r="OI82" s="8">
        <f ca="1">_xll.RiskLogistic(0.010115,0.033236,_xll.RiskTruncate(-0.99,0.99))</f>
        <v>1.0114686573509113E-2</v>
      </c>
      <c r="OJ82" s="8">
        <f ca="1">_xll.RiskLogistic(0.010115,0.033236,_xll.RiskTruncate(-0.99,0.99))</f>
        <v>1.0114686573509113E-2</v>
      </c>
      <c r="OK82" s="8">
        <f ca="1">_xll.RiskLogistic(0.010115,0.033236,_xll.RiskTruncate(-0.99,0.99))</f>
        <v>1.0114686573509113E-2</v>
      </c>
      <c r="OL82" s="8">
        <f ca="1">_xll.RiskLogistic(0.010115,0.033236,_xll.RiskTruncate(-0.99,0.99))</f>
        <v>1.0114686573509113E-2</v>
      </c>
      <c r="OM82" s="8">
        <f ca="1">_xll.RiskLogistic(0.010115,0.033236,_xll.RiskTruncate(-0.99,0.99))</f>
        <v>1.0114686573509113E-2</v>
      </c>
      <c r="ON82" s="8">
        <f ca="1">_xll.RiskLogistic(0.010115,0.033236,_xll.RiskTruncate(-0.99,0.99))</f>
        <v>1.0114686573509113E-2</v>
      </c>
      <c r="OO82" s="8">
        <f ca="1">_xll.RiskLogistic(0.010115,0.033236,_xll.RiskTruncate(-0.99,0.99))</f>
        <v>1.0114686573509113E-2</v>
      </c>
      <c r="OP82" s="8">
        <f ca="1">_xll.RiskLogistic(0.010115,0.033236,_xll.RiskTruncate(-0.99,0.99))</f>
        <v>1.0114686573509113E-2</v>
      </c>
      <c r="OQ82" s="8">
        <f ca="1">_xll.RiskLogistic(0.010115,0.033236,_xll.RiskTruncate(-0.99,0.99))</f>
        <v>1.0114686573509113E-2</v>
      </c>
      <c r="OR82" s="8">
        <f ca="1">_xll.RiskLogistic(0.010115,0.033236,_xll.RiskTruncate(-0.99,0.99))</f>
        <v>1.0114686573509113E-2</v>
      </c>
      <c r="OS82" s="8">
        <f ca="1">_xll.RiskLogistic(0.010115,0.033236,_xll.RiskTruncate(-0.99,0.99))</f>
        <v>1.0114686573509113E-2</v>
      </c>
      <c r="OT82" s="8">
        <f ca="1">_xll.RiskLogistic(0.010115,0.033236,_xll.RiskTruncate(-0.99,0.99))</f>
        <v>1.0114686573509113E-2</v>
      </c>
      <c r="OU82" s="8">
        <f ca="1">_xll.RiskLogistic(0.010115,0.033236,_xll.RiskTruncate(-0.99,0.99))</f>
        <v>1.0114686573509113E-2</v>
      </c>
      <c r="OV82" s="8">
        <f ca="1">_xll.RiskLogistic(0.010115,0.033236,_xll.RiskTruncate(-0.99,0.99))</f>
        <v>1.0114686573509113E-2</v>
      </c>
      <c r="OW82" s="8">
        <f ca="1">_xll.RiskLogistic(0.010115,0.033236,_xll.RiskTruncate(-0.99,0.99))</f>
        <v>1.0114686573509113E-2</v>
      </c>
      <c r="OX82" s="8">
        <f ca="1">_xll.RiskLogistic(0.010115,0.033236,_xll.RiskTruncate(-0.99,0.99))</f>
        <v>1.0114686573509113E-2</v>
      </c>
      <c r="OY82" s="8">
        <f ca="1">_xll.RiskLogistic(0.010115,0.033236,_xll.RiskTruncate(-0.99,0.99))</f>
        <v>1.0114686573509113E-2</v>
      </c>
      <c r="OZ82" s="8">
        <f ca="1">_xll.RiskLogistic(0.010115,0.033236,_xll.RiskTruncate(-0.99,0.99))</f>
        <v>1.0114686573509113E-2</v>
      </c>
      <c r="PA82" s="8">
        <f ca="1">_xll.RiskLogistic(0.010115,0.033236,_xll.RiskTruncate(-0.99,0.99))</f>
        <v>1.0114686573509113E-2</v>
      </c>
      <c r="PB82" s="8">
        <f ca="1">_xll.RiskLogistic(0.010115,0.033236,_xll.RiskTruncate(-0.99,0.99))</f>
        <v>1.0114686573509113E-2</v>
      </c>
      <c r="PC82" s="8">
        <f ca="1">_xll.RiskLogistic(0.010115,0.033236,_xll.RiskTruncate(-0.99,0.99))</f>
        <v>1.0114686573509113E-2</v>
      </c>
      <c r="PD82" s="8">
        <f ca="1">_xll.RiskLogistic(0.010115,0.033236,_xll.RiskTruncate(-0.99,0.99))</f>
        <v>1.0114686573509113E-2</v>
      </c>
      <c r="PE82" s="8">
        <f ca="1">_xll.RiskLogistic(0.010115,0.033236,_xll.RiskTruncate(-0.99,0.99))</f>
        <v>1.0114686573509113E-2</v>
      </c>
      <c r="PF82" s="8">
        <f ca="1">_xll.RiskLogistic(0.010115,0.033236,_xll.RiskTruncate(-0.99,0.99))</f>
        <v>1.0114686573509113E-2</v>
      </c>
      <c r="PG82" s="8">
        <f ca="1">_xll.RiskLogistic(0.010115,0.033236,_xll.RiskTruncate(-0.99,0.99))</f>
        <v>1.0114686573509113E-2</v>
      </c>
      <c r="PH82" s="8">
        <f ca="1">_xll.RiskLogistic(0.010115,0.033236,_xll.RiskTruncate(-0.99,0.99))</f>
        <v>1.0114686573509113E-2</v>
      </c>
      <c r="PI82" s="8">
        <f ca="1">_xll.RiskLogistic(0.010115,0.033236,_xll.RiskTruncate(-0.99,0.99))</f>
        <v>1.0114686573509113E-2</v>
      </c>
      <c r="PJ82" s="8">
        <f ca="1">_xll.RiskLogistic(0.010115,0.033236,_xll.RiskTruncate(-0.99,0.99))</f>
        <v>1.0114686573509113E-2</v>
      </c>
      <c r="PK82" s="8">
        <f ca="1">_xll.RiskLogistic(0.010115,0.033236,_xll.RiskTruncate(-0.99,0.99))</f>
        <v>1.0114686573509113E-2</v>
      </c>
      <c r="PL82" s="8">
        <f ca="1">_xll.RiskLogistic(0.010115,0.033236,_xll.RiskTruncate(-0.99,0.99))</f>
        <v>1.0114686573509113E-2</v>
      </c>
      <c r="PM82" s="8">
        <f ca="1">_xll.RiskLogistic(0.010115,0.033236,_xll.RiskTruncate(-0.99,0.99))</f>
        <v>1.0114686573509113E-2</v>
      </c>
      <c r="PN82" s="8">
        <f ca="1">_xll.RiskLogistic(0.010115,0.033236,_xll.RiskTruncate(-0.99,0.99))</f>
        <v>1.0114686573509113E-2</v>
      </c>
      <c r="PO82" s="8">
        <f ca="1">_xll.RiskLogistic(0.010115,0.033236,_xll.RiskTruncate(-0.99,0.99))</f>
        <v>1.0114686573509113E-2</v>
      </c>
      <c r="PP82" s="8">
        <f ca="1">_xll.RiskLogistic(0.010115,0.033236,_xll.RiskTruncate(-0.99,0.99))</f>
        <v>1.0114686573509113E-2</v>
      </c>
      <c r="PQ82" s="8">
        <f ca="1">_xll.RiskLogistic(0.010115,0.033236,_xll.RiskTruncate(-0.99,0.99))</f>
        <v>1.0114686573509113E-2</v>
      </c>
      <c r="PR82" s="8">
        <f ca="1">_xll.RiskLogistic(0.010115,0.033236,_xll.RiskTruncate(-0.99,0.99))</f>
        <v>1.0114686573509113E-2</v>
      </c>
      <c r="PS82" s="8">
        <f ca="1">_xll.RiskLogistic(0.010115,0.033236,_xll.RiskTruncate(-0.99,0.99))</f>
        <v>1.0114686573509113E-2</v>
      </c>
      <c r="PT82" s="8">
        <f ca="1">_xll.RiskLogistic(0.010115,0.033236,_xll.RiskTruncate(-0.99,0.99))</f>
        <v>1.0114686573509113E-2</v>
      </c>
      <c r="PU82" s="8">
        <f ca="1">_xll.RiskLogistic(0.010115,0.033236,_xll.RiskTruncate(-0.99,0.99))</f>
        <v>1.0114686573509113E-2</v>
      </c>
      <c r="PV82" s="8">
        <f ca="1">_xll.RiskLogistic(0.010115,0.033236,_xll.RiskTruncate(-0.99,0.99))</f>
        <v>1.0114686573509113E-2</v>
      </c>
      <c r="PW82" s="8">
        <f ca="1">_xll.RiskLogistic(0.010115,0.033236,_xll.RiskTruncate(-0.99,0.99))</f>
        <v>1.0114686573509113E-2</v>
      </c>
      <c r="PX82" s="8">
        <f ca="1">_xll.RiskLogistic(0.010115,0.033236,_xll.RiskTruncate(-0.99,0.99))</f>
        <v>1.0114686573509113E-2</v>
      </c>
      <c r="PY82" s="8">
        <f ca="1">_xll.RiskLogistic(0.010115,0.033236,_xll.RiskTruncate(-0.99,0.99))</f>
        <v>1.0114686573509113E-2</v>
      </c>
      <c r="PZ82" s="8">
        <f ca="1">_xll.RiskLogistic(0.010115,0.033236,_xll.RiskTruncate(-0.99,0.99))</f>
        <v>1.0114686573509113E-2</v>
      </c>
      <c r="QA82" s="8">
        <f ca="1">_xll.RiskLogistic(0.010115,0.033236,_xll.RiskTruncate(-0.99,0.99))</f>
        <v>1.0114686573509113E-2</v>
      </c>
      <c r="QB82" s="8">
        <f ca="1">_xll.RiskLogistic(0.010115,0.033236,_xll.RiskTruncate(-0.99,0.99))</f>
        <v>1.0114686573509113E-2</v>
      </c>
      <c r="QC82" s="8">
        <f ca="1">_xll.RiskLogistic(0.010115,0.033236,_xll.RiskTruncate(-0.99,0.99))</f>
        <v>1.0114686573509113E-2</v>
      </c>
      <c r="QD82" s="8">
        <f ca="1">_xll.RiskLogistic(0.010115,0.033236,_xll.RiskTruncate(-0.99,0.99))</f>
        <v>1.0114686573509113E-2</v>
      </c>
      <c r="QE82" s="8">
        <f ca="1">_xll.RiskLogistic(0.010115,0.033236,_xll.RiskTruncate(-0.99,0.99))</f>
        <v>1.0114686573509113E-2</v>
      </c>
      <c r="QF82" s="8">
        <f ca="1">_xll.RiskLogistic(0.010115,0.033236,_xll.RiskTruncate(-0.99,0.99))</f>
        <v>1.0114686573509113E-2</v>
      </c>
      <c r="QG82" s="8">
        <f ca="1">_xll.RiskLogistic(0.010115,0.033236,_xll.RiskTruncate(-0.99,0.99))</f>
        <v>1.0114686573509113E-2</v>
      </c>
      <c r="QH82" s="8">
        <f ca="1">_xll.RiskLogistic(0.010115,0.033236,_xll.RiskTruncate(-0.99,0.99))</f>
        <v>1.0114686573509113E-2</v>
      </c>
      <c r="QI82" s="8">
        <f ca="1">_xll.RiskLogistic(0.010115,0.033236,_xll.RiskTruncate(-0.99,0.99))</f>
        <v>1.0114686573509113E-2</v>
      </c>
      <c r="QJ82" s="8">
        <f ca="1">_xll.RiskLogistic(0.010115,0.033236,_xll.RiskTruncate(-0.99,0.99))</f>
        <v>1.0114686573509113E-2</v>
      </c>
      <c r="QK82" s="8">
        <f ca="1">_xll.RiskLogistic(0.010115,0.033236,_xll.RiskTruncate(-0.99,0.99))</f>
        <v>1.0114686573509113E-2</v>
      </c>
      <c r="QL82" s="8">
        <f ca="1">_xll.RiskLogistic(0.010115,0.033236,_xll.RiskTruncate(-0.99,0.99))</f>
        <v>1.0114686573509113E-2</v>
      </c>
      <c r="QM82" s="8">
        <f ca="1">_xll.RiskLogistic(0.010115,0.033236,_xll.RiskTruncate(-0.99,0.99))</f>
        <v>1.0114686573509113E-2</v>
      </c>
      <c r="QN82" s="8">
        <f ca="1">_xll.RiskLogistic(0.010115,0.033236,_xll.RiskTruncate(-0.99,0.99))</f>
        <v>1.0114686573509113E-2</v>
      </c>
      <c r="QO82" s="8">
        <f ca="1">_xll.RiskLogistic(0.010115,0.033236,_xll.RiskTruncate(-0.99,0.99))</f>
        <v>1.0114686573509113E-2</v>
      </c>
      <c r="QP82" s="8">
        <f ca="1">_xll.RiskLogistic(0.010115,0.033236,_xll.RiskTruncate(-0.99,0.99))</f>
        <v>1.0114686573509113E-2</v>
      </c>
      <c r="QQ82" s="8">
        <f ca="1">_xll.RiskLogistic(0.010115,0.033236,_xll.RiskTruncate(-0.99,0.99))</f>
        <v>1.0114686573509113E-2</v>
      </c>
      <c r="QR82" s="8">
        <f ca="1">_xll.RiskLogistic(0.010115,0.033236,_xll.RiskTruncate(-0.99,0.99))</f>
        <v>1.0114686573509113E-2</v>
      </c>
      <c r="QS82" s="8">
        <f ca="1">_xll.RiskLogistic(0.010115,0.033236,_xll.RiskTruncate(-0.99,0.99))</f>
        <v>1.0114686573509113E-2</v>
      </c>
      <c r="QT82" s="8">
        <f ca="1">_xll.RiskLogistic(0.010115,0.033236,_xll.RiskTruncate(-0.99,0.99))</f>
        <v>1.0114686573509113E-2</v>
      </c>
      <c r="QU82" s="8">
        <f ca="1">_xll.RiskLogistic(0.010115,0.033236,_xll.RiskTruncate(-0.99,0.99))</f>
        <v>1.0114686573509113E-2</v>
      </c>
      <c r="QV82" s="8">
        <f ca="1">_xll.RiskLogistic(0.010115,0.033236,_xll.RiskTruncate(-0.99,0.99))</f>
        <v>1.0114686573509113E-2</v>
      </c>
      <c r="QW82" s="8">
        <f ca="1">_xll.RiskLogistic(0.010115,0.033236,_xll.RiskTruncate(-0.99,0.99))</f>
        <v>1.0114686573509113E-2</v>
      </c>
      <c r="QX82" s="8">
        <f ca="1">_xll.RiskLogistic(0.010115,0.033236,_xll.RiskTruncate(-0.99,0.99))</f>
        <v>1.0114686573509113E-2</v>
      </c>
      <c r="QY82" s="8">
        <f ca="1">_xll.RiskLogistic(0.010115,0.033236,_xll.RiskTruncate(-0.99,0.99))</f>
        <v>1.0114686573509113E-2</v>
      </c>
      <c r="QZ82" s="8">
        <f ca="1">_xll.RiskLogistic(0.010115,0.033236,_xll.RiskTruncate(-0.99,0.99))</f>
        <v>1.0114686573509113E-2</v>
      </c>
      <c r="RA82" s="8">
        <f ca="1">_xll.RiskLogistic(0.010115,0.033236,_xll.RiskTruncate(-0.99,0.99))</f>
        <v>1.0114686573509113E-2</v>
      </c>
      <c r="RB82" s="8">
        <f ca="1">_xll.RiskLogistic(0.010115,0.033236,_xll.RiskTruncate(-0.99,0.99))</f>
        <v>1.0114686573509113E-2</v>
      </c>
      <c r="RC82" s="8">
        <f ca="1">_xll.RiskLogistic(0.010115,0.033236,_xll.RiskTruncate(-0.99,0.99))</f>
        <v>1.0114686573509113E-2</v>
      </c>
      <c r="RD82" s="8">
        <f ca="1">_xll.RiskLogistic(0.010115,0.033236,_xll.RiskTruncate(-0.99,0.99))</f>
        <v>1.0114686573509113E-2</v>
      </c>
      <c r="RE82" s="8">
        <f ca="1">_xll.RiskLogistic(0.010115,0.033236,_xll.RiskTruncate(-0.99,0.99))</f>
        <v>1.0114686573509113E-2</v>
      </c>
      <c r="RF82" s="8">
        <f ca="1">_xll.RiskLogistic(0.010115,0.033236,_xll.RiskTruncate(-0.99,0.99))</f>
        <v>1.0114686573509113E-2</v>
      </c>
      <c r="RG82" s="8">
        <f ca="1">_xll.RiskLogistic(0.010115,0.033236,_xll.RiskTruncate(-0.99,0.99))</f>
        <v>1.0114686573509113E-2</v>
      </c>
      <c r="RH82" s="8">
        <f ca="1">_xll.RiskLogistic(0.010115,0.033236,_xll.RiskTruncate(-0.99,0.99))</f>
        <v>1.0114686573509113E-2</v>
      </c>
      <c r="RI82" s="8">
        <f ca="1">_xll.RiskLogistic(0.010115,0.033236,_xll.RiskTruncate(-0.99,0.99))</f>
        <v>1.0114686573509113E-2</v>
      </c>
      <c r="RJ82" s="8">
        <f ca="1">_xll.RiskLogistic(0.010115,0.033236,_xll.RiskTruncate(-0.99,0.99))</f>
        <v>1.0114686573509113E-2</v>
      </c>
      <c r="RK82" s="8">
        <f ca="1">_xll.RiskLogistic(0.010115,0.033236,_xll.RiskTruncate(-0.99,0.99))</f>
        <v>1.0114686573509113E-2</v>
      </c>
      <c r="RL82" s="8">
        <f ca="1">_xll.RiskLogistic(0.010115,0.033236,_xll.RiskTruncate(-0.99,0.99))</f>
        <v>1.0114686573509113E-2</v>
      </c>
      <c r="RM82" s="8">
        <f ca="1">_xll.RiskLogistic(0.010115,0.033236,_xll.RiskTruncate(-0.99,0.99))</f>
        <v>1.0114686573509113E-2</v>
      </c>
      <c r="RN82" s="8">
        <f ca="1">_xll.RiskLogistic(0.010115,0.033236,_xll.RiskTruncate(-0.99,0.99))</f>
        <v>1.0114686573509113E-2</v>
      </c>
      <c r="RO82" s="8">
        <f ca="1">_xll.RiskLogistic(0.010115,0.033236,_xll.RiskTruncate(-0.99,0.99))</f>
        <v>1.0114686573509113E-2</v>
      </c>
      <c r="RP82" s="8">
        <f ca="1">_xll.RiskLogistic(0.010115,0.033236,_xll.RiskTruncate(-0.99,0.99))</f>
        <v>1.0114686573509113E-2</v>
      </c>
      <c r="RQ82" s="8">
        <f ca="1">_xll.RiskLogistic(0.010115,0.033236,_xll.RiskTruncate(-0.99,0.99))</f>
        <v>1.0114686573509113E-2</v>
      </c>
      <c r="RR82" s="8">
        <f ca="1">_xll.RiskLogistic(0.010115,0.033236,_xll.RiskTruncate(-0.99,0.99))</f>
        <v>1.0114686573509113E-2</v>
      </c>
    </row>
    <row r="83" spans="1:486" s="9" customFormat="1" ht="28.8">
      <c r="A83" s="289"/>
      <c r="B83" s="135" t="s">
        <v>503</v>
      </c>
      <c r="E83" s="95">
        <v>0</v>
      </c>
      <c r="F83" s="270">
        <f ca="1">_xll.RiskLogistic(0.0032402,0.033236,_xll.RiskTruncate(-0.99,0.99),_xll.RiskCorrmat(NewMatrix2,1,"7/1/2015"))</f>
        <v>3.2400012649181908E-3</v>
      </c>
      <c r="G83" s="8">
        <f ca="1">_xll.RiskLogistic(0.0032402,0.033236,_xll.RiskTruncate(-0.99,0.99),_xll.RiskCorrmat(NewMatrix2,1,"8/1/2015"))</f>
        <v>3.2400012649181908E-3</v>
      </c>
      <c r="H83" s="8">
        <f ca="1">_xll.RiskLogistic(0.0032402,0.033236,_xll.RiskTruncate(-0.99,0.99),_xll.RiskCorrmat(NewMatrix2,1,"9/1/2015"))</f>
        <v>3.2400012649181908E-3</v>
      </c>
      <c r="I83" s="8">
        <f ca="1">_xll.RiskLogistic(0.0032402,0.033236,_xll.RiskTruncate(-0.99,0.99),_xll.RiskCorrmat(NewMatrix2,1,"10/1/2015"))</f>
        <v>3.2400012649181908E-3</v>
      </c>
      <c r="J83" s="8">
        <f ca="1">_xll.RiskLogistic(0.0032402,0.033236,_xll.RiskTruncate(-0.99,0.99),_xll.RiskCorrmat(NewMatrix2,1,"11/1/2015"))</f>
        <v>3.2400012649181908E-3</v>
      </c>
      <c r="K83" s="8">
        <f ca="1">_xll.RiskLogistic(0.0032402,0.033236,_xll.RiskTruncate(-0.99,0.99),_xll.RiskCorrmat(NewMatrix2,1,"12/1/2015"))</f>
        <v>3.2400012649181908E-3</v>
      </c>
      <c r="L83" s="8">
        <f ca="1">_xll.RiskLogistic(0.0032402,0.033236,_xll.RiskTruncate(-0.99,0.99),_xll.RiskCorrmat(NewMatrix2,1,"1/1/2016"))</f>
        <v>3.2400012649181908E-3</v>
      </c>
      <c r="M83" s="8">
        <f ca="1">_xll.RiskLogistic(0.0032402,0.033236,_xll.RiskTruncate(-0.99,0.99),_xll.RiskCorrmat(NewMatrix2,1,"2/1/2016"))</f>
        <v>3.2400012649181908E-3</v>
      </c>
      <c r="N83" s="8">
        <f ca="1">_xll.RiskLogistic(0.0032402,0.033236,_xll.RiskTruncate(-0.99,0.99),_xll.RiskCorrmat(NewMatrix2,1,"3/1/2016"))</f>
        <v>3.2400012649181908E-3</v>
      </c>
      <c r="O83" s="8">
        <f ca="1">_xll.RiskLogistic(0.0032402,0.033236,_xll.RiskTruncate(-0.99,0.99),_xll.RiskCorrmat(NewMatrix2,1,"4/1/2016"))</f>
        <v>3.2400012649181908E-3</v>
      </c>
      <c r="P83" s="8">
        <f ca="1">_xll.RiskLogistic(0.0032402,0.033236,_xll.RiskTruncate(-0.99,0.99),_xll.RiskCorrmat(NewMatrix2,1,"5/1/2016"))</f>
        <v>3.2400012649181908E-3</v>
      </c>
      <c r="Q83" s="8">
        <f ca="1">_xll.RiskLogistic(0.0032402,0.033236,_xll.RiskTruncate(-0.99,0.99),_xll.RiskCorrmat(NewMatrix2,1,"6/1/2016"))</f>
        <v>3.2400012649181908E-3</v>
      </c>
      <c r="R83" s="8">
        <f ca="1">_xll.RiskLogistic(0.0032402,0.033236,_xll.RiskTruncate(-0.99,0.99),_xll.RiskCorrmat(NewMatrix2,1,"7/1/2016"))</f>
        <v>3.2400012649181908E-3</v>
      </c>
      <c r="S83" s="8">
        <f ca="1">_xll.RiskLogistic(0.0032402,0.033236,_xll.RiskTruncate(-0.99,0.99),_xll.RiskCorrmat(NewMatrix2,1,"8/1/2016"))</f>
        <v>3.2400012649181908E-3</v>
      </c>
      <c r="T83" s="8">
        <f ca="1">_xll.RiskLogistic(0.0032402,0.033236,_xll.RiskTruncate(-0.99,0.99),_xll.RiskCorrmat(NewMatrix2,1,"9/1/2016"))</f>
        <v>3.2400012649181908E-3</v>
      </c>
      <c r="U83" s="8">
        <f ca="1">_xll.RiskLogistic(0.0032402,0.033236,_xll.RiskTruncate(-0.99,0.99),_xll.RiskCorrmat(NewMatrix2,1,"10/1/2016"))</f>
        <v>3.2400012649181908E-3</v>
      </c>
      <c r="V83" s="8">
        <f ca="1">_xll.RiskLogistic(0.0032402,0.033236,_xll.RiskTruncate(-0.99,0.99),_xll.RiskCorrmat(NewMatrix2,1,"11/1/2016"))</f>
        <v>3.2400012649181908E-3</v>
      </c>
      <c r="W83" s="8">
        <f ca="1">_xll.RiskLogistic(0.0032402,0.033236,_xll.RiskTruncate(-0.99,0.99),_xll.RiskCorrmat(NewMatrix2,1,"12/1/2016"))</f>
        <v>3.2400012649181908E-3</v>
      </c>
      <c r="X83" s="8">
        <f ca="1">_xll.RiskLogistic(0.0032402,0.033236,_xll.RiskTruncate(-0.99,0.99),_xll.RiskCorrmat(NewMatrix2,1,"1/1/2017"))</f>
        <v>3.2400012649181908E-3</v>
      </c>
      <c r="Y83" s="8">
        <f ca="1">_xll.RiskLogistic(0.0032402,0.033236,_xll.RiskTruncate(-0.99,0.99),_xll.RiskCorrmat(NewMatrix2,1,"2/1/2017"))</f>
        <v>3.2400012649181908E-3</v>
      </c>
      <c r="Z83" s="8">
        <f ca="1">_xll.RiskLogistic(0.0032402,0.033236,_xll.RiskTruncate(-0.99,0.99),_xll.RiskCorrmat(NewMatrix2,1,"3/1/2017"))</f>
        <v>3.2400012649181908E-3</v>
      </c>
      <c r="AA83" s="8">
        <f ca="1">_xll.RiskLogistic(0.0032402,0.033236,_xll.RiskTruncate(-0.99,0.99),_xll.RiskCorrmat(NewMatrix2,1,"4/1/2017"))</f>
        <v>3.2400012649181908E-3</v>
      </c>
      <c r="AB83" s="8">
        <f ca="1">_xll.RiskLogistic(0.0032402,0.033236,_xll.RiskTruncate(-0.99,0.99),_xll.RiskCorrmat(NewMatrix2,1,"5/1/2017"))</f>
        <v>3.2400012649181908E-3</v>
      </c>
      <c r="AC83" s="8">
        <f ca="1">_xll.RiskLogistic(0.0032402,0.033236,_xll.RiskTruncate(-0.99,0.99),_xll.RiskCorrmat(NewMatrix2,1,"6/1/2017"))</f>
        <v>3.2400012649181908E-3</v>
      </c>
      <c r="AD83" s="8">
        <f ca="1">_xll.RiskLogistic(0.0032402,0.033236,_xll.RiskTruncate(-0.99,0.99),_xll.RiskCorrmat(NewMatrix2,1,"7/1/2017"))</f>
        <v>3.2400012649181908E-3</v>
      </c>
      <c r="AE83" s="8">
        <f ca="1">_xll.RiskLogistic(0.0032402,0.033236,_xll.RiskTruncate(-0.99,0.99),_xll.RiskCorrmat(NewMatrix2,1,"8/1/2017"))</f>
        <v>3.2400012649181908E-3</v>
      </c>
      <c r="AF83" s="8">
        <f ca="1">_xll.RiskLogistic(0.0032402,0.033236,_xll.RiskTruncate(-0.99,0.99),_xll.RiskCorrmat(NewMatrix2,1,"9/1/2017"))</f>
        <v>3.2400012649181908E-3</v>
      </c>
      <c r="AG83" s="8">
        <f ca="1">_xll.RiskLogistic(0.0032402,0.033236,_xll.RiskTruncate(-0.99,0.99),_xll.RiskCorrmat(NewMatrix2,1,"10/1/2017"))</f>
        <v>3.2400012649181908E-3</v>
      </c>
      <c r="AH83" s="8">
        <f ca="1">_xll.RiskLogistic(0.0032402,0.033236,_xll.RiskTruncate(-0.99,0.99),_xll.RiskCorrmat(NewMatrix2,1,"11/1/2017"))</f>
        <v>3.2400012649181908E-3</v>
      </c>
      <c r="AI83" s="8">
        <f ca="1">_xll.RiskLogistic(0.0032402,0.033236,_xll.RiskTruncate(-0.99,0.99),_xll.RiskCorrmat(NewMatrix2,1,"12/1/2017"))</f>
        <v>3.2400012649181908E-3</v>
      </c>
      <c r="AJ83" s="8">
        <f ca="1">_xll.RiskLogistic(0.0032402,0.033236,_xll.RiskTruncate(-0.99,0.99),_xll.RiskCorrmat(NewMatrix2,1,"1/1/2018"))</f>
        <v>3.2400012649181908E-3</v>
      </c>
      <c r="AK83" s="8">
        <f ca="1">_xll.RiskLogistic(0.0032402,0.033236,_xll.RiskTruncate(-0.99,0.99),_xll.RiskCorrmat(NewMatrix2,1,"2/1/2018"))</f>
        <v>3.2400012649181908E-3</v>
      </c>
      <c r="AL83" s="8">
        <f ca="1">_xll.RiskLogistic(0.0032402,0.033236,_xll.RiskTruncate(-0.99,0.99),_xll.RiskCorrmat(NewMatrix2,1,"3/1/2018"))</f>
        <v>3.2400012649181908E-3</v>
      </c>
      <c r="AM83" s="8">
        <f ca="1">_xll.RiskLogistic(0.0032402,0.033236,_xll.RiskTruncate(-0.99,0.99),_xll.RiskCorrmat(NewMatrix2,1,"4/1/2018"))</f>
        <v>3.2400012649181908E-3</v>
      </c>
      <c r="AN83" s="8">
        <f ca="1">_xll.RiskLogistic(0.0032402,0.033236,_xll.RiskTruncate(-0.99,0.99),_xll.RiskCorrmat(NewMatrix2,1,"5/1/2018"))</f>
        <v>3.2400012649181908E-3</v>
      </c>
      <c r="AO83" s="8">
        <f ca="1">_xll.RiskLogistic(0.0032402,0.033236,_xll.RiskTruncate(-0.99,0.99),_xll.RiskCorrmat(NewMatrix2,1,"6/1/2018"))</f>
        <v>3.2400012649181908E-3</v>
      </c>
      <c r="AP83" s="8">
        <f ca="1">_xll.RiskLogistic(0.0032402,0.033236,_xll.RiskTruncate(-0.99,0.99),_xll.RiskCorrmat(NewMatrix2,1,"7/1/2018"))</f>
        <v>3.2400012649181908E-3</v>
      </c>
      <c r="AQ83" s="8">
        <f ca="1">_xll.RiskLogistic(0.0032402,0.033236,_xll.RiskTruncate(-0.99,0.99),_xll.RiskCorrmat(NewMatrix2,1,"8/1/2018"))</f>
        <v>3.2400012649181908E-3</v>
      </c>
      <c r="AR83" s="8">
        <f ca="1">_xll.RiskLogistic(0.0032402,0.033236,_xll.RiskTruncate(-0.99,0.99),_xll.RiskCorrmat(NewMatrix2,1,"9/1/2018"))</f>
        <v>3.2400012649181908E-3</v>
      </c>
      <c r="AS83" s="8">
        <f ca="1">_xll.RiskLogistic(0.0032402,0.033236,_xll.RiskTruncate(-0.99,0.99),_xll.RiskCorrmat(NewMatrix2,1,"10/1/2018"))</f>
        <v>3.2400012649181908E-3</v>
      </c>
      <c r="AT83" s="8">
        <f ca="1">_xll.RiskLogistic(0.0032402,0.033236,_xll.RiskTruncate(-0.99,0.99),_xll.RiskCorrmat(NewMatrix2,1,"11/1/2018"))</f>
        <v>3.2400012649181908E-3</v>
      </c>
      <c r="AU83" s="8">
        <f ca="1">_xll.RiskLogistic(0.0032402,0.033236,_xll.RiskTruncate(-0.99,0.99),_xll.RiskCorrmat(NewMatrix2,1,"12/1/2018"))</f>
        <v>3.2400012649181908E-3</v>
      </c>
      <c r="AV83" s="8">
        <f ca="1">_xll.RiskLogistic(0.0032402,0.033236,_xll.RiskTruncate(-0.99,0.99),_xll.RiskCorrmat(NewMatrix2,1,"1/1/2019"))</f>
        <v>3.2400012649181908E-3</v>
      </c>
      <c r="AW83" s="8">
        <f ca="1">_xll.RiskLogistic(0.0032402,0.033236,_xll.RiskTruncate(-0.99,0.99),_xll.RiskCorrmat(NewMatrix2,1,"2/1/2019"))</f>
        <v>3.2400012649181908E-3</v>
      </c>
      <c r="AX83" s="8">
        <f ca="1">_xll.RiskLogistic(0.0032402,0.033236,_xll.RiskTruncate(-0.99,0.99),_xll.RiskCorrmat(NewMatrix2,1,"3/1/2019"))</f>
        <v>3.2400012649181908E-3</v>
      </c>
      <c r="AY83" s="8">
        <f ca="1">_xll.RiskLogistic(0.0032402,0.033236,_xll.RiskTruncate(-0.99,0.99),_xll.RiskCorrmat(NewMatrix2,1,"4/1/2019"))</f>
        <v>3.2400012649181908E-3</v>
      </c>
      <c r="AZ83" s="8">
        <f ca="1">_xll.RiskLogistic(0.0032402,0.033236,_xll.RiskTruncate(-0.99,0.99),_xll.RiskCorrmat(NewMatrix2,1,"5/1/2019"))</f>
        <v>3.2400012649181908E-3</v>
      </c>
      <c r="BA83" s="8">
        <f ca="1">_xll.RiskLogistic(0.0032402,0.033236,_xll.RiskTruncate(-0.99,0.99),_xll.RiskCorrmat(NewMatrix2,1,"6/1/2019"))</f>
        <v>3.2400012649181908E-3</v>
      </c>
      <c r="BB83" s="8">
        <f ca="1">_xll.RiskLogistic(0.0032402,0.033236,_xll.RiskTruncate(-0.99,0.99),_xll.RiskCorrmat(NewMatrix2,1,"7/1/2019"))</f>
        <v>3.2400012649181908E-3</v>
      </c>
      <c r="BC83" s="8">
        <f ca="1">_xll.RiskLogistic(0.0032402,0.033236,_xll.RiskTruncate(-0.99,0.99),_xll.RiskCorrmat(NewMatrix2,1,"8/1/2019"))</f>
        <v>3.2400012649181908E-3</v>
      </c>
      <c r="BD83" s="8">
        <f ca="1">_xll.RiskLogistic(0.0032402,0.033236,_xll.RiskTruncate(-0.99,0.99),_xll.RiskCorrmat(NewMatrix2,1,"9/1/2019"))</f>
        <v>3.2400012649181908E-3</v>
      </c>
      <c r="BE83" s="8">
        <f ca="1">_xll.RiskLogistic(0.0032402,0.033236,_xll.RiskTruncate(-0.99,0.99),_xll.RiskCorrmat(NewMatrix2,1,"10/1/2019"))</f>
        <v>3.2400012649181908E-3</v>
      </c>
      <c r="BF83" s="8">
        <f ca="1">_xll.RiskLogistic(0.0032402,0.033236,_xll.RiskTruncate(-0.99,0.99),_xll.RiskCorrmat(NewMatrix2,1,"11/1/2019"))</f>
        <v>3.2400012649181908E-3</v>
      </c>
      <c r="BG83" s="8">
        <f ca="1">_xll.RiskLogistic(0.0032402,0.033236,_xll.RiskTruncate(-0.99,0.99),_xll.RiskCorrmat(NewMatrix2,1,"12/1/2019"))</f>
        <v>3.2400012649181908E-3</v>
      </c>
      <c r="BH83" s="8">
        <f ca="1">_xll.RiskLogistic(0.0032402,0.033236,_xll.RiskTruncate(-0.99,0.99),_xll.RiskCorrmat(NewMatrix2,1,"1/1/2020"))</f>
        <v>3.2400012649181908E-3</v>
      </c>
      <c r="BI83" s="8">
        <f ca="1">_xll.RiskLogistic(0.0032402,0.033236,_xll.RiskTruncate(-0.99,0.99),_xll.RiskCorrmat(NewMatrix2,1,"2/1/2020"))</f>
        <v>3.2400012649181908E-3</v>
      </c>
      <c r="BJ83" s="8">
        <f ca="1">_xll.RiskLogistic(0.0032402,0.033236,_xll.RiskTruncate(-0.99,0.99),_xll.RiskCorrmat(NewMatrix2,1,"3/1/2020"))</f>
        <v>3.2400012649181908E-3</v>
      </c>
      <c r="BK83" s="8">
        <f ca="1">_xll.RiskLogistic(0.0032402,0.033236,_xll.RiskTruncate(-0.99,0.99),_xll.RiskCorrmat(NewMatrix2,1,"4/1/2020"))</f>
        <v>3.2400012649181908E-3</v>
      </c>
      <c r="BL83" s="8">
        <f ca="1">_xll.RiskLogistic(0.0032402,0.033236,_xll.RiskTruncate(-0.99,0.99),_xll.RiskCorrmat(NewMatrix2,1,"5/1/2020"))</f>
        <v>3.2400012649181908E-3</v>
      </c>
      <c r="BM83" s="8">
        <f ca="1">_xll.RiskLogistic(0.0032402,0.033236,_xll.RiskTruncate(-0.99,0.99),_xll.RiskCorrmat(NewMatrix2,1,"6/1/2020"))</f>
        <v>3.2400012649181908E-3</v>
      </c>
      <c r="BN83" s="8">
        <f ca="1">_xll.RiskLogistic(0.0032402,0.033236,_xll.RiskTruncate(-0.99,0.99),_xll.RiskCorrmat(NewMatrix2,1,"7/1/2020"))</f>
        <v>3.2400012649181908E-3</v>
      </c>
      <c r="BO83" s="8">
        <f ca="1">_xll.RiskLogistic(0.0032402,0.033236,_xll.RiskTruncate(-0.99,0.99),_xll.RiskCorrmat(NewMatrix2,1,"8/1/2020"))</f>
        <v>3.2400012649181908E-3</v>
      </c>
      <c r="BP83" s="8">
        <f ca="1">_xll.RiskLogistic(0.0032402,0.033236,_xll.RiskTruncate(-0.99,0.99),_xll.RiskCorrmat(NewMatrix2,1,"9/1/2020"))</f>
        <v>3.2400012649181908E-3</v>
      </c>
      <c r="BQ83" s="8">
        <f ca="1">_xll.RiskLogistic(0.0032402,0.033236,_xll.RiskTruncate(-0.99,0.99),_xll.RiskCorrmat(NewMatrix2,1,"10/1/2020"))</f>
        <v>3.2400012649181908E-3</v>
      </c>
      <c r="BR83" s="8">
        <f ca="1">_xll.RiskLogistic(0.0032402,0.033236,_xll.RiskTruncate(-0.99,0.99),_xll.RiskCorrmat(NewMatrix2,1,"11/1/2020"))</f>
        <v>3.2400012649181908E-3</v>
      </c>
      <c r="BS83" s="8">
        <f ca="1">_xll.RiskLogistic(0.0032402,0.033236,_xll.RiskTruncate(-0.99,0.99),_xll.RiskCorrmat(NewMatrix2,1,"12/1/2020"))</f>
        <v>3.2400012649181908E-3</v>
      </c>
      <c r="BT83" s="8">
        <f ca="1">_xll.RiskLogistic(0.0032402,0.033236,_xll.RiskTruncate(-0.99,0.99),_xll.RiskCorrmat(NewMatrix2,1,"1/1/2021"))</f>
        <v>3.2400012649181908E-3</v>
      </c>
      <c r="BU83" s="8">
        <f ca="1">_xll.RiskLogistic(0.0032402,0.033236,_xll.RiskTruncate(-0.99,0.99),_xll.RiskCorrmat(NewMatrix2,1,"2/1/2021"))</f>
        <v>3.2400012649181908E-3</v>
      </c>
      <c r="BV83" s="8">
        <f ca="1">_xll.RiskLogistic(0.0032402,0.033236,_xll.RiskTruncate(-0.99,0.99),_xll.RiskCorrmat(NewMatrix2,1,"3/1/2021"))</f>
        <v>3.2400012649181908E-3</v>
      </c>
      <c r="BW83" s="8">
        <f ca="1">_xll.RiskLogistic(0.0032402,0.033236,_xll.RiskTruncate(-0.99,0.99),_xll.RiskCorrmat(NewMatrix2,1,"4/1/2021"))</f>
        <v>3.2400012649181908E-3</v>
      </c>
      <c r="BX83" s="8">
        <f ca="1">_xll.RiskLogistic(0.0032402,0.033236,_xll.RiskTruncate(-0.99,0.99),_xll.RiskCorrmat(NewMatrix2,1,"5/1/2021"))</f>
        <v>3.2400012649181908E-3</v>
      </c>
      <c r="BY83" s="8">
        <f ca="1">_xll.RiskLogistic(0.0032402,0.033236,_xll.RiskTruncate(-0.99,0.99),_xll.RiskCorrmat(NewMatrix2,1,"6/1/2021"))</f>
        <v>3.2400012649181908E-3</v>
      </c>
      <c r="BZ83" s="8">
        <f ca="1">_xll.RiskLogistic(0.0032402,0.033236,_xll.RiskTruncate(-0.99,0.99),_xll.RiskCorrmat(NewMatrix2,1,"7/1/2021"))</f>
        <v>3.2400012649181908E-3</v>
      </c>
      <c r="CA83" s="8">
        <f ca="1">_xll.RiskLogistic(0.0032402,0.033236,_xll.RiskTruncate(-0.99,0.99),_xll.RiskCorrmat(NewMatrix2,1,"8/1/2021"))</f>
        <v>3.2400012649181908E-3</v>
      </c>
      <c r="CB83" s="8">
        <f ca="1">_xll.RiskLogistic(0.0032402,0.033236,_xll.RiskTruncate(-0.99,0.99),_xll.RiskCorrmat(NewMatrix2,1,"9/1/2021"))</f>
        <v>3.2400012649181908E-3</v>
      </c>
      <c r="CC83" s="8">
        <f ca="1">_xll.RiskLogistic(0.0032402,0.033236,_xll.RiskTruncate(-0.99,0.99),_xll.RiskCorrmat(NewMatrix2,1,"10/1/2021"))</f>
        <v>3.2400012649181908E-3</v>
      </c>
      <c r="CD83" s="8">
        <f ca="1">_xll.RiskLogistic(0.0032402,0.033236,_xll.RiskTruncate(-0.99,0.99),_xll.RiskCorrmat(NewMatrix2,1,"11/1/2021"))</f>
        <v>3.2400012649181908E-3</v>
      </c>
      <c r="CE83" s="8">
        <f ca="1">_xll.RiskLogistic(0.0032402,0.033236,_xll.RiskTruncate(-0.99,0.99),_xll.RiskCorrmat(NewMatrix2,1,"12/1/2021"))</f>
        <v>3.2400012649181908E-3</v>
      </c>
      <c r="CF83" s="8">
        <f ca="1">_xll.RiskLogistic(0.0032402,0.033236,_xll.RiskTruncate(-0.99,0.99),_xll.RiskCorrmat(NewMatrix2,1,"1/1/2022"))</f>
        <v>3.2400012649181908E-3</v>
      </c>
      <c r="CG83" s="8">
        <f ca="1">_xll.RiskLogistic(0.0032402,0.033236,_xll.RiskTruncate(-0.99,0.99),_xll.RiskCorrmat(NewMatrix2,1,"2/1/2022"))</f>
        <v>3.2400012649181908E-3</v>
      </c>
      <c r="CH83" s="8">
        <f ca="1">_xll.RiskLogistic(0.0032402,0.033236,_xll.RiskTruncate(-0.99,0.99),_xll.RiskCorrmat(NewMatrix2,1,"3/1/2022"))</f>
        <v>3.2400012649181908E-3</v>
      </c>
      <c r="CI83" s="8">
        <f ca="1">_xll.RiskLogistic(0.0032402,0.033236,_xll.RiskTruncate(-0.99,0.99),_xll.RiskCorrmat(NewMatrix2,1,"4/1/2022"))</f>
        <v>3.2400012649181908E-3</v>
      </c>
      <c r="CJ83" s="8">
        <f ca="1">_xll.RiskLogistic(0.0032402,0.033236,_xll.RiskTruncate(-0.99,0.99),_xll.RiskCorrmat(NewMatrix2,1,"5/1/2022"))</f>
        <v>3.2400012649181908E-3</v>
      </c>
      <c r="CK83" s="8">
        <f ca="1">_xll.RiskLogistic(0.0032402,0.033236,_xll.RiskTruncate(-0.99,0.99),_xll.RiskCorrmat(NewMatrix2,1,"6/1/2022"))</f>
        <v>3.2400012649181908E-3</v>
      </c>
      <c r="CL83" s="8">
        <f ca="1">_xll.RiskLogistic(0.0032402,0.033236,_xll.RiskTruncate(-0.99,0.99),_xll.RiskCorrmat(NewMatrix2,1,"7/1/2022"))</f>
        <v>3.2400012649181908E-3</v>
      </c>
      <c r="CM83" s="8">
        <f ca="1">_xll.RiskLogistic(0.0032402,0.033236,_xll.RiskTruncate(-0.99,0.99),_xll.RiskCorrmat(NewMatrix2,1,"8/1/2022"))</f>
        <v>3.2400012649181908E-3</v>
      </c>
      <c r="CN83" s="8">
        <f ca="1">_xll.RiskLogistic(0.0032402,0.033236,_xll.RiskTruncate(-0.99,0.99),_xll.RiskCorrmat(NewMatrix2,1,"9/1/2022"))</f>
        <v>3.2400012649181908E-3</v>
      </c>
      <c r="CO83" s="8">
        <f ca="1">_xll.RiskLogistic(0.0032402,0.033236,_xll.RiskTruncate(-0.99,0.99),_xll.RiskCorrmat(NewMatrix2,1,"10/1/2022"))</f>
        <v>3.2400012649181908E-3</v>
      </c>
      <c r="CP83" s="8">
        <f ca="1">_xll.RiskLogistic(0.0032402,0.033236,_xll.RiskTruncate(-0.99,0.99),_xll.RiskCorrmat(NewMatrix2,1,"11/1/2022"))</f>
        <v>3.2400012649181908E-3</v>
      </c>
      <c r="CQ83" s="8">
        <f ca="1">_xll.RiskLogistic(0.0032402,0.033236,_xll.RiskTruncate(-0.99,0.99),_xll.RiskCorrmat(NewMatrix2,1,"12/1/2022"))</f>
        <v>3.2400012649181908E-3</v>
      </c>
      <c r="CR83" s="8">
        <f ca="1">_xll.RiskLogistic(0.0032402,0.033236,_xll.RiskTruncate(-0.99,0.99),_xll.RiskCorrmat(NewMatrix2,1,"1/1/2023"))</f>
        <v>3.2400012649181908E-3</v>
      </c>
      <c r="CS83" s="8">
        <f ca="1">_xll.RiskLogistic(0.0032402,0.033236,_xll.RiskTruncate(-0.99,0.99),_xll.RiskCorrmat(NewMatrix2,1,"2/1/2023"))</f>
        <v>3.2400012649181908E-3</v>
      </c>
      <c r="CT83" s="8">
        <f ca="1">_xll.RiskLogistic(0.0032402,0.033236,_xll.RiskTruncate(-0.99,0.99),_xll.RiskCorrmat(NewMatrix2,1,"3/1/2023"))</f>
        <v>3.2400012649181908E-3</v>
      </c>
      <c r="CU83" s="8">
        <f ca="1">_xll.RiskLogistic(0.0032402,0.033236,_xll.RiskTruncate(-0.99,0.99),_xll.RiskCorrmat(NewMatrix2,1,"4/1/2023"))</f>
        <v>3.2400012649181908E-3</v>
      </c>
      <c r="CV83" s="8">
        <f ca="1">_xll.RiskLogistic(0.0032402,0.033236,_xll.RiskTruncate(-0.99,0.99),_xll.RiskCorrmat(NewMatrix2,1,"5/1/2023"))</f>
        <v>3.2400012649181908E-3</v>
      </c>
      <c r="CW83" s="8">
        <f ca="1">_xll.RiskLogistic(0.0032402,0.033236,_xll.RiskTruncate(-0.99,0.99),_xll.RiskCorrmat(NewMatrix2,1,"6/1/2023"))</f>
        <v>3.2400012649181908E-3</v>
      </c>
      <c r="CX83" s="8">
        <f ca="1">_xll.RiskLogistic(0.0032402,0.033236,_xll.RiskTruncate(-0.99,0.99),_xll.RiskCorrmat(NewMatrix2,1,"7/1/2023"))</f>
        <v>3.2400012649181908E-3</v>
      </c>
      <c r="CY83" s="8">
        <f ca="1">_xll.RiskLogistic(0.0032402,0.033236,_xll.RiskTruncate(-0.99,0.99),_xll.RiskCorrmat(NewMatrix2,1,"8/1/2023"))</f>
        <v>3.2400012649181908E-3</v>
      </c>
      <c r="CZ83" s="8">
        <f ca="1">_xll.RiskLogistic(0.0032402,0.033236,_xll.RiskTruncate(-0.99,0.99),_xll.RiskCorrmat(NewMatrix2,1,"9/1/2023"))</f>
        <v>3.2400012649181908E-3</v>
      </c>
      <c r="DA83" s="8">
        <f ca="1">_xll.RiskLogistic(0.0032402,0.033236,_xll.RiskTruncate(-0.99,0.99),_xll.RiskCorrmat(NewMatrix2,1,"10/1/2023"))</f>
        <v>3.2400012649181908E-3</v>
      </c>
      <c r="DB83" s="8">
        <f ca="1">_xll.RiskLogistic(0.0032402,0.033236,_xll.RiskTruncate(-0.99,0.99),_xll.RiskCorrmat(NewMatrix2,1,"11/1/2023"))</f>
        <v>3.2400012649181908E-3</v>
      </c>
      <c r="DC83" s="8">
        <f ca="1">_xll.RiskLogistic(0.0032402,0.033236,_xll.RiskTruncate(-0.99,0.99),_xll.RiskCorrmat(NewMatrix2,1,"12/1/2023"))</f>
        <v>3.2400012649181908E-3</v>
      </c>
      <c r="DD83" s="8">
        <f ca="1">_xll.RiskLogistic(0.0032402,0.033236,_xll.RiskTruncate(-0.99,0.99),_xll.RiskCorrmat(NewMatrix2,1,"1/1/2024"))</f>
        <v>3.2400012649181908E-3</v>
      </c>
      <c r="DE83" s="8">
        <f ca="1">_xll.RiskLogistic(0.0032402,0.033236,_xll.RiskTruncate(-0.99,0.99),_xll.RiskCorrmat(NewMatrix2,1,"2/1/2024"))</f>
        <v>3.2400012649181908E-3</v>
      </c>
      <c r="DF83" s="8">
        <f ca="1">_xll.RiskLogistic(0.0032402,0.033236,_xll.RiskTruncate(-0.99,0.99),_xll.RiskCorrmat(NewMatrix2,1,"3/1/2024"))</f>
        <v>3.2400012649181908E-3</v>
      </c>
      <c r="DG83" s="8">
        <f ca="1">_xll.RiskLogistic(0.0032402,0.033236,_xll.RiskTruncate(-0.99,0.99),_xll.RiskCorrmat(NewMatrix2,1,"4/1/2024"))</f>
        <v>3.2400012649181908E-3</v>
      </c>
      <c r="DH83" s="8">
        <f ca="1">_xll.RiskLogistic(0.0032402,0.033236,_xll.RiskTruncate(-0.99,0.99),_xll.RiskCorrmat(NewMatrix2,1,"5/1/2024"))</f>
        <v>3.2400012649181908E-3</v>
      </c>
      <c r="DI83" s="8">
        <f ca="1">_xll.RiskLogistic(0.0032402,0.033236,_xll.RiskTruncate(-0.99,0.99),_xll.RiskCorrmat(NewMatrix2,1,"6/1/2024"))</f>
        <v>3.2400012649181908E-3</v>
      </c>
      <c r="DJ83" s="8">
        <f ca="1">_xll.RiskLogistic(0.0032402,0.033236,_xll.RiskTruncate(-0.99,0.99),_xll.RiskCorrmat(NewMatrix2,1,"7/1/2024"))</f>
        <v>3.2400012649181908E-3</v>
      </c>
      <c r="DK83" s="8">
        <f ca="1">_xll.RiskLogistic(0.0032402,0.033236,_xll.RiskTruncate(-0.99,0.99),_xll.RiskCorrmat(NewMatrix2,1,"8/1/2024"))</f>
        <v>3.2400012649181908E-3</v>
      </c>
      <c r="DL83" s="8">
        <f ca="1">_xll.RiskLogistic(0.0032402,0.033236,_xll.RiskTruncate(-0.99,0.99),_xll.RiskCorrmat(NewMatrix2,1,"9/1/2024"))</f>
        <v>3.2400012649181908E-3</v>
      </c>
      <c r="DM83" s="8">
        <f ca="1">_xll.RiskLogistic(0.0032402,0.033236,_xll.RiskTruncate(-0.99,0.99),_xll.RiskCorrmat(NewMatrix2,1,"10/1/2024"))</f>
        <v>3.2400012649181908E-3</v>
      </c>
      <c r="DN83" s="8">
        <f ca="1">_xll.RiskLogistic(0.0032402,0.033236,_xll.RiskTruncate(-0.99,0.99),_xll.RiskCorrmat(NewMatrix2,1,"11/1/2024"))</f>
        <v>3.2400012649181908E-3</v>
      </c>
      <c r="DO83" s="8">
        <f ca="1">_xll.RiskLogistic(0.0032402,0.033236,_xll.RiskTruncate(-0.99,0.99),_xll.RiskCorrmat(NewMatrix2,1,"12/1/2024"))</f>
        <v>3.2400012649181908E-3</v>
      </c>
      <c r="DP83" s="8">
        <f ca="1">_xll.RiskLogistic(0.0032402,0.033236,_xll.RiskTruncate(-0.99,0.99),_xll.RiskCorrmat(NewMatrix2,1,"1/1/2025"))</f>
        <v>3.2400012649181908E-3</v>
      </c>
      <c r="DQ83" s="8">
        <f ca="1">_xll.RiskLogistic(0.0032402,0.033236,_xll.RiskTruncate(-0.99,0.99),_xll.RiskCorrmat(NewMatrix2,1,"2/1/2025"))</f>
        <v>3.2400012649181908E-3</v>
      </c>
      <c r="DR83" s="8">
        <f ca="1">_xll.RiskLogistic(0.0032402,0.033236,_xll.RiskTruncate(-0.99,0.99),_xll.RiskCorrmat(NewMatrix2,1,"3/1/2025"))</f>
        <v>3.2400012649181908E-3</v>
      </c>
      <c r="DS83" s="8">
        <f ca="1">_xll.RiskLogistic(0.0032402,0.033236,_xll.RiskTruncate(-0.99,0.99),_xll.RiskCorrmat(NewMatrix2,1,"4/1/2025"))</f>
        <v>3.2400012649181908E-3</v>
      </c>
      <c r="DT83" s="8">
        <f ca="1">_xll.RiskLogistic(0.0032402,0.033236,_xll.RiskTruncate(-0.99,0.99),_xll.RiskCorrmat(NewMatrix2,1,"5/1/2025"))</f>
        <v>3.2400012649181908E-3</v>
      </c>
      <c r="DU83" s="8">
        <f ca="1">_xll.RiskLogistic(0.0032402,0.033236,_xll.RiskTruncate(-0.99,0.99),_xll.RiskCorrmat(NewMatrix2,1,"6/1/2025"))</f>
        <v>3.2400012649181908E-3</v>
      </c>
      <c r="DV83" s="8">
        <f ca="1">_xll.RiskLogistic(0.0032402,0.033236,_xll.RiskTruncate(-0.99,0.99),_xll.RiskCorrmat(NewMatrix2,1,"7/1/2025"))</f>
        <v>3.2400012649181908E-3</v>
      </c>
      <c r="DW83" s="8">
        <f ca="1">_xll.RiskLogistic(0.0032402,0.033236,_xll.RiskTruncate(-0.99,0.99),_xll.RiskCorrmat(NewMatrix2,1,"8/1/2025"))</f>
        <v>3.2400012649181908E-3</v>
      </c>
      <c r="DX83" s="8">
        <f ca="1">_xll.RiskLogistic(0.0032402,0.033236,_xll.RiskTruncate(-0.99,0.99),_xll.RiskCorrmat(NewMatrix2,1,"9/1/2025"))</f>
        <v>3.2400012649181908E-3</v>
      </c>
      <c r="DY83" s="8">
        <f ca="1">_xll.RiskLogistic(0.0032402,0.033236,_xll.RiskTruncate(-0.99,0.99),_xll.RiskCorrmat(NewMatrix2,1,"10/1/2025"))</f>
        <v>3.2400012649181908E-3</v>
      </c>
      <c r="DZ83" s="8">
        <f ca="1">_xll.RiskLogistic(0.0032402,0.033236,_xll.RiskTruncate(-0.99,0.99),_xll.RiskCorrmat(NewMatrix2,1,"11/1/2025"))</f>
        <v>3.2400012649181908E-3</v>
      </c>
      <c r="EA83" s="8">
        <f ca="1">_xll.RiskLogistic(0.0032402,0.033236,_xll.RiskTruncate(-0.99,0.99),_xll.RiskCorrmat(NewMatrix2,1,"12/1/2025"))</f>
        <v>3.2400012649181908E-3</v>
      </c>
      <c r="EB83" s="8">
        <f ca="1">_xll.RiskLogistic(0.0032402,0.033236,_xll.RiskTruncate(-0.99,0.99),_xll.RiskCorrmat(NewMatrix2,1,"1/1/2026"))</f>
        <v>3.2400012649181908E-3</v>
      </c>
      <c r="EC83" s="8">
        <f ca="1">_xll.RiskLogistic(0.0032402,0.033236,_xll.RiskTruncate(-0.99,0.99),_xll.RiskCorrmat(NewMatrix2,1,"2/1/2026"))</f>
        <v>3.2400012649181908E-3</v>
      </c>
      <c r="ED83" s="8">
        <f ca="1">_xll.RiskLogistic(0.0032402,0.033236,_xll.RiskTruncate(-0.99,0.99),_xll.RiskCorrmat(NewMatrix2,1,"3/1/2026"))</f>
        <v>3.2400012649181908E-3</v>
      </c>
      <c r="EE83" s="8">
        <f ca="1">_xll.RiskLogistic(0.0032402,0.033236,_xll.RiskTruncate(-0.99,0.99),_xll.RiskCorrmat(NewMatrix2,1,"4/1/2026"))</f>
        <v>3.2400012649181908E-3</v>
      </c>
      <c r="EF83" s="8">
        <f ca="1">_xll.RiskLogistic(0.0032402,0.033236,_xll.RiskTruncate(-0.99,0.99),_xll.RiskCorrmat(NewMatrix2,1,"5/1/2026"))</f>
        <v>3.2400012649181908E-3</v>
      </c>
      <c r="EG83" s="8">
        <f ca="1">_xll.RiskLogistic(0.0032402,0.033236,_xll.RiskTruncate(-0.99,0.99),_xll.RiskCorrmat(NewMatrix2,1,"6/1/2026"))</f>
        <v>3.2400012649181908E-3</v>
      </c>
      <c r="EH83" s="8">
        <f ca="1">_xll.RiskLogistic(0.0032402,0.033236,_xll.RiskTruncate(-0.99,0.99),_xll.RiskCorrmat(NewMatrix2,1,"7/1/2026"))</f>
        <v>3.2400012649181908E-3</v>
      </c>
      <c r="EI83" s="8">
        <f ca="1">_xll.RiskLogistic(0.0032402,0.033236,_xll.RiskTruncate(-0.99,0.99),_xll.RiskCorrmat(NewMatrix2,1,"8/1/2026"))</f>
        <v>3.2400012649181908E-3</v>
      </c>
      <c r="EJ83" s="8">
        <f ca="1">_xll.RiskLogistic(0.0032402,0.033236,_xll.RiskTruncate(-0.99,0.99),_xll.RiskCorrmat(NewMatrix2,1,"9/1/2026"))</f>
        <v>3.2400012649181908E-3</v>
      </c>
      <c r="EK83" s="8">
        <f ca="1">_xll.RiskLogistic(0.0032402,0.033236,_xll.RiskTruncate(-0.99,0.99),_xll.RiskCorrmat(NewMatrix2,1,"10/1/2026"))</f>
        <v>3.2400012649181908E-3</v>
      </c>
      <c r="EL83" s="8">
        <f ca="1">_xll.RiskLogistic(0.0032402,0.033236,_xll.RiskTruncate(-0.99,0.99),_xll.RiskCorrmat(NewMatrix2,1,"11/1/2026"))</f>
        <v>3.2400012649181908E-3</v>
      </c>
      <c r="EM83" s="8">
        <f ca="1">_xll.RiskLogistic(0.0032402,0.033236,_xll.RiskTruncate(-0.99,0.99),_xll.RiskCorrmat(NewMatrix2,1,"12/1/2026"))</f>
        <v>3.2400012649181908E-3</v>
      </c>
      <c r="EN83" s="8">
        <f ca="1">_xll.RiskLogistic(0.0032402,0.033236,_xll.RiskTruncate(-0.99,0.99),_xll.RiskCorrmat(NewMatrix2,1,"1/1/2027"))</f>
        <v>3.2400012649181908E-3</v>
      </c>
      <c r="EO83" s="8">
        <f ca="1">_xll.RiskLogistic(0.0032402,0.033236,_xll.RiskTruncate(-0.99,0.99),_xll.RiskCorrmat(NewMatrix2,1,"2/1/2027"))</f>
        <v>3.2400012649181908E-3</v>
      </c>
      <c r="EP83" s="8">
        <f ca="1">_xll.RiskLogistic(0.0032402,0.033236,_xll.RiskTruncate(-0.99,0.99),_xll.RiskCorrmat(NewMatrix2,1,"3/1/2027"))</f>
        <v>3.2400012649181908E-3</v>
      </c>
      <c r="EQ83" s="8">
        <f ca="1">_xll.RiskLogistic(0.0032402,0.033236,_xll.RiskTruncate(-0.99,0.99),_xll.RiskCorrmat(NewMatrix2,1,"4/1/2027"))</f>
        <v>3.2400012649181908E-3</v>
      </c>
      <c r="ER83" s="8">
        <f ca="1">_xll.RiskLogistic(0.0032402,0.033236,_xll.RiskTruncate(-0.99,0.99),_xll.RiskCorrmat(NewMatrix2,1,"5/1/2027"))</f>
        <v>3.2400012649181908E-3</v>
      </c>
      <c r="ES83" s="8">
        <f ca="1">_xll.RiskLogistic(0.0032402,0.033236,_xll.RiskTruncate(-0.99,0.99),_xll.RiskCorrmat(NewMatrix2,1,"6/1/2027"))</f>
        <v>3.2400012649181908E-3</v>
      </c>
      <c r="ET83" s="8">
        <f ca="1">_xll.RiskLogistic(0.0032402,0.033236,_xll.RiskTruncate(-0.99,0.99),_xll.RiskCorrmat(NewMatrix2,1,"7/1/2027"))</f>
        <v>3.2400012649181908E-3</v>
      </c>
      <c r="EU83" s="8">
        <f ca="1">_xll.RiskLogistic(0.0032402,0.033236,_xll.RiskTruncate(-0.99,0.99),_xll.RiskCorrmat(NewMatrix2,1,"8/1/2027"))</f>
        <v>3.2400012649181908E-3</v>
      </c>
      <c r="EV83" s="8">
        <f ca="1">_xll.RiskLogistic(0.0032402,0.033236,_xll.RiskTruncate(-0.99,0.99),_xll.RiskCorrmat(NewMatrix2,1,"9/1/2027"))</f>
        <v>3.2400012649181908E-3</v>
      </c>
      <c r="EW83" s="8">
        <f ca="1">_xll.RiskLogistic(0.0032402,0.033236,_xll.RiskTruncate(-0.99,0.99),_xll.RiskCorrmat(NewMatrix2,1,"10/1/2027"))</f>
        <v>3.2400012649181908E-3</v>
      </c>
      <c r="EX83" s="8">
        <f ca="1">_xll.RiskLogistic(0.0032402,0.033236,_xll.RiskTruncate(-0.99,0.99),_xll.RiskCorrmat(NewMatrix2,1,"11/1/2027"))</f>
        <v>3.2400012649181908E-3</v>
      </c>
      <c r="EY83" s="8">
        <f ca="1">_xll.RiskLogistic(0.0032402,0.033236,_xll.RiskTruncate(-0.99,0.99),_xll.RiskCorrmat(NewMatrix2,1,"12/1/2027"))</f>
        <v>3.2400012649181908E-3</v>
      </c>
      <c r="EZ83" s="8">
        <f ca="1">_xll.RiskLogistic(0.0032402,0.033236,_xll.RiskTruncate(-0.99,0.99),_xll.RiskCorrmat(NewMatrix2,1,"1/1/2028"))</f>
        <v>3.2400012649181908E-3</v>
      </c>
      <c r="FA83" s="8">
        <f ca="1">_xll.RiskLogistic(0.0032402,0.033236,_xll.RiskTruncate(-0.99,0.99),_xll.RiskCorrmat(NewMatrix2,1,"2/1/2028"))</f>
        <v>3.2400012649181908E-3</v>
      </c>
      <c r="FB83" s="8">
        <f ca="1">_xll.RiskLogistic(0.0032402,0.033236,_xll.RiskTruncate(-0.99,0.99),_xll.RiskCorrmat(NewMatrix2,1,"3/1/2028"))</f>
        <v>3.2400012649181908E-3</v>
      </c>
      <c r="FC83" s="8">
        <f ca="1">_xll.RiskLogistic(0.0032402,0.033236,_xll.RiskTruncate(-0.99,0.99),_xll.RiskCorrmat(NewMatrix2,1,"4/1/2028"))</f>
        <v>3.2400012649181908E-3</v>
      </c>
      <c r="FD83" s="8">
        <f ca="1">_xll.RiskLogistic(0.0032402,0.033236,_xll.RiskTruncate(-0.99,0.99),_xll.RiskCorrmat(NewMatrix2,1,"5/1/2028"))</f>
        <v>3.2400012649181908E-3</v>
      </c>
      <c r="FE83" s="8">
        <f ca="1">_xll.RiskLogistic(0.0032402,0.033236,_xll.RiskTruncate(-0.99,0.99),_xll.RiskCorrmat(NewMatrix2,1,"6/1/2028"))</f>
        <v>3.2400012649181908E-3</v>
      </c>
      <c r="FF83" s="8">
        <f ca="1">_xll.RiskLogistic(0.0032402,0.033236,_xll.RiskTruncate(-0.99,0.99),_xll.RiskCorrmat(NewMatrix2,1,"7/1/2028"))</f>
        <v>3.2400012649181908E-3</v>
      </c>
      <c r="FG83" s="8">
        <f ca="1">_xll.RiskLogistic(0.0032402,0.033236,_xll.RiskTruncate(-0.99,0.99),_xll.RiskCorrmat(NewMatrix2,1,"8/1/2028"))</f>
        <v>3.2400012649181908E-3</v>
      </c>
      <c r="FH83" s="8">
        <f ca="1">_xll.RiskLogistic(0.0032402,0.033236,_xll.RiskTruncate(-0.99,0.99),_xll.RiskCorrmat(NewMatrix2,1,"9/1/2028"))</f>
        <v>3.2400012649181908E-3</v>
      </c>
      <c r="FI83" s="8">
        <f ca="1">_xll.RiskLogistic(0.0032402,0.033236,_xll.RiskTruncate(-0.99,0.99),_xll.RiskCorrmat(NewMatrix2,1,"10/1/2028"))</f>
        <v>3.2400012649181908E-3</v>
      </c>
      <c r="FJ83" s="8">
        <f ca="1">_xll.RiskLogistic(0.0032402,0.033236,_xll.RiskTruncate(-0.99,0.99),_xll.RiskCorrmat(NewMatrix2,1,"11/1/2028"))</f>
        <v>3.2400012649181908E-3</v>
      </c>
      <c r="FK83" s="8">
        <f ca="1">_xll.RiskLogistic(0.0032402,0.033236,_xll.RiskTruncate(-0.99,0.99),_xll.RiskCorrmat(NewMatrix2,1,"12/1/2028"))</f>
        <v>3.2400012649181908E-3</v>
      </c>
      <c r="FL83" s="8">
        <f ca="1">_xll.RiskLogistic(0.0032402,0.033236,_xll.RiskTruncate(-0.99,0.99),_xll.RiskCorrmat(NewMatrix2,1,"1/1/2029"))</f>
        <v>3.2400012649181908E-3</v>
      </c>
      <c r="FM83" s="8">
        <f ca="1">_xll.RiskLogistic(0.0032402,0.033236,_xll.RiskTruncate(-0.99,0.99),_xll.RiskCorrmat(NewMatrix2,1,"2/1/2029"))</f>
        <v>3.2400012649181908E-3</v>
      </c>
      <c r="FN83" s="8">
        <f ca="1">_xll.RiskLogistic(0.0032402,0.033236,_xll.RiskTruncate(-0.99,0.99),_xll.RiskCorrmat(NewMatrix2,1,"3/1/2029"))</f>
        <v>3.2400012649181908E-3</v>
      </c>
      <c r="FO83" s="8">
        <f ca="1">_xll.RiskLogistic(0.0032402,0.033236,_xll.RiskTruncate(-0.99,0.99),_xll.RiskCorrmat(NewMatrix2,1,"4/1/2029"))</f>
        <v>3.2400012649181908E-3</v>
      </c>
      <c r="FP83" s="8">
        <f ca="1">_xll.RiskLogistic(0.0032402,0.033236,_xll.RiskTruncate(-0.99,0.99),_xll.RiskCorrmat(NewMatrix2,1,"5/1/2029"))</f>
        <v>3.2400012649181908E-3</v>
      </c>
      <c r="FQ83" s="8">
        <f ca="1">_xll.RiskLogistic(0.0032402,0.033236,_xll.RiskTruncate(-0.99,0.99),_xll.RiskCorrmat(NewMatrix2,1,"6/1/2029"))</f>
        <v>3.2400012649181908E-3</v>
      </c>
      <c r="FR83" s="8">
        <f ca="1">_xll.RiskLogistic(0.0032402,0.033236,_xll.RiskTruncate(-0.99,0.99),_xll.RiskCorrmat(NewMatrix2,1,"7/1/2029"))</f>
        <v>3.2400012649181908E-3</v>
      </c>
      <c r="FS83" s="8">
        <f ca="1">_xll.RiskLogistic(0.0032402,0.033236,_xll.RiskTruncate(-0.99,0.99),_xll.RiskCorrmat(NewMatrix2,1,"8/1/2029"))</f>
        <v>3.2400012649181908E-3</v>
      </c>
      <c r="FT83" s="8">
        <f ca="1">_xll.RiskLogistic(0.0032402,0.033236,_xll.RiskTruncate(-0.99,0.99),_xll.RiskCorrmat(NewMatrix2,1,"9/1/2029"))</f>
        <v>3.2400012649181908E-3</v>
      </c>
      <c r="FU83" s="8">
        <f ca="1">_xll.RiskLogistic(0.0032402,0.033236,_xll.RiskTruncate(-0.99,0.99),_xll.RiskCorrmat(NewMatrix2,1,"10/1/2029"))</f>
        <v>3.2400012649181908E-3</v>
      </c>
      <c r="FV83" s="8">
        <f ca="1">_xll.RiskLogistic(0.0032402,0.033236,_xll.RiskTruncate(-0.99,0.99),_xll.RiskCorrmat(NewMatrix2,1,"11/1/2029"))</f>
        <v>3.2400012649181908E-3</v>
      </c>
      <c r="FW83" s="8">
        <f ca="1">_xll.RiskLogistic(0.0032402,0.033236,_xll.RiskTruncate(-0.99,0.99),_xll.RiskCorrmat(NewMatrix2,1,"12/1/2029"))</f>
        <v>3.2400012649181908E-3</v>
      </c>
      <c r="FX83" s="8">
        <f ca="1">_xll.RiskLogistic(0.0032402,0.033236,_xll.RiskTruncate(-0.99,0.99),_xll.RiskCorrmat(NewMatrix2,1,"1/1/2030"))</f>
        <v>3.2400012649181908E-3</v>
      </c>
      <c r="FY83" s="8">
        <f ca="1">_xll.RiskLogistic(0.0032402,0.033236,_xll.RiskTruncate(-0.99,0.99),_xll.RiskCorrmat(NewMatrix2,1,"2/1/2030"))</f>
        <v>3.2400012649181908E-3</v>
      </c>
      <c r="FZ83" s="8">
        <f ca="1">_xll.RiskLogistic(0.0032402,0.033236,_xll.RiskTruncate(-0.99,0.99),_xll.RiskCorrmat(NewMatrix2,1,"3/1/2030"))</f>
        <v>3.2400012649181908E-3</v>
      </c>
      <c r="GA83" s="8">
        <f ca="1">_xll.RiskLogistic(0.0032402,0.033236,_xll.RiskTruncate(-0.99,0.99),_xll.RiskCorrmat(NewMatrix2,1,"4/1/2030"))</f>
        <v>3.2400012649181908E-3</v>
      </c>
      <c r="GB83" s="8">
        <f ca="1">_xll.RiskLogistic(0.0032402,0.033236,_xll.RiskTruncate(-0.99,0.99),_xll.RiskCorrmat(NewMatrix2,1,"5/1/2030"))</f>
        <v>3.2400012649181908E-3</v>
      </c>
      <c r="GC83" s="8">
        <f ca="1">_xll.RiskLogistic(0.0032402,0.033236,_xll.RiskTruncate(-0.99,0.99),_xll.RiskCorrmat(NewMatrix2,1,"6/1/2030"))</f>
        <v>3.2400012649181908E-3</v>
      </c>
      <c r="GD83" s="8">
        <f ca="1">_xll.RiskLogistic(0.0032402,0.033236,_xll.RiskTruncate(-0.99,0.99),_xll.RiskCorrmat(NewMatrix2,1,"7/1/2030"))</f>
        <v>3.2400012649181908E-3</v>
      </c>
      <c r="GE83" s="8">
        <f ca="1">_xll.RiskLogistic(0.0032402,0.033236,_xll.RiskTruncate(-0.99,0.99),_xll.RiskCorrmat(NewMatrix2,1,"8/1/2030"))</f>
        <v>3.2400012649181908E-3</v>
      </c>
      <c r="GF83" s="8">
        <f ca="1">_xll.RiskLogistic(0.0032402,0.033236,_xll.RiskTruncate(-0.99,0.99),_xll.RiskCorrmat(NewMatrix2,1,"9/1/2030"))</f>
        <v>3.2400012649181908E-3</v>
      </c>
      <c r="GG83" s="8">
        <f ca="1">_xll.RiskLogistic(0.0032402,0.033236,_xll.RiskTruncate(-0.99,0.99),_xll.RiskCorrmat(NewMatrix2,1,"10/1/2030"))</f>
        <v>3.2400012649181908E-3</v>
      </c>
      <c r="GH83" s="8">
        <f ca="1">_xll.RiskLogistic(0.0032402,0.033236,_xll.RiskTruncate(-0.99,0.99),_xll.RiskCorrmat(NewMatrix2,1,"11/1/2030"))</f>
        <v>3.2400012649181908E-3</v>
      </c>
      <c r="GI83" s="8">
        <f ca="1">_xll.RiskLogistic(0.0032402,0.033236,_xll.RiskTruncate(-0.99,0.99),_xll.RiskCorrmat(NewMatrix2,1,"12/1/2030"))</f>
        <v>3.2400012649181908E-3</v>
      </c>
      <c r="GJ83" s="8">
        <f ca="1">_xll.RiskLogistic(0.0032402,0.033236,_xll.RiskTruncate(-0.99,0.99),_xll.RiskCorrmat(NewMatrix2,1,"1/1/2031"))</f>
        <v>3.2400012649181908E-3</v>
      </c>
      <c r="GK83" s="8">
        <f ca="1">_xll.RiskLogistic(0.0032402,0.033236,_xll.RiskTruncate(-0.99,0.99),_xll.RiskCorrmat(NewMatrix2,1,"2/1/2031"))</f>
        <v>3.2400012649181908E-3</v>
      </c>
      <c r="GL83" s="8">
        <f ca="1">_xll.RiskLogistic(0.0032402,0.033236,_xll.RiskTruncate(-0.99,0.99),_xll.RiskCorrmat(NewMatrix2,1,"3/1/2031"))</f>
        <v>3.2400012649181908E-3</v>
      </c>
      <c r="GM83" s="8">
        <f ca="1">_xll.RiskLogistic(0.0032402,0.033236,_xll.RiskTruncate(-0.99,0.99),_xll.RiskCorrmat(NewMatrix2,1,"4/1/2031"))</f>
        <v>3.2400012649181908E-3</v>
      </c>
      <c r="GN83" s="8">
        <f ca="1">_xll.RiskLogistic(0.0032402,0.033236,_xll.RiskTruncate(-0.99,0.99),_xll.RiskCorrmat(NewMatrix2,1,"5/1/2031"))</f>
        <v>3.2400012649181908E-3</v>
      </c>
      <c r="GO83" s="8">
        <f ca="1">_xll.RiskLogistic(0.0032402,0.033236,_xll.RiskTruncate(-0.99,0.99),_xll.RiskCorrmat(NewMatrix2,1,"6/1/2031"))</f>
        <v>3.2400012649181908E-3</v>
      </c>
      <c r="GP83" s="8">
        <f ca="1">_xll.RiskLogistic(0.0032402,0.033236,_xll.RiskTruncate(-0.99,0.99),_xll.RiskCorrmat(NewMatrix2,1,"7/1/2031"))</f>
        <v>3.2400012649181908E-3</v>
      </c>
      <c r="GQ83" s="8">
        <f ca="1">_xll.RiskLogistic(0.0032402,0.033236,_xll.RiskTruncate(-0.99,0.99),_xll.RiskCorrmat(NewMatrix2,1,"8/1/2031"))</f>
        <v>3.2400012649181908E-3</v>
      </c>
      <c r="GR83" s="8">
        <f ca="1">_xll.RiskLogistic(0.0032402,0.033236,_xll.RiskTruncate(-0.99,0.99),_xll.RiskCorrmat(NewMatrix2,1,"9/1/2031"))</f>
        <v>3.2400012649181908E-3</v>
      </c>
      <c r="GS83" s="8">
        <f ca="1">_xll.RiskLogistic(0.0032402,0.033236,_xll.RiskTruncate(-0.99,0.99),_xll.RiskCorrmat(NewMatrix2,1,"10/1/2031"))</f>
        <v>3.2400012649181908E-3</v>
      </c>
      <c r="GT83" s="8">
        <f ca="1">_xll.RiskLogistic(0.0032402,0.033236,_xll.RiskTruncate(-0.99,0.99),_xll.RiskCorrmat(NewMatrix2,1,"11/1/2031"))</f>
        <v>3.2400012649181908E-3</v>
      </c>
      <c r="GU83" s="8">
        <f ca="1">_xll.RiskLogistic(0.0032402,0.033236,_xll.RiskTruncate(-0.99,0.99),_xll.RiskCorrmat(NewMatrix2,1,"12/1/2031"))</f>
        <v>3.2400012649181908E-3</v>
      </c>
      <c r="GV83" s="8">
        <f ca="1">_xll.RiskLogistic(0.0032402,0.033236,_xll.RiskTruncate(-0.99,0.99),_xll.RiskCorrmat(NewMatrix2,1,"1/1/2032"))</f>
        <v>3.2400012649181908E-3</v>
      </c>
      <c r="GW83" s="8">
        <f ca="1">_xll.RiskLogistic(0.0032402,0.033236,_xll.RiskTruncate(-0.99,0.99),_xll.RiskCorrmat(NewMatrix2,1,"2/1/2032"))</f>
        <v>3.2400012649181908E-3</v>
      </c>
      <c r="GX83" s="8">
        <f ca="1">_xll.RiskLogistic(0.0032402,0.033236,_xll.RiskTruncate(-0.99,0.99),_xll.RiskCorrmat(NewMatrix2,1,"3/1/2032"))</f>
        <v>3.2400012649181908E-3</v>
      </c>
      <c r="GY83" s="8">
        <f ca="1">_xll.RiskLogistic(0.0032402,0.033236,_xll.RiskTruncate(-0.99,0.99),_xll.RiskCorrmat(NewMatrix2,1,"4/1/2032"))</f>
        <v>3.2400012649181908E-3</v>
      </c>
      <c r="GZ83" s="8">
        <f ca="1">_xll.RiskLogistic(0.0032402,0.033236,_xll.RiskTruncate(-0.99,0.99),_xll.RiskCorrmat(NewMatrix2,1,"5/1/2032"))</f>
        <v>3.2400012649181908E-3</v>
      </c>
      <c r="HA83" s="8">
        <f ca="1">_xll.RiskLogistic(0.0032402,0.033236,_xll.RiskTruncate(-0.99,0.99),_xll.RiskCorrmat(NewMatrix2,1,"6/1/2032"))</f>
        <v>3.2400012649181908E-3</v>
      </c>
      <c r="HB83" s="8">
        <f ca="1">_xll.RiskLogistic(0.0032402,0.033236,_xll.RiskTruncate(-0.99,0.99),_xll.RiskCorrmat(NewMatrix2,1,"7/1/2032"))</f>
        <v>3.2400012649181908E-3</v>
      </c>
      <c r="HC83" s="8">
        <f ca="1">_xll.RiskLogistic(0.0032402,0.033236,_xll.RiskTruncate(-0.99,0.99),_xll.RiskCorrmat(NewMatrix2,1,"8/1/2032"))</f>
        <v>3.2400012649181908E-3</v>
      </c>
      <c r="HD83" s="8">
        <f ca="1">_xll.RiskLogistic(0.0032402,0.033236,_xll.RiskTruncate(-0.99,0.99),_xll.RiskCorrmat(NewMatrix2,1,"9/1/2032"))</f>
        <v>3.2400012649181908E-3</v>
      </c>
      <c r="HE83" s="8">
        <f ca="1">_xll.RiskLogistic(0.0032402,0.033236,_xll.RiskTruncate(-0.99,0.99),_xll.RiskCorrmat(NewMatrix2,1,"10/1/2032"))</f>
        <v>3.2400012649181908E-3</v>
      </c>
      <c r="HF83" s="8">
        <f ca="1">_xll.RiskLogistic(0.0032402,0.033236,_xll.RiskTruncate(-0.99,0.99),_xll.RiskCorrmat(NewMatrix2,1,"11/1/2032"))</f>
        <v>3.2400012649181908E-3</v>
      </c>
      <c r="HG83" s="8">
        <f ca="1">_xll.RiskLogistic(0.0032402,0.033236,_xll.RiskTruncate(-0.99,0.99),_xll.RiskCorrmat(NewMatrix2,1,"12/1/2032"))</f>
        <v>3.2400012649181908E-3</v>
      </c>
      <c r="HH83" s="8">
        <f ca="1">_xll.RiskLogistic(0.0032402,0.033236,_xll.RiskTruncate(-0.99,0.99),_xll.RiskCorrmat(NewMatrix2,1,"1/1/2033"))</f>
        <v>3.2400012649181908E-3</v>
      </c>
      <c r="HI83" s="8">
        <f ca="1">_xll.RiskLogistic(0.0032402,0.033236,_xll.RiskTruncate(-0.99,0.99),_xll.RiskCorrmat(NewMatrix2,1,"2/1/2033"))</f>
        <v>3.2400012649181908E-3</v>
      </c>
      <c r="HJ83" s="8">
        <f ca="1">_xll.RiskLogistic(0.0032402,0.033236,_xll.RiskTruncate(-0.99,0.99),_xll.RiskCorrmat(NewMatrix2,1,"3/1/2033"))</f>
        <v>3.2400012649181908E-3</v>
      </c>
      <c r="HK83" s="8">
        <f ca="1">_xll.RiskLogistic(0.0032402,0.033236,_xll.RiskTruncate(-0.99,0.99),_xll.RiskCorrmat(NewMatrix2,1,"4/1/2033"))</f>
        <v>3.2400012649181908E-3</v>
      </c>
      <c r="HL83" s="8">
        <f ca="1">_xll.RiskLogistic(0.0032402,0.033236,_xll.RiskTruncate(-0.99,0.99),_xll.RiskCorrmat(NewMatrix2,1,"5/1/2033"))</f>
        <v>3.2400012649181908E-3</v>
      </c>
      <c r="HM83" s="8">
        <f ca="1">_xll.RiskLogistic(0.0032402,0.033236,_xll.RiskTruncate(-0.99,0.99),_xll.RiskCorrmat(NewMatrix2,1,"6/1/2033"))</f>
        <v>3.2400012649181908E-3</v>
      </c>
      <c r="HN83" s="8">
        <f ca="1">_xll.RiskLogistic(0.0032402,0.033236,_xll.RiskTruncate(-0.99,0.99),_xll.RiskCorrmat(NewMatrix2,1,"7/1/2033"))</f>
        <v>3.2400012649181908E-3</v>
      </c>
      <c r="HO83" s="8">
        <f ca="1">_xll.RiskLogistic(0.0032402,0.033236,_xll.RiskTruncate(-0.99,0.99),_xll.RiskCorrmat(NewMatrix2,1,"8/1/2033"))</f>
        <v>3.2400012649181908E-3</v>
      </c>
      <c r="HP83" s="8">
        <f ca="1">_xll.RiskLogistic(0.0032402,0.033236,_xll.RiskTruncate(-0.99,0.99),_xll.RiskCorrmat(NewMatrix2,1,"9/1/2033"))</f>
        <v>3.2400012649181908E-3</v>
      </c>
      <c r="HQ83" s="8">
        <f ca="1">_xll.RiskLogistic(0.0032402,0.033236,_xll.RiskTruncate(-0.99,0.99),_xll.RiskCorrmat(NewMatrix2,1,"10/1/2033"))</f>
        <v>3.2400012649181908E-3</v>
      </c>
      <c r="HR83" s="8">
        <f ca="1">_xll.RiskLogistic(0.0032402,0.033236,_xll.RiskTruncate(-0.99,0.99),_xll.RiskCorrmat(NewMatrix2,1,"11/1/2033"))</f>
        <v>3.2400012649181908E-3</v>
      </c>
      <c r="HS83" s="8">
        <f ca="1">_xll.RiskLogistic(0.0032402,0.033236,_xll.RiskTruncate(-0.99,0.99),_xll.RiskCorrmat(NewMatrix2,1,"12/1/2033"))</f>
        <v>3.2400012649181908E-3</v>
      </c>
      <c r="HT83" s="8">
        <f ca="1">_xll.RiskLogistic(0.0032402,0.033236,_xll.RiskTruncate(-0.99,0.99),_xll.RiskCorrmat(NewMatrix2,1,"1/1/2034"))</f>
        <v>3.2400012649181908E-3</v>
      </c>
      <c r="HU83" s="8">
        <f ca="1">_xll.RiskLogistic(0.0032402,0.033236,_xll.RiskTruncate(-0.99,0.99),_xll.RiskCorrmat(NewMatrix2,1,"2/1/2034"))</f>
        <v>3.2400012649181908E-3</v>
      </c>
      <c r="HV83" s="8">
        <f ca="1">_xll.RiskLogistic(0.0032402,0.033236,_xll.RiskTruncate(-0.99,0.99),_xll.RiskCorrmat(NewMatrix2,1,"3/1/2034"))</f>
        <v>3.2400012649181908E-3</v>
      </c>
      <c r="HW83" s="8">
        <f ca="1">_xll.RiskLogistic(0.0032402,0.033236,_xll.RiskTruncate(-0.99,0.99),_xll.RiskCorrmat(NewMatrix2,1,"4/1/2034"))</f>
        <v>3.2400012649181908E-3</v>
      </c>
      <c r="HX83" s="8">
        <f ca="1">_xll.RiskLogistic(0.0032402,0.033236,_xll.RiskTruncate(-0.99,0.99),_xll.RiskCorrmat(NewMatrix2,1,"5/1/2034"))</f>
        <v>3.2400012649181908E-3</v>
      </c>
      <c r="HY83" s="8">
        <f ca="1">_xll.RiskLogistic(0.0032402,0.033236,_xll.RiskTruncate(-0.99,0.99),_xll.RiskCorrmat(NewMatrix2,1,"6/1/2034"))</f>
        <v>3.2400012649181908E-3</v>
      </c>
      <c r="HZ83" s="8">
        <f ca="1">_xll.RiskLogistic(0.0032402,0.033236,_xll.RiskTruncate(-0.99,0.99),_xll.RiskCorrmat(NewMatrix2,1,"7/1/2034"))</f>
        <v>3.2400012649181908E-3</v>
      </c>
      <c r="IA83" s="8">
        <f ca="1">_xll.RiskLogistic(0.0032402,0.033236,_xll.RiskTruncate(-0.99,0.99),_xll.RiskCorrmat(NewMatrix2,1,"8/1/2034"))</f>
        <v>3.2400012649181908E-3</v>
      </c>
      <c r="IB83" s="8">
        <f ca="1">_xll.RiskLogistic(0.0032402,0.033236,_xll.RiskTruncate(-0.99,0.99),_xll.RiskCorrmat(NewMatrix2,1,"9/1/2034"))</f>
        <v>3.2400012649181908E-3</v>
      </c>
      <c r="IC83" s="8">
        <f ca="1">_xll.RiskLogistic(0.0032402,0.033236,_xll.RiskTruncate(-0.99,0.99),_xll.RiskCorrmat(NewMatrix2,1,"10/1/2034"))</f>
        <v>3.2400012649181908E-3</v>
      </c>
      <c r="ID83" s="8">
        <f ca="1">_xll.RiskLogistic(0.0032402,0.033236,_xll.RiskTruncate(-0.99,0.99),_xll.RiskCorrmat(NewMatrix2,1,"11/1/2034"))</f>
        <v>3.2400012649181908E-3</v>
      </c>
      <c r="IE83" s="8">
        <f ca="1">_xll.RiskLogistic(0.0032402,0.033236,_xll.RiskTruncate(-0.99,0.99),_xll.RiskCorrmat(NewMatrix2,1,"12/1/2034"))</f>
        <v>3.2400012649181908E-3</v>
      </c>
      <c r="IF83" s="8">
        <f ca="1">_xll.RiskLogistic(0.0032402,0.033236,_xll.RiskTruncate(-0.99,0.99),_xll.RiskCorrmat(NewMatrix2,1,"1/1/2035"))</f>
        <v>3.2400012649181908E-3</v>
      </c>
      <c r="IG83" s="8">
        <f ca="1">_xll.RiskLogistic(0.0032402,0.033236,_xll.RiskTruncate(-0.99,0.99),_xll.RiskCorrmat(NewMatrix2,1,"2/1/2035"))</f>
        <v>3.2400012649181908E-3</v>
      </c>
      <c r="IH83" s="8">
        <f ca="1">_xll.RiskLogistic(0.0032402,0.033236,_xll.RiskTruncate(-0.99,0.99),_xll.RiskCorrmat(NewMatrix2,1,"3/1/2035"))</f>
        <v>3.2400012649181908E-3</v>
      </c>
      <c r="II83" s="8">
        <f ca="1">_xll.RiskLogistic(0.0032402,0.033236,_xll.RiskTruncate(-0.99,0.99),_xll.RiskCorrmat(NewMatrix2,1,"4/1/2035"))</f>
        <v>3.2400012649181908E-3</v>
      </c>
      <c r="IJ83" s="8">
        <f ca="1">_xll.RiskLogistic(0.0032402,0.033236,_xll.RiskTruncate(-0.99,0.99),_xll.RiskCorrmat(NewMatrix2,1,"5/1/2035"))</f>
        <v>3.2400012649181908E-3</v>
      </c>
      <c r="IK83" s="8">
        <f ca="1">_xll.RiskLogistic(0.0032402,0.033236,_xll.RiskTruncate(-0.99,0.99),_xll.RiskCorrmat(NewMatrix2,1,"6/1/2035"))</f>
        <v>3.2400012649181908E-3</v>
      </c>
      <c r="IL83" s="8">
        <f ca="1">_xll.RiskLogistic(0.0032402,0.033236,_xll.RiskTruncate(-0.99,0.99),_xll.RiskCorrmat(NewMatrix2,1,"7/1/2035"))</f>
        <v>3.2400012649181908E-3</v>
      </c>
      <c r="IM83" s="8">
        <f ca="1">_xll.RiskLogistic(0.0032402,0.033236,_xll.RiskTruncate(-0.99,0.99),_xll.RiskCorrmat(NewMatrix2,1,"8/1/2035"))</f>
        <v>3.2400012649181908E-3</v>
      </c>
      <c r="IN83" s="8">
        <f ca="1">_xll.RiskLogistic(0.0032402,0.033236,_xll.RiskTruncate(-0.99,0.99),_xll.RiskCorrmat(NewMatrix2,1,"9/1/2035"))</f>
        <v>3.2400012649181908E-3</v>
      </c>
      <c r="IO83" s="8">
        <f ca="1">_xll.RiskLogistic(0.0032402,0.033236,_xll.RiskTruncate(-0.99,0.99),_xll.RiskCorrmat(NewMatrix2,1,"10/1/2035"))</f>
        <v>3.2400012649181908E-3</v>
      </c>
      <c r="IP83" s="8">
        <f ca="1">_xll.RiskLogistic(0.0032402,0.033236,_xll.RiskTruncate(-0.99,0.99),_xll.RiskCorrmat(NewMatrix2,1,"11/1/2035"))</f>
        <v>3.2400012649181908E-3</v>
      </c>
      <c r="IQ83" s="8">
        <f ca="1">_xll.RiskLogistic(0.0032402,0.033236,_xll.RiskTruncate(-0.99,0.99),_xll.RiskCorrmat(NewMatrix2,1,"12/1/2035"))</f>
        <v>3.2400012649181908E-3</v>
      </c>
      <c r="IR83" s="8">
        <f ca="1">_xll.RiskLogistic(0.0032402,0.033236,_xll.RiskTruncate(-0.99,0.99),_xll.RiskCorrmat(NewMatrix2,1,"1/1/2036"))</f>
        <v>3.2400012649181908E-3</v>
      </c>
      <c r="IS83" s="8">
        <f ca="1">_xll.RiskLogistic(0.0032402,0.033236,_xll.RiskTruncate(-0.99,0.99),_xll.RiskCorrmat(NewMatrix2,1,"2/1/2036"))</f>
        <v>3.2400012649181908E-3</v>
      </c>
      <c r="IT83" s="8">
        <f ca="1">_xll.RiskLogistic(0.0032402,0.033236,_xll.RiskTruncate(-0.99,0.99),_xll.RiskCorrmat(NewMatrix2,1,"3/1/2036"))</f>
        <v>3.2400012649181908E-3</v>
      </c>
      <c r="IU83" s="8">
        <f ca="1">_xll.RiskLogistic(0.0032402,0.033236,_xll.RiskTruncate(-0.99,0.99),_xll.RiskCorrmat(NewMatrix2,1,"4/1/2036"))</f>
        <v>3.2400012649181908E-3</v>
      </c>
      <c r="IV83" s="8">
        <f ca="1">_xll.RiskLogistic(0.0032402,0.033236,_xll.RiskTruncate(-0.99,0.99),_xll.RiskCorrmat(NewMatrix2,1,"5/1/2036"))</f>
        <v>3.2400012649181908E-3</v>
      </c>
      <c r="IW83" s="8">
        <f ca="1">_xll.RiskLogistic(0.0032402,0.033236,_xll.RiskTruncate(-0.99,0.99),_xll.RiskCorrmat(NewMatrix2,1,"6/1/2036"))</f>
        <v>3.2400012649181908E-3</v>
      </c>
      <c r="IX83" s="8">
        <f ca="1">_xll.RiskLogistic(0.0032402,0.033236,_xll.RiskTruncate(-0.99,0.99),_xll.RiskCorrmat(NewMatrix2,1,"7/1/2036"))</f>
        <v>3.2400012649181908E-3</v>
      </c>
      <c r="IY83" s="8">
        <f ca="1">_xll.RiskLogistic(0.0032402,0.033236,_xll.RiskTruncate(-0.99,0.99),_xll.RiskCorrmat(NewMatrix2,1,"8/1/2036"))</f>
        <v>3.2400012649181908E-3</v>
      </c>
      <c r="IZ83" s="8">
        <f ca="1">_xll.RiskLogistic(0.0032402,0.033236,_xll.RiskTruncate(-0.99,0.99),_xll.RiskCorrmat(NewMatrix2,1,"9/1/2036"))</f>
        <v>3.2400012649181908E-3</v>
      </c>
      <c r="JA83" s="8">
        <f ca="1">_xll.RiskLogistic(0.0032402,0.033236,_xll.RiskTruncate(-0.99,0.99),_xll.RiskCorrmat(NewMatrix2,1,"10/1/2036"))</f>
        <v>3.2400012649181908E-3</v>
      </c>
      <c r="JB83" s="8">
        <f ca="1">_xll.RiskLogistic(0.0032402,0.033236,_xll.RiskTruncate(-0.99,0.99),_xll.RiskCorrmat(NewMatrix2,1,"11/1/2036"))</f>
        <v>3.2400012649181908E-3</v>
      </c>
      <c r="JC83" s="8">
        <f ca="1">_xll.RiskLogistic(0.0032402,0.033236,_xll.RiskTruncate(-0.99,0.99),_xll.RiskCorrmat(NewMatrix2,1,"12/1/2036"))</f>
        <v>3.2400012649181908E-3</v>
      </c>
      <c r="JD83" s="8">
        <f ca="1">_xll.RiskLogistic(0.0032402,0.033236,_xll.RiskTruncate(-0.99,0.99),_xll.RiskCorrmat(NewMatrix2,1,"1/1/2037"))</f>
        <v>3.2400012649181908E-3</v>
      </c>
      <c r="JE83" s="8">
        <f ca="1">_xll.RiskLogistic(0.0032402,0.033236,_xll.RiskTruncate(-0.99,0.99),_xll.RiskCorrmat(NewMatrix2,1,"2/1/2037"))</f>
        <v>3.2400012649181908E-3</v>
      </c>
      <c r="JF83" s="8">
        <f ca="1">_xll.RiskLogistic(0.0032402,0.033236,_xll.RiskTruncate(-0.99,0.99),_xll.RiskCorrmat(NewMatrix2,1,"3/1/2037"))</f>
        <v>3.2400012649181908E-3</v>
      </c>
      <c r="JG83" s="8">
        <f ca="1">_xll.RiskLogistic(0.0032402,0.033236,_xll.RiskTruncate(-0.99,0.99),_xll.RiskCorrmat(NewMatrix2,1,"4/1/2037"))</f>
        <v>3.2400012649181908E-3</v>
      </c>
      <c r="JH83" s="8">
        <f ca="1">_xll.RiskLogistic(0.0032402,0.033236,_xll.RiskTruncate(-0.99,0.99),_xll.RiskCorrmat(NewMatrix2,1,"5/1/2037"))</f>
        <v>3.2400012649181908E-3</v>
      </c>
      <c r="JI83" s="8">
        <f ca="1">_xll.RiskLogistic(0.0032402,0.033236,_xll.RiskTruncate(-0.99,0.99),_xll.RiskCorrmat(NewMatrix2,1,"6/1/2037"))</f>
        <v>3.2400012649181908E-3</v>
      </c>
      <c r="JJ83" s="8">
        <f ca="1">_xll.RiskLogistic(0.0032402,0.033236,_xll.RiskTruncate(-0.99,0.99),_xll.RiskCorrmat(NewMatrix2,1,"7/1/2037"))</f>
        <v>3.2400012649181908E-3</v>
      </c>
      <c r="JK83" s="8">
        <f ca="1">_xll.RiskLogistic(0.0032402,0.033236,_xll.RiskTruncate(-0.99,0.99),_xll.RiskCorrmat(NewMatrix2,1,"8/1/2037"))</f>
        <v>3.2400012649181908E-3</v>
      </c>
      <c r="JL83" s="8">
        <f ca="1">_xll.RiskLogistic(0.0032402,0.033236,_xll.RiskTruncate(-0.99,0.99),_xll.RiskCorrmat(NewMatrix2,1,"9/1/2037"))</f>
        <v>3.2400012649181908E-3</v>
      </c>
      <c r="JM83" s="8">
        <f ca="1">_xll.RiskLogistic(0.0032402,0.033236,_xll.RiskTruncate(-0.99,0.99),_xll.RiskCorrmat(NewMatrix2,1,"10/1/2037"))</f>
        <v>3.2400012649181908E-3</v>
      </c>
      <c r="JN83" s="8">
        <f ca="1">_xll.RiskLogistic(0.0032402,0.033236,_xll.RiskTruncate(-0.99,0.99),_xll.RiskCorrmat(NewMatrix2,1,"11/1/2037"))</f>
        <v>3.2400012649181908E-3</v>
      </c>
      <c r="JO83" s="8">
        <f ca="1">_xll.RiskLogistic(0.0032402,0.033236,_xll.RiskTruncate(-0.99,0.99),_xll.RiskCorrmat(NewMatrix2,1,"12/1/2037"))</f>
        <v>3.2400012649181908E-3</v>
      </c>
      <c r="JP83" s="8">
        <f ca="1">_xll.RiskLogistic(0.0032402,0.033236,_xll.RiskTruncate(-0.99,0.99),_xll.RiskCorrmat(NewMatrix2,1,"1/1/2038"))</f>
        <v>3.2400012649181908E-3</v>
      </c>
      <c r="JQ83" s="8">
        <f ca="1">_xll.RiskLogistic(0.0032402,0.033236,_xll.RiskTruncate(-0.99,0.99),_xll.RiskCorrmat(NewMatrix2,1,"2/1/2038"))</f>
        <v>3.2400012649181908E-3</v>
      </c>
      <c r="JR83" s="8">
        <f ca="1">_xll.RiskLogistic(0.0032402,0.033236,_xll.RiskTruncate(-0.99,0.99),_xll.RiskCorrmat(NewMatrix2,1,"3/1/2038"))</f>
        <v>3.2400012649181908E-3</v>
      </c>
      <c r="JS83" s="8">
        <f ca="1">_xll.RiskLogistic(0.0032402,0.033236,_xll.RiskTruncate(-0.99,0.99),_xll.RiskCorrmat(NewMatrix2,1,"4/1/2038"))</f>
        <v>3.2400012649181908E-3</v>
      </c>
      <c r="JT83" s="8">
        <f ca="1">_xll.RiskLogistic(0.0032402,0.033236,_xll.RiskTruncate(-0.99,0.99),_xll.RiskCorrmat(NewMatrix2,1,"5/1/2038"))</f>
        <v>3.2400012649181908E-3</v>
      </c>
      <c r="JU83" s="8">
        <f ca="1">_xll.RiskLogistic(0.0032402,0.033236,_xll.RiskTruncate(-0.99,0.99),_xll.RiskCorrmat(NewMatrix2,1,"6/1/2038"))</f>
        <v>3.2400012649181908E-3</v>
      </c>
      <c r="JV83" s="8">
        <f ca="1">_xll.RiskLogistic(0.0032402,0.033236,_xll.RiskTruncate(-0.99,0.99),_xll.RiskCorrmat(NewMatrix2,1,"7/1/2038"))</f>
        <v>3.2400012649181908E-3</v>
      </c>
      <c r="JW83" s="8">
        <f ca="1">_xll.RiskLogistic(0.0032402,0.033236,_xll.RiskTruncate(-0.99,0.99),_xll.RiskCorrmat(NewMatrix2,1,"8/1/2038"))</f>
        <v>3.2400012649181908E-3</v>
      </c>
      <c r="JX83" s="8">
        <f ca="1">_xll.RiskLogistic(0.0032402,0.033236,_xll.RiskTruncate(-0.99,0.99),_xll.RiskCorrmat(NewMatrix2,1,"9/1/2038"))</f>
        <v>3.2400012649181908E-3</v>
      </c>
      <c r="JY83" s="8">
        <f ca="1">_xll.RiskLogistic(0.0032402,0.033236,_xll.RiskTruncate(-0.99,0.99),_xll.RiskCorrmat(NewMatrix2,1,"10/1/2038"))</f>
        <v>3.2400012649181908E-3</v>
      </c>
      <c r="JZ83" s="8">
        <f ca="1">_xll.RiskLogistic(0.0032402,0.033236,_xll.RiskTruncate(-0.99,0.99),_xll.RiskCorrmat(NewMatrix2,1,"11/1/2038"))</f>
        <v>3.2400012649181908E-3</v>
      </c>
      <c r="KA83" s="8">
        <f ca="1">_xll.RiskLogistic(0.0032402,0.033236,_xll.RiskTruncate(-0.99,0.99),_xll.RiskCorrmat(NewMatrix2,1,"12/1/2038"))</f>
        <v>3.2400012649181908E-3</v>
      </c>
      <c r="KB83" s="8">
        <f ca="1">_xll.RiskLogistic(0.0032402,0.033236,_xll.RiskTruncate(-0.99,0.99),_xll.RiskCorrmat(NewMatrix2,1,"1/1/2039"))</f>
        <v>3.2400012649181908E-3</v>
      </c>
      <c r="KC83" s="8">
        <f ca="1">_xll.RiskLogistic(0.0032402,0.033236,_xll.RiskTruncate(-0.99,0.99),_xll.RiskCorrmat(NewMatrix2,1,"2/1/2039"))</f>
        <v>3.2400012649181908E-3</v>
      </c>
      <c r="KD83" s="8">
        <f ca="1">_xll.RiskLogistic(0.0032402,0.033236,_xll.RiskTruncate(-0.99,0.99),_xll.RiskCorrmat(NewMatrix2,1,"3/1/2039"))</f>
        <v>3.2400012649181908E-3</v>
      </c>
      <c r="KE83" s="8">
        <f ca="1">_xll.RiskLogistic(0.0032402,0.033236,_xll.RiskTruncate(-0.99,0.99),_xll.RiskCorrmat(NewMatrix2,1,"4/1/2039"))</f>
        <v>3.2400012649181908E-3</v>
      </c>
      <c r="KF83" s="8">
        <f ca="1">_xll.RiskLogistic(0.0032402,0.033236,_xll.RiskTruncate(-0.99,0.99),_xll.RiskCorrmat(NewMatrix2,1,"5/1/2039"))</f>
        <v>3.2400012649181908E-3</v>
      </c>
      <c r="KG83" s="8">
        <f ca="1">_xll.RiskLogistic(0.0032402,0.033236,_xll.RiskTruncate(-0.99,0.99),_xll.RiskCorrmat(NewMatrix2,1,"6/1/2039"))</f>
        <v>3.2400012649181908E-3</v>
      </c>
      <c r="KH83" s="8">
        <f ca="1">_xll.RiskLogistic(0.0032402,0.033236,_xll.RiskTruncate(-0.99,0.99),_xll.RiskCorrmat(NewMatrix2,1,"7/1/2039"))</f>
        <v>3.2400012649181908E-3</v>
      </c>
      <c r="KI83" s="8">
        <f ca="1">_xll.RiskLogistic(0.0032402,0.033236,_xll.RiskTruncate(-0.99,0.99),_xll.RiskCorrmat(NewMatrix2,1,"8/1/2039"))</f>
        <v>3.2400012649181908E-3</v>
      </c>
      <c r="KJ83" s="8">
        <f ca="1">_xll.RiskLogistic(0.0032402,0.033236,_xll.RiskTruncate(-0.99,0.99),_xll.RiskCorrmat(NewMatrix2,1,"9/1/2039"))</f>
        <v>3.2400012649181908E-3</v>
      </c>
      <c r="KK83" s="8">
        <f ca="1">_xll.RiskLogistic(0.0032402,0.033236,_xll.RiskTruncate(-0.99,0.99),_xll.RiskCorrmat(NewMatrix2,1,"10/1/2039"))</f>
        <v>3.2400012649181908E-3</v>
      </c>
      <c r="KL83" s="8">
        <f ca="1">_xll.RiskLogistic(0.0032402,0.033236,_xll.RiskTruncate(-0.99,0.99),_xll.RiskCorrmat(NewMatrix2,1,"11/1/2039"))</f>
        <v>3.2400012649181908E-3</v>
      </c>
      <c r="KM83" s="8">
        <f ca="1">_xll.RiskLogistic(0.0032402,0.033236,_xll.RiskTruncate(-0.99,0.99),_xll.RiskCorrmat(NewMatrix2,1,"12/1/2039"))</f>
        <v>3.2400012649181908E-3</v>
      </c>
      <c r="KN83" s="8">
        <f ca="1">_xll.RiskLogistic(0.0032402,0.033236,_xll.RiskTruncate(-0.99,0.99),_xll.RiskCorrmat(NewMatrix2,1,"1/1/2040"))</f>
        <v>3.2400012649181908E-3</v>
      </c>
      <c r="KO83" s="8">
        <f ca="1">_xll.RiskLogistic(0.0032402,0.033236,_xll.RiskTruncate(-0.99,0.99),_xll.RiskCorrmat(NewMatrix2,1,"2/1/2040"))</f>
        <v>3.2400012649181908E-3</v>
      </c>
      <c r="KP83" s="8">
        <f ca="1">_xll.RiskLogistic(0.0032402,0.033236,_xll.RiskTruncate(-0.99,0.99),_xll.RiskCorrmat(NewMatrix2,1,"3/1/2040"))</f>
        <v>3.2400012649181908E-3</v>
      </c>
      <c r="KQ83" s="8">
        <f ca="1">_xll.RiskLogistic(0.0032402,0.033236,_xll.RiskTruncate(-0.99,0.99),_xll.RiskCorrmat(NewMatrix2,1,"4/1/2040"))</f>
        <v>3.2400012649181908E-3</v>
      </c>
      <c r="KR83" s="8">
        <f ca="1">_xll.RiskLogistic(0.0032402,0.033236,_xll.RiskTruncate(-0.99,0.99),_xll.RiskCorrmat(NewMatrix2,1,"5/1/2040"))</f>
        <v>3.2400012649181908E-3</v>
      </c>
      <c r="KS83" s="8">
        <f ca="1">_xll.RiskLogistic(0.0032402,0.033236,_xll.RiskTruncate(-0.99,0.99),_xll.RiskCorrmat(NewMatrix2,1,"6/1/2040"))</f>
        <v>3.2400012649181908E-3</v>
      </c>
      <c r="KT83" s="8">
        <f ca="1">_xll.RiskLogistic(0.0032402,0.033236,_xll.RiskTruncate(-0.99,0.99),_xll.RiskCorrmat(NewMatrix2,1,"7/1/2040"))</f>
        <v>3.2400012649181908E-3</v>
      </c>
      <c r="KU83" s="8">
        <f ca="1">_xll.RiskLogistic(0.0032402,0.033236,_xll.RiskTruncate(-0.99,0.99),_xll.RiskCorrmat(NewMatrix2,1,"8/1/2040"))</f>
        <v>3.2400012649181908E-3</v>
      </c>
      <c r="KV83" s="8">
        <f ca="1">_xll.RiskLogistic(0.0032402,0.033236,_xll.RiskTruncate(-0.99,0.99),_xll.RiskCorrmat(NewMatrix2,1,"9/1/2040"))</f>
        <v>3.2400012649181908E-3</v>
      </c>
      <c r="KW83" s="8">
        <f ca="1">_xll.RiskLogistic(0.0032402,0.033236,_xll.RiskTruncate(-0.99,0.99),_xll.RiskCorrmat(NewMatrix2,1,"10/1/2040"))</f>
        <v>3.2400012649181908E-3</v>
      </c>
      <c r="KX83" s="8">
        <f ca="1">_xll.RiskLogistic(0.0032402,0.033236,_xll.RiskTruncate(-0.99,0.99),_xll.RiskCorrmat(NewMatrix2,1,"11/1/2040"))</f>
        <v>3.2400012649181908E-3</v>
      </c>
      <c r="KY83" s="8">
        <f ca="1">_xll.RiskLogistic(0.0032402,0.033236,_xll.RiskTruncate(-0.99,0.99),_xll.RiskCorrmat(NewMatrix2,1,"12/1/2040"))</f>
        <v>3.2400012649181908E-3</v>
      </c>
      <c r="KZ83" s="8">
        <f ca="1">_xll.RiskLogistic(0.0032402,0.033236,_xll.RiskTruncate(-0.99,0.99),_xll.RiskCorrmat(NewMatrix2,1,"1/1/2041"))</f>
        <v>3.2400012649181908E-3</v>
      </c>
      <c r="LA83" s="8">
        <f ca="1">_xll.RiskLogistic(0.0032402,0.033236,_xll.RiskTruncate(-0.99,0.99),_xll.RiskCorrmat(NewMatrix2,1,"2/1/2041"))</f>
        <v>3.2400012649181908E-3</v>
      </c>
      <c r="LB83" s="8">
        <f ca="1">_xll.RiskLogistic(0.0032402,0.033236,_xll.RiskTruncate(-0.99,0.99),_xll.RiskCorrmat(NewMatrix2,1,"3/1/2041"))</f>
        <v>3.2400012649181908E-3</v>
      </c>
      <c r="LC83" s="8">
        <f ca="1">_xll.RiskLogistic(0.0032402,0.033236,_xll.RiskTruncate(-0.99,0.99),_xll.RiskCorrmat(NewMatrix2,1,"4/1/2041"))</f>
        <v>3.2400012649181908E-3</v>
      </c>
      <c r="LD83" s="8">
        <f ca="1">_xll.RiskLogistic(0.0032402,0.033236,_xll.RiskTruncate(-0.99,0.99),_xll.RiskCorrmat(NewMatrix2,1,"5/1/2041"))</f>
        <v>3.2400012649181908E-3</v>
      </c>
      <c r="LE83" s="8">
        <f ca="1">_xll.RiskLogistic(0.0032402,0.033236,_xll.RiskTruncate(-0.99,0.99),_xll.RiskCorrmat(NewMatrix2,1,"6/1/2041"))</f>
        <v>3.2400012649181908E-3</v>
      </c>
      <c r="LF83" s="8">
        <f ca="1">_xll.RiskLogistic(0.0032402,0.033236,_xll.RiskTruncate(-0.99,0.99),_xll.RiskCorrmat(NewMatrix2,1,"7/1/2041"))</f>
        <v>3.2400012649181908E-3</v>
      </c>
      <c r="LG83" s="8">
        <f ca="1">_xll.RiskLogistic(0.0032402,0.033236,_xll.RiskTruncate(-0.99,0.99),_xll.RiskCorrmat(NewMatrix2,1,"8/1/2041"))</f>
        <v>3.2400012649181908E-3</v>
      </c>
      <c r="LH83" s="8">
        <f ca="1">_xll.RiskLogistic(0.0032402,0.033236,_xll.RiskTruncate(-0.99,0.99),_xll.RiskCorrmat(NewMatrix2,1,"9/1/2041"))</f>
        <v>3.2400012649181908E-3</v>
      </c>
      <c r="LI83" s="8">
        <f ca="1">_xll.RiskLogistic(0.0032402,0.033236,_xll.RiskTruncate(-0.99,0.99),_xll.RiskCorrmat(NewMatrix2,1,"10/1/2041"))</f>
        <v>3.2400012649181908E-3</v>
      </c>
      <c r="LJ83" s="8">
        <f ca="1">_xll.RiskLogistic(0.0032402,0.033236,_xll.RiskTruncate(-0.99,0.99),_xll.RiskCorrmat(NewMatrix2,1,"11/1/2041"))</f>
        <v>3.2400012649181908E-3</v>
      </c>
      <c r="LK83" s="8">
        <f ca="1">_xll.RiskLogistic(0.0032402,0.033236,_xll.RiskTruncate(-0.99,0.99),_xll.RiskCorrmat(NewMatrix2,1,"12/1/2041"))</f>
        <v>3.2400012649181908E-3</v>
      </c>
      <c r="LL83" s="8">
        <f ca="1">_xll.RiskLogistic(0.0032402,0.033236,_xll.RiskTruncate(-0.99,0.99),_xll.RiskCorrmat(NewMatrix2,1,"1/1/2042"))</f>
        <v>3.2400012649181908E-3</v>
      </c>
      <c r="LM83" s="8">
        <f ca="1">_xll.RiskLogistic(0.0032402,0.033236,_xll.RiskTruncate(-0.99,0.99),_xll.RiskCorrmat(NewMatrix2,1,"2/1/2042"))</f>
        <v>3.2400012649181908E-3</v>
      </c>
      <c r="LN83" s="8">
        <f ca="1">_xll.RiskLogistic(0.0032402,0.033236,_xll.RiskTruncate(-0.99,0.99),_xll.RiskCorrmat(NewMatrix2,1,"3/1/2042"))</f>
        <v>3.2400012649181908E-3</v>
      </c>
      <c r="LO83" s="8">
        <f ca="1">_xll.RiskLogistic(0.0032402,0.033236,_xll.RiskTruncate(-0.99,0.99),_xll.RiskCorrmat(NewMatrix2,1,"4/1/2042"))</f>
        <v>3.2400012649181908E-3</v>
      </c>
      <c r="LP83" s="8">
        <f ca="1">_xll.RiskLogistic(0.0032402,0.033236,_xll.RiskTruncate(-0.99,0.99),_xll.RiskCorrmat(NewMatrix2,1,"5/1/2042"))</f>
        <v>3.2400012649181908E-3</v>
      </c>
      <c r="LQ83" s="8">
        <f ca="1">_xll.RiskLogistic(0.0032402,0.033236,_xll.RiskTruncate(-0.99,0.99),_xll.RiskCorrmat(NewMatrix2,1,"6/1/2042"))</f>
        <v>3.2400012649181908E-3</v>
      </c>
      <c r="LR83" s="8">
        <f ca="1">_xll.RiskLogistic(0.0032402,0.033236,_xll.RiskTruncate(-0.99,0.99),_xll.RiskCorrmat(NewMatrix2,1,"7/1/2042"))</f>
        <v>3.2400012649181908E-3</v>
      </c>
      <c r="LS83" s="8">
        <f ca="1">_xll.RiskLogistic(0.0032402,0.033236,_xll.RiskTruncate(-0.99,0.99),_xll.RiskCorrmat(NewMatrix2,1,"8/1/2042"))</f>
        <v>3.2400012649181908E-3</v>
      </c>
      <c r="LT83" s="8">
        <f ca="1">_xll.RiskLogistic(0.0032402,0.033236,_xll.RiskTruncate(-0.99,0.99),_xll.RiskCorrmat(NewMatrix2,1,"9/1/2042"))</f>
        <v>3.2400012649181908E-3</v>
      </c>
      <c r="LU83" s="8">
        <f ca="1">_xll.RiskLogistic(0.0032402,0.033236,_xll.RiskTruncate(-0.99,0.99),_xll.RiskCorrmat(NewMatrix2,1,"10/1/2042"))</f>
        <v>3.2400012649181908E-3</v>
      </c>
      <c r="LV83" s="8">
        <f ca="1">_xll.RiskLogistic(0.0032402,0.033236,_xll.RiskTruncate(-0.99,0.99),_xll.RiskCorrmat(NewMatrix2,1,"11/1/2042"))</f>
        <v>3.2400012649181908E-3</v>
      </c>
      <c r="LW83" s="8">
        <f ca="1">_xll.RiskLogistic(0.0032402,0.033236,_xll.RiskTruncate(-0.99,0.99),_xll.RiskCorrmat(NewMatrix2,1,"12/1/2042"))</f>
        <v>3.2400012649181908E-3</v>
      </c>
      <c r="LX83" s="8">
        <f ca="1">_xll.RiskLogistic(0.0032402,0.033236,_xll.RiskTruncate(-0.99,0.99),_xll.RiskCorrmat(NewMatrix2,1,"1/1/2043"))</f>
        <v>3.2400012649181908E-3</v>
      </c>
      <c r="LY83" s="8">
        <f ca="1">_xll.RiskLogistic(0.0032402,0.033236,_xll.RiskTruncate(-0.99,0.99),_xll.RiskCorrmat(NewMatrix2,1,"2/1/2043"))</f>
        <v>3.2400012649181908E-3</v>
      </c>
      <c r="LZ83" s="8">
        <f ca="1">_xll.RiskLogistic(0.0032402,0.033236,_xll.RiskTruncate(-0.99,0.99),_xll.RiskCorrmat(NewMatrix2,1,"3/1/2043"))</f>
        <v>3.2400012649181908E-3</v>
      </c>
      <c r="MA83" s="8">
        <f ca="1">_xll.RiskLogistic(0.0032402,0.033236,_xll.RiskTruncate(-0.99,0.99),_xll.RiskCorrmat(NewMatrix2,1,"4/1/2043"))</f>
        <v>3.2400012649181908E-3</v>
      </c>
      <c r="MB83" s="8">
        <f ca="1">_xll.RiskLogistic(0.0032402,0.033236,_xll.RiskTruncate(-0.99,0.99),_xll.RiskCorrmat(NewMatrix2,1,"5/1/2043"))</f>
        <v>3.2400012649181908E-3</v>
      </c>
      <c r="MC83" s="8">
        <f ca="1">_xll.RiskLogistic(0.0032402,0.033236,_xll.RiskTruncate(-0.99,0.99),_xll.RiskCorrmat(NewMatrix2,1,"6/1/2043"))</f>
        <v>3.2400012649181908E-3</v>
      </c>
      <c r="MD83" s="8">
        <f ca="1">_xll.RiskLogistic(0.0032402,0.033236,_xll.RiskTruncate(-0.99,0.99),_xll.RiskCorrmat(NewMatrix2,1,"7/1/2043"))</f>
        <v>3.2400012649181908E-3</v>
      </c>
      <c r="ME83" s="8">
        <f ca="1">_xll.RiskLogistic(0.0032402,0.033236,_xll.RiskTruncate(-0.99,0.99),_xll.RiskCorrmat(NewMatrix2,1,"8/1/2043"))</f>
        <v>3.2400012649181908E-3</v>
      </c>
      <c r="MF83" s="8">
        <f ca="1">_xll.RiskLogistic(0.0032402,0.033236,_xll.RiskTruncate(-0.99,0.99),_xll.RiskCorrmat(NewMatrix2,1,"9/1/2043"))</f>
        <v>3.2400012649181908E-3</v>
      </c>
      <c r="MG83" s="8">
        <f ca="1">_xll.RiskLogistic(0.0032402,0.033236,_xll.RiskTruncate(-0.99,0.99),_xll.RiskCorrmat(NewMatrix2,1,"10/1/2043"))</f>
        <v>3.2400012649181908E-3</v>
      </c>
      <c r="MH83" s="8">
        <f ca="1">_xll.RiskLogistic(0.0032402,0.033236,_xll.RiskTruncate(-0.99,0.99),_xll.RiskCorrmat(NewMatrix2,1,"11/1/2043"))</f>
        <v>3.2400012649181908E-3</v>
      </c>
      <c r="MI83" s="8">
        <f ca="1">_xll.RiskLogistic(0.0032402,0.033236,_xll.RiskTruncate(-0.99,0.99),_xll.RiskCorrmat(NewMatrix2,1,"12/1/2043"))</f>
        <v>3.2400012649181908E-3</v>
      </c>
      <c r="MJ83" s="8">
        <f ca="1">_xll.RiskLogistic(0.0032402,0.033236,_xll.RiskTruncate(-0.99,0.99),_xll.RiskCorrmat(NewMatrix2,1,"1/1/2044"))</f>
        <v>3.2400012649181908E-3</v>
      </c>
      <c r="MK83" s="8">
        <f ca="1">_xll.RiskLogistic(0.0032402,0.033236,_xll.RiskTruncate(-0.99,0.99),_xll.RiskCorrmat(NewMatrix2,1,"2/1/2044"))</f>
        <v>3.2400012649181908E-3</v>
      </c>
      <c r="ML83" s="8">
        <f ca="1">_xll.RiskLogistic(0.0032402,0.033236,_xll.RiskTruncate(-0.99,0.99),_xll.RiskCorrmat(NewMatrix2,1,"3/1/2044"))</f>
        <v>3.2400012649181908E-3</v>
      </c>
      <c r="MM83" s="8">
        <f ca="1">_xll.RiskLogistic(0.0032402,0.033236,_xll.RiskTruncate(-0.99,0.99),_xll.RiskCorrmat(NewMatrix2,1,"4/1/2044"))</f>
        <v>3.2400012649181908E-3</v>
      </c>
      <c r="MN83" s="8">
        <f ca="1">_xll.RiskLogistic(0.0032402,0.033236,_xll.RiskTruncate(-0.99,0.99),_xll.RiskCorrmat(NewMatrix2,1,"5/1/2044"))</f>
        <v>3.2400012649181908E-3</v>
      </c>
      <c r="MO83" s="8">
        <f ca="1">_xll.RiskLogistic(0.0032402,0.033236,_xll.RiskTruncate(-0.99,0.99),_xll.RiskCorrmat(NewMatrix2,1,"6/1/2044"))</f>
        <v>3.2400012649181908E-3</v>
      </c>
      <c r="MP83" s="8">
        <f ca="1">_xll.RiskLogistic(0.0032402,0.033236,_xll.RiskTruncate(-0.99,0.99),_xll.RiskCorrmat(NewMatrix2,1,"7/1/2044"))</f>
        <v>3.2400012649181908E-3</v>
      </c>
      <c r="MQ83" s="8">
        <f ca="1">_xll.RiskLogistic(0.0032402,0.033236,_xll.RiskTruncate(-0.99,0.99),_xll.RiskCorrmat(NewMatrix2,1,"8/1/2044"))</f>
        <v>3.2400012649181908E-3</v>
      </c>
      <c r="MR83" s="8">
        <f ca="1">_xll.RiskLogistic(0.0032402,0.033236,_xll.RiskTruncate(-0.99,0.99),_xll.RiskCorrmat(NewMatrix2,1,"9/1/2044"))</f>
        <v>3.2400012649181908E-3</v>
      </c>
      <c r="MS83" s="8">
        <f ca="1">_xll.RiskLogistic(0.0032402,0.033236,_xll.RiskTruncate(-0.99,0.99),_xll.RiskCorrmat(NewMatrix2,1,"10/1/2044"))</f>
        <v>3.2400012649181908E-3</v>
      </c>
      <c r="MT83" s="8">
        <f ca="1">_xll.RiskLogistic(0.0032402,0.033236,_xll.RiskTruncate(-0.99,0.99),_xll.RiskCorrmat(NewMatrix2,1,"11/1/2044"))</f>
        <v>3.2400012649181908E-3</v>
      </c>
      <c r="MU83" s="8">
        <f ca="1">_xll.RiskLogistic(0.0032402,0.033236,_xll.RiskTruncate(-0.99,0.99),_xll.RiskCorrmat(NewMatrix2,1,"12/1/2044"))</f>
        <v>3.2400012649181908E-3</v>
      </c>
      <c r="MV83" s="8">
        <f ca="1">_xll.RiskLogistic(0.0032402,0.033236,_xll.RiskTruncate(-0.99,0.99),_xll.RiskCorrmat(NewMatrix2,1,"1/1/2045"))</f>
        <v>3.2400012649181908E-3</v>
      </c>
      <c r="MW83" s="8">
        <f ca="1">_xll.RiskLogistic(0.0032402,0.033236,_xll.RiskTruncate(-0.99,0.99),_xll.RiskCorrmat(NewMatrix2,1,"2/1/2045"))</f>
        <v>3.2400012649181908E-3</v>
      </c>
      <c r="MX83" s="8">
        <f ca="1">_xll.RiskLogistic(0.0032402,0.033236,_xll.RiskTruncate(-0.99,0.99),_xll.RiskCorrmat(NewMatrix2,1,"3/1/2045"))</f>
        <v>3.2400012649181908E-3</v>
      </c>
      <c r="MY83" s="8">
        <f ca="1">_xll.RiskLogistic(0.0032402,0.033236,_xll.RiskTruncate(-0.99,0.99),_xll.RiskCorrmat(NewMatrix2,1,"4/1/2045"))</f>
        <v>3.2400012649181908E-3</v>
      </c>
      <c r="MZ83" s="8">
        <f ca="1">_xll.RiskLogistic(0.0032402,0.033236,_xll.RiskTruncate(-0.99,0.99),_xll.RiskCorrmat(NewMatrix2,1,"5/1/2045"))</f>
        <v>3.2400012649181908E-3</v>
      </c>
      <c r="NA83" s="8">
        <f ca="1">_xll.RiskLogistic(0.0032402,0.033236,_xll.RiskTruncate(-0.99,0.99),_xll.RiskCorrmat(NewMatrix2,1,"6/1/2045"))</f>
        <v>3.2400012649181908E-3</v>
      </c>
      <c r="NB83" s="8">
        <f ca="1">_xll.RiskLogistic(0.0032402,0.033236,_xll.RiskTruncate(-0.99,0.99),_xll.RiskCorrmat(NewMatrix2,1,"7/1/2045"))</f>
        <v>3.2400012649181908E-3</v>
      </c>
      <c r="NC83" s="8">
        <f ca="1">_xll.RiskLogistic(0.0032402,0.033236,_xll.RiskTruncate(-0.99,0.99),_xll.RiskCorrmat(NewMatrix2,1,"8/1/2045"))</f>
        <v>3.2400012649181908E-3</v>
      </c>
      <c r="ND83" s="8">
        <f ca="1">_xll.RiskLogistic(0.0032402,0.033236,_xll.RiskTruncate(-0.99,0.99),_xll.RiskCorrmat(NewMatrix2,1,"9/1/2045"))</f>
        <v>3.2400012649181908E-3</v>
      </c>
      <c r="NE83" s="8">
        <f ca="1">_xll.RiskLogistic(0.0032402,0.033236,_xll.RiskTruncate(-0.99,0.99),_xll.RiskCorrmat(NewMatrix2,1,"10/1/2045"))</f>
        <v>3.2400012649181908E-3</v>
      </c>
      <c r="NF83" s="8">
        <f ca="1">_xll.RiskLogistic(0.0032402,0.033236,_xll.RiskTruncate(-0.99,0.99),_xll.RiskCorrmat(NewMatrix2,1,"11/1/2045"))</f>
        <v>3.2400012649181908E-3</v>
      </c>
      <c r="NG83" s="8">
        <f ca="1">_xll.RiskLogistic(0.0032402,0.033236,_xll.RiskTruncate(-0.99,0.99),_xll.RiskCorrmat(NewMatrix2,1,"12/1/2045"))</f>
        <v>3.2400012649181908E-3</v>
      </c>
      <c r="NH83" s="8">
        <f ca="1">_xll.RiskLogistic(0.0032402,0.033236,_xll.RiskTruncate(-0.99,0.99),_xll.RiskCorrmat(NewMatrix2,1,"1/1/2046"))</f>
        <v>3.2400012649181908E-3</v>
      </c>
      <c r="NI83" s="8">
        <f ca="1">_xll.RiskLogistic(0.0032402,0.033236,_xll.RiskTruncate(-0.99,0.99),_xll.RiskCorrmat(NewMatrix2,1,"2/1/2046"))</f>
        <v>3.2400012649181908E-3</v>
      </c>
      <c r="NJ83" s="8">
        <f ca="1">_xll.RiskLogistic(0.0032402,0.033236,_xll.RiskTruncate(-0.99,0.99),_xll.RiskCorrmat(NewMatrix2,1,"3/1/2046"))</f>
        <v>3.2400012649181908E-3</v>
      </c>
      <c r="NK83" s="8">
        <f ca="1">_xll.RiskLogistic(0.0032402,0.033236,_xll.RiskTruncate(-0.99,0.99),_xll.RiskCorrmat(NewMatrix2,1,"4/1/2046"))</f>
        <v>3.2400012649181908E-3</v>
      </c>
      <c r="NL83" s="8">
        <f ca="1">_xll.RiskLogistic(0.0032402,0.033236,_xll.RiskTruncate(-0.99,0.99),_xll.RiskCorrmat(NewMatrix2,1,"5/1/2046"))</f>
        <v>3.2400012649181908E-3</v>
      </c>
      <c r="NM83" s="8">
        <f ca="1">_xll.RiskLogistic(0.0032402,0.033236,_xll.RiskTruncate(-0.99,0.99),_xll.RiskCorrmat(NewMatrix2,1,"6/1/2046"))</f>
        <v>3.2400012649181908E-3</v>
      </c>
      <c r="NN83" s="8">
        <f ca="1">_xll.RiskLogistic(0.0032402,0.033236,_xll.RiskTruncate(-0.99,0.99),_xll.RiskCorrmat(NewMatrix2,1,"7/1/2046"))</f>
        <v>3.2400012649181908E-3</v>
      </c>
      <c r="NO83" s="8">
        <f ca="1">_xll.RiskLogistic(0.0032402,0.033236,_xll.RiskTruncate(-0.99,0.99),_xll.RiskCorrmat(NewMatrix2,1,"8/1/2046"))</f>
        <v>3.2400012649181908E-3</v>
      </c>
      <c r="NP83" s="8">
        <f ca="1">_xll.RiskLogistic(0.0032402,0.033236,_xll.RiskTruncate(-0.99,0.99),_xll.RiskCorrmat(NewMatrix2,1,"9/1/2046"))</f>
        <v>3.2400012649181908E-3</v>
      </c>
      <c r="NQ83" s="8">
        <f ca="1">_xll.RiskLogistic(0.0032402,0.033236,_xll.RiskTruncate(-0.99,0.99),_xll.RiskCorrmat(NewMatrix2,1,"10/1/2046"))</f>
        <v>3.2400012649181908E-3</v>
      </c>
      <c r="NR83" s="8">
        <f ca="1">_xll.RiskLogistic(0.0032402,0.033236,_xll.RiskTruncate(-0.99,0.99),_xll.RiskCorrmat(NewMatrix2,1,"11/1/2046"))</f>
        <v>3.2400012649181908E-3</v>
      </c>
      <c r="NS83" s="8">
        <f ca="1">_xll.RiskLogistic(0.0032402,0.033236,_xll.RiskTruncate(-0.99,0.99),_xll.RiskCorrmat(NewMatrix2,1,"12/1/2046"))</f>
        <v>3.2400012649181908E-3</v>
      </c>
      <c r="NT83" s="8">
        <f ca="1">_xll.RiskLogistic(0.0032402,0.033236,_xll.RiskTruncate(-0.99,0.99),_xll.RiskCorrmat(NewMatrix2,1,"1/1/2047"))</f>
        <v>3.2400012649181908E-3</v>
      </c>
      <c r="NU83" s="8">
        <f ca="1">_xll.RiskLogistic(0.0032402,0.033236,_xll.RiskTruncate(-0.99,0.99),_xll.RiskCorrmat(NewMatrix2,1,"2/1/2047"))</f>
        <v>3.2400012649181908E-3</v>
      </c>
      <c r="NV83" s="8">
        <f ca="1">_xll.RiskLogistic(0.0032402,0.033236,_xll.RiskTruncate(-0.99,0.99),_xll.RiskCorrmat(NewMatrix2,1,"3/1/2047"))</f>
        <v>3.2400012649181908E-3</v>
      </c>
      <c r="NW83" s="8">
        <f ca="1">_xll.RiskLogistic(0.0032402,0.033236,_xll.RiskTruncate(-0.99,0.99),_xll.RiskCorrmat(NewMatrix2,1,"4/1/2047"))</f>
        <v>3.2400012649181908E-3</v>
      </c>
      <c r="NX83" s="8">
        <f ca="1">_xll.RiskLogistic(0.0032402,0.033236,_xll.RiskTruncate(-0.99,0.99),_xll.RiskCorrmat(NewMatrix2,1,"5/1/2047"))</f>
        <v>3.2400012649181908E-3</v>
      </c>
      <c r="NY83" s="8">
        <f ca="1">_xll.RiskLogistic(0.0032402,0.033236,_xll.RiskTruncate(-0.99,0.99),_xll.RiskCorrmat(NewMatrix2,1,"6/1/2047"))</f>
        <v>3.2400012649181908E-3</v>
      </c>
      <c r="NZ83" s="8">
        <f ca="1">_xll.RiskLogistic(0.0032402,0.033236,_xll.RiskTruncate(-0.99,0.99),_xll.RiskCorrmat(NewMatrix2,1,"7/1/2047"))</f>
        <v>3.2400012649181908E-3</v>
      </c>
      <c r="OA83" s="8">
        <f ca="1">_xll.RiskLogistic(0.0032402,0.033236,_xll.RiskTruncate(-0.99,0.99),_xll.RiskCorrmat(NewMatrix2,1,"8/1/2047"))</f>
        <v>3.2400012649181908E-3</v>
      </c>
      <c r="OB83" s="8">
        <f ca="1">_xll.RiskLogistic(0.0032402,0.033236,_xll.RiskTruncate(-0.99,0.99),_xll.RiskCorrmat(NewMatrix2,1,"9/1/2047"))</f>
        <v>3.2400012649181908E-3</v>
      </c>
      <c r="OC83" s="8">
        <f ca="1">_xll.RiskLogistic(0.0032402,0.033236,_xll.RiskTruncate(-0.99,0.99),_xll.RiskCorrmat(NewMatrix2,1,"10/1/2047"))</f>
        <v>3.2400012649181908E-3</v>
      </c>
      <c r="OD83" s="8">
        <f ca="1">_xll.RiskLogistic(0.0032402,0.033236,_xll.RiskTruncate(-0.99,0.99),_xll.RiskCorrmat(NewMatrix2,1,"11/1/2047"))</f>
        <v>3.2400012649181908E-3</v>
      </c>
      <c r="OE83" s="8">
        <f ca="1">_xll.RiskLogistic(0.0032402,0.033236,_xll.RiskTruncate(-0.99,0.99),_xll.RiskCorrmat(NewMatrix2,1,"12/1/2047"))</f>
        <v>3.2400012649181908E-3</v>
      </c>
      <c r="OF83" s="8">
        <f ca="1">_xll.RiskLogistic(0.0032402,0.033236,_xll.RiskTruncate(-0.99,0.99),_xll.RiskCorrmat(NewMatrix2,1,"1/1/2048"))</f>
        <v>3.2400012649181908E-3</v>
      </c>
      <c r="OG83" s="8">
        <f ca="1">_xll.RiskLogistic(0.0032402,0.033236,_xll.RiskTruncate(-0.99,0.99),_xll.RiskCorrmat(NewMatrix2,1,"2/1/2048"))</f>
        <v>3.2400012649181908E-3</v>
      </c>
      <c r="OH83" s="8">
        <f ca="1">_xll.RiskLogistic(0.0032402,0.033236,_xll.RiskTruncate(-0.99,0.99),_xll.RiskCorrmat(NewMatrix2,1,"3/1/2048"))</f>
        <v>3.2400012649181908E-3</v>
      </c>
      <c r="OI83" s="8">
        <f ca="1">_xll.RiskLogistic(0.0032402,0.033236,_xll.RiskTruncate(-0.99,0.99),_xll.RiskCorrmat(NewMatrix2,1,"4/1/2048"))</f>
        <v>3.2400012649181908E-3</v>
      </c>
      <c r="OJ83" s="8">
        <f ca="1">_xll.RiskLogistic(0.0032402,0.033236,_xll.RiskTruncate(-0.99,0.99),_xll.RiskCorrmat(NewMatrix2,1,"5/1/2048"))</f>
        <v>3.2400012649181908E-3</v>
      </c>
      <c r="OK83" s="8">
        <f ca="1">_xll.RiskLogistic(0.0032402,0.033236,_xll.RiskTruncate(-0.99,0.99),_xll.RiskCorrmat(NewMatrix2,1,"6/1/2048"))</f>
        <v>3.2400012649181908E-3</v>
      </c>
      <c r="OL83" s="8">
        <f ca="1">_xll.RiskLogistic(0.0032402,0.033236,_xll.RiskTruncate(-0.99,0.99),_xll.RiskCorrmat(NewMatrix2,1,"7/1/2048"))</f>
        <v>3.2400012649181908E-3</v>
      </c>
      <c r="OM83" s="8">
        <f ca="1">_xll.RiskLogistic(0.0032402,0.033236,_xll.RiskTruncate(-0.99,0.99),_xll.RiskCorrmat(NewMatrix2,1,"8/1/2048"))</f>
        <v>3.2400012649181908E-3</v>
      </c>
      <c r="ON83" s="8">
        <f ca="1">_xll.RiskLogistic(0.0032402,0.033236,_xll.RiskTruncate(-0.99,0.99),_xll.RiskCorrmat(NewMatrix2,1,"9/1/2048"))</f>
        <v>3.2400012649181908E-3</v>
      </c>
      <c r="OO83" s="8">
        <f ca="1">_xll.RiskLogistic(0.0032402,0.033236,_xll.RiskTruncate(-0.99,0.99),_xll.RiskCorrmat(NewMatrix2,1,"10/1/2048"))</f>
        <v>3.2400012649181908E-3</v>
      </c>
      <c r="OP83" s="8">
        <f ca="1">_xll.RiskLogistic(0.0032402,0.033236,_xll.RiskTruncate(-0.99,0.99),_xll.RiskCorrmat(NewMatrix2,1,"11/1/2048"))</f>
        <v>3.2400012649181908E-3</v>
      </c>
      <c r="OQ83" s="8">
        <f ca="1">_xll.RiskLogistic(0.0032402,0.033236,_xll.RiskTruncate(-0.99,0.99),_xll.RiskCorrmat(NewMatrix2,1,"12/1/2048"))</f>
        <v>3.2400012649181908E-3</v>
      </c>
      <c r="OR83" s="8">
        <f ca="1">_xll.RiskLogistic(0.0032402,0.033236,_xll.RiskTruncate(-0.99,0.99),_xll.RiskCorrmat(NewMatrix2,1,"1/1/2049"))</f>
        <v>3.2400012649181908E-3</v>
      </c>
      <c r="OS83" s="8">
        <f ca="1">_xll.RiskLogistic(0.0032402,0.033236,_xll.RiskTruncate(-0.99,0.99),_xll.RiskCorrmat(NewMatrix2,1,"2/1/2049"))</f>
        <v>3.2400012649181908E-3</v>
      </c>
      <c r="OT83" s="8">
        <f ca="1">_xll.RiskLogistic(0.0032402,0.033236,_xll.RiskTruncate(-0.99,0.99),_xll.RiskCorrmat(NewMatrix2,1,"3/1/2049"))</f>
        <v>3.2400012649181908E-3</v>
      </c>
      <c r="OU83" s="8">
        <f ca="1">_xll.RiskLogistic(0.0032402,0.033236,_xll.RiskTruncate(-0.99,0.99),_xll.RiskCorrmat(NewMatrix2,1,"4/1/2049"))</f>
        <v>3.2400012649181908E-3</v>
      </c>
      <c r="OV83" s="8">
        <f ca="1">_xll.RiskLogistic(0.0032402,0.033236,_xll.RiskTruncate(-0.99,0.99),_xll.RiskCorrmat(NewMatrix2,1,"5/1/2049"))</f>
        <v>3.2400012649181908E-3</v>
      </c>
      <c r="OW83" s="8">
        <f ca="1">_xll.RiskLogistic(0.0032402,0.033236,_xll.RiskTruncate(-0.99,0.99),_xll.RiskCorrmat(NewMatrix2,1,"6/1/2049"))</f>
        <v>3.2400012649181908E-3</v>
      </c>
      <c r="OX83" s="8">
        <f ca="1">_xll.RiskLogistic(0.0032402,0.033236,_xll.RiskTruncate(-0.99,0.99),_xll.RiskCorrmat(NewMatrix2,1,"7/1/2049"))</f>
        <v>3.2400012649181908E-3</v>
      </c>
      <c r="OY83" s="8">
        <f ca="1">_xll.RiskLogistic(0.0032402,0.033236,_xll.RiskTruncate(-0.99,0.99),_xll.RiskCorrmat(NewMatrix2,1,"8/1/2049"))</f>
        <v>3.2400012649181908E-3</v>
      </c>
      <c r="OZ83" s="8">
        <f ca="1">_xll.RiskLogistic(0.0032402,0.033236,_xll.RiskTruncate(-0.99,0.99),_xll.RiskCorrmat(NewMatrix2,1,"9/1/2049"))</f>
        <v>3.2400012649181908E-3</v>
      </c>
      <c r="PA83" s="8">
        <f ca="1">_xll.RiskLogistic(0.0032402,0.033236,_xll.RiskTruncate(-0.99,0.99),_xll.RiskCorrmat(NewMatrix2,1,"10/1/2049"))</f>
        <v>3.2400012649181908E-3</v>
      </c>
      <c r="PB83" s="8">
        <f ca="1">_xll.RiskLogistic(0.0032402,0.033236,_xll.RiskTruncate(-0.99,0.99),_xll.RiskCorrmat(NewMatrix2,1,"11/1/2049"))</f>
        <v>3.2400012649181908E-3</v>
      </c>
      <c r="PC83" s="8">
        <f ca="1">_xll.RiskLogistic(0.0032402,0.033236,_xll.RiskTruncate(-0.99,0.99),_xll.RiskCorrmat(NewMatrix2,1,"12/1/2049"))</f>
        <v>3.2400012649181908E-3</v>
      </c>
      <c r="PD83" s="8">
        <f ca="1">_xll.RiskLogistic(0.0032402,0.033236,_xll.RiskTruncate(-0.99,0.99),_xll.RiskCorrmat(NewMatrix2,1,"1/1/2050"))</f>
        <v>3.2400012649181908E-3</v>
      </c>
      <c r="PE83" s="8">
        <f ca="1">_xll.RiskLogistic(0.0032402,0.033236,_xll.RiskTruncate(-0.99,0.99),_xll.RiskCorrmat(NewMatrix2,1,"2/1/2050"))</f>
        <v>3.2400012649181908E-3</v>
      </c>
      <c r="PF83" s="8">
        <f ca="1">_xll.RiskLogistic(0.0032402,0.033236,_xll.RiskTruncate(-0.99,0.99),_xll.RiskCorrmat(NewMatrix2,1,"3/1/2050"))</f>
        <v>3.2400012649181908E-3</v>
      </c>
      <c r="PG83" s="8">
        <f ca="1">_xll.RiskLogistic(0.0032402,0.033236,_xll.RiskTruncate(-0.99,0.99),_xll.RiskCorrmat(NewMatrix2,1,"4/1/2050"))</f>
        <v>3.2400012649181908E-3</v>
      </c>
      <c r="PH83" s="8">
        <f ca="1">_xll.RiskLogistic(0.0032402,0.033236,_xll.RiskTruncate(-0.99,0.99),_xll.RiskCorrmat(NewMatrix2,1,"5/1/2050"))</f>
        <v>3.2400012649181908E-3</v>
      </c>
      <c r="PI83" s="8">
        <f ca="1">_xll.RiskLogistic(0.0032402,0.033236,_xll.RiskTruncate(-0.99,0.99),_xll.RiskCorrmat(NewMatrix2,1,"6/1/2050"))</f>
        <v>3.2400012649181908E-3</v>
      </c>
      <c r="PJ83" s="8">
        <f ca="1">_xll.RiskLogistic(0.0032402,0.033236,_xll.RiskTruncate(-0.99,0.99),_xll.RiskCorrmat(NewMatrix2,1,"7/1/2050"))</f>
        <v>3.2400012649181908E-3</v>
      </c>
      <c r="PK83" s="8">
        <f ca="1">_xll.RiskLogistic(0.0032402,0.033236,_xll.RiskTruncate(-0.99,0.99),_xll.RiskCorrmat(NewMatrix2,1,"8/1/2050"))</f>
        <v>3.2400012649181908E-3</v>
      </c>
      <c r="PL83" s="8">
        <f ca="1">_xll.RiskLogistic(0.0032402,0.033236,_xll.RiskTruncate(-0.99,0.99),_xll.RiskCorrmat(NewMatrix2,1,"9/1/2050"))</f>
        <v>3.2400012649181908E-3</v>
      </c>
      <c r="PM83" s="8">
        <f ca="1">_xll.RiskLogistic(0.0032402,0.033236,_xll.RiskTruncate(-0.99,0.99),_xll.RiskCorrmat(NewMatrix2,1,"10/1/2050"))</f>
        <v>3.2400012649181908E-3</v>
      </c>
      <c r="PN83" s="8">
        <f ca="1">_xll.RiskLogistic(0.0032402,0.033236,_xll.RiskTruncate(-0.99,0.99),_xll.RiskCorrmat(NewMatrix2,1,"11/1/2050"))</f>
        <v>3.2400012649181908E-3</v>
      </c>
      <c r="PO83" s="8">
        <f ca="1">_xll.RiskLogistic(0.0032402,0.033236,_xll.RiskTruncate(-0.99,0.99),_xll.RiskCorrmat(NewMatrix2,1,"12/1/2050"))</f>
        <v>3.2400012649181908E-3</v>
      </c>
      <c r="PP83" s="8">
        <f ca="1">_xll.RiskLogistic(0.0032402,0.033236,_xll.RiskTruncate(-0.99,0.99),_xll.RiskCorrmat(NewMatrix2,1,"1/1/2051"))</f>
        <v>3.2400012649181908E-3</v>
      </c>
      <c r="PQ83" s="8">
        <f ca="1">_xll.RiskLogistic(0.0032402,0.033236,_xll.RiskTruncate(-0.99,0.99),_xll.RiskCorrmat(NewMatrix2,1,"2/1/2051"))</f>
        <v>3.2400012649181908E-3</v>
      </c>
      <c r="PR83" s="8">
        <f ca="1">_xll.RiskLogistic(0.0032402,0.033236,_xll.RiskTruncate(-0.99,0.99),_xll.RiskCorrmat(NewMatrix2,1,"3/1/2051"))</f>
        <v>3.2400012649181908E-3</v>
      </c>
      <c r="PS83" s="8">
        <f ca="1">_xll.RiskLogistic(0.0032402,0.033236,_xll.RiskTruncate(-0.99,0.99),_xll.RiskCorrmat(NewMatrix2,1,"4/1/2051"))</f>
        <v>3.2400012649181908E-3</v>
      </c>
      <c r="PT83" s="8">
        <f ca="1">_xll.RiskLogistic(0.0032402,0.033236,_xll.RiskTruncate(-0.99,0.99),_xll.RiskCorrmat(NewMatrix2,1,"5/1/2051"))</f>
        <v>3.2400012649181908E-3</v>
      </c>
      <c r="PU83" s="8">
        <f ca="1">_xll.RiskLogistic(0.0032402,0.033236,_xll.RiskTruncate(-0.99,0.99),_xll.RiskCorrmat(NewMatrix2,1,"6/1/2051"))</f>
        <v>3.2400012649181908E-3</v>
      </c>
      <c r="PV83" s="8">
        <f ca="1">_xll.RiskLogistic(0.0032402,0.033236,_xll.RiskTruncate(-0.99,0.99),_xll.RiskCorrmat(NewMatrix2,1,"7/1/2051"))</f>
        <v>3.2400012649181908E-3</v>
      </c>
      <c r="PW83" s="8">
        <f ca="1">_xll.RiskLogistic(0.0032402,0.033236,_xll.RiskTruncate(-0.99,0.99),_xll.RiskCorrmat(NewMatrix2,1,"8/1/2051"))</f>
        <v>3.2400012649181908E-3</v>
      </c>
      <c r="PX83" s="8">
        <f ca="1">_xll.RiskLogistic(0.0032402,0.033236,_xll.RiskTruncate(-0.99,0.99),_xll.RiskCorrmat(NewMatrix2,1,"9/1/2051"))</f>
        <v>3.2400012649181908E-3</v>
      </c>
      <c r="PY83" s="8">
        <f ca="1">_xll.RiskLogistic(0.0032402,0.033236,_xll.RiskTruncate(-0.99,0.99),_xll.RiskCorrmat(NewMatrix2,1,"10/1/2051"))</f>
        <v>3.2400012649181908E-3</v>
      </c>
      <c r="PZ83" s="8">
        <f ca="1">_xll.RiskLogistic(0.0032402,0.033236,_xll.RiskTruncate(-0.99,0.99),_xll.RiskCorrmat(NewMatrix2,1,"11/1/2051"))</f>
        <v>3.2400012649181908E-3</v>
      </c>
      <c r="QA83" s="8">
        <f ca="1">_xll.RiskLogistic(0.0032402,0.033236,_xll.RiskTruncate(-0.99,0.99),_xll.RiskCorrmat(NewMatrix2,1,"12/1/2051"))</f>
        <v>3.2400012649181908E-3</v>
      </c>
      <c r="QB83" s="8">
        <f ca="1">_xll.RiskLogistic(0.0032402,0.033236,_xll.RiskTruncate(-0.99,0.99),_xll.RiskCorrmat(NewMatrix2,1,"1/1/2052"))</f>
        <v>3.2400012649181908E-3</v>
      </c>
      <c r="QC83" s="8">
        <f ca="1">_xll.RiskLogistic(0.0032402,0.033236,_xll.RiskTruncate(-0.99,0.99),_xll.RiskCorrmat(NewMatrix2,1,"2/1/2052"))</f>
        <v>3.2400012649181908E-3</v>
      </c>
      <c r="QD83" s="8">
        <f ca="1">_xll.RiskLogistic(0.0032402,0.033236,_xll.RiskTruncate(-0.99,0.99),_xll.RiskCorrmat(NewMatrix2,1,"3/1/2052"))</f>
        <v>3.2400012649181908E-3</v>
      </c>
      <c r="QE83" s="8">
        <f ca="1">_xll.RiskLogistic(0.0032402,0.033236,_xll.RiskTruncate(-0.99,0.99),_xll.RiskCorrmat(NewMatrix2,1,"4/1/2052"))</f>
        <v>3.2400012649181908E-3</v>
      </c>
      <c r="QF83" s="8">
        <f ca="1">_xll.RiskLogistic(0.0032402,0.033236,_xll.RiskTruncate(-0.99,0.99),_xll.RiskCorrmat(NewMatrix2,1,"5/1/2052"))</f>
        <v>3.2400012649181908E-3</v>
      </c>
      <c r="QG83" s="8">
        <f ca="1">_xll.RiskLogistic(0.0032402,0.033236,_xll.RiskTruncate(-0.99,0.99),_xll.RiskCorrmat(NewMatrix2,1,"6/1/2052"))</f>
        <v>3.2400012649181908E-3</v>
      </c>
      <c r="QH83" s="8">
        <f ca="1">_xll.RiskLogistic(0.0032402,0.033236,_xll.RiskTruncate(-0.99,0.99),_xll.RiskCorrmat(NewMatrix2,1,"7/1/2052"))</f>
        <v>3.2400012649181908E-3</v>
      </c>
      <c r="QI83" s="8">
        <f ca="1">_xll.RiskLogistic(0.0032402,0.033236,_xll.RiskTruncate(-0.99,0.99),_xll.RiskCorrmat(NewMatrix2,1,"8/1/2052"))</f>
        <v>3.2400012649181908E-3</v>
      </c>
      <c r="QJ83" s="8">
        <f ca="1">_xll.RiskLogistic(0.0032402,0.033236,_xll.RiskTruncate(-0.99,0.99),_xll.RiskCorrmat(NewMatrix2,1,"9/1/2052"))</f>
        <v>3.2400012649181908E-3</v>
      </c>
      <c r="QK83" s="8">
        <f ca="1">_xll.RiskLogistic(0.0032402,0.033236,_xll.RiskTruncate(-0.99,0.99),_xll.RiskCorrmat(NewMatrix2,1,"10/1/2052"))</f>
        <v>3.2400012649181908E-3</v>
      </c>
      <c r="QL83" s="8">
        <f ca="1">_xll.RiskLogistic(0.0032402,0.033236,_xll.RiskTruncate(-0.99,0.99),_xll.RiskCorrmat(NewMatrix2,1,"11/1/2052"))</f>
        <v>3.2400012649181908E-3</v>
      </c>
      <c r="QM83" s="8">
        <f ca="1">_xll.RiskLogistic(0.0032402,0.033236,_xll.RiskTruncate(-0.99,0.99),_xll.RiskCorrmat(NewMatrix2,1,"12/1/2052"))</f>
        <v>3.2400012649181908E-3</v>
      </c>
      <c r="QN83" s="8">
        <f ca="1">_xll.RiskLogistic(0.0032402,0.033236,_xll.RiskTruncate(-0.99,0.99),_xll.RiskCorrmat(NewMatrix2,1,"1/1/2053"))</f>
        <v>3.2400012649181908E-3</v>
      </c>
      <c r="QO83" s="8">
        <f ca="1">_xll.RiskLogistic(0.0032402,0.033236,_xll.RiskTruncate(-0.99,0.99),_xll.RiskCorrmat(NewMatrix2,1,"2/1/2053"))</f>
        <v>3.2400012649181908E-3</v>
      </c>
      <c r="QP83" s="8">
        <f ca="1">_xll.RiskLogistic(0.0032402,0.033236,_xll.RiskTruncate(-0.99,0.99),_xll.RiskCorrmat(NewMatrix2,1,"3/1/2053"))</f>
        <v>3.2400012649181908E-3</v>
      </c>
      <c r="QQ83" s="8">
        <f ca="1">_xll.RiskLogistic(0.0032402,0.033236,_xll.RiskTruncate(-0.99,0.99),_xll.RiskCorrmat(NewMatrix2,1,"4/1/2053"))</f>
        <v>3.2400012649181908E-3</v>
      </c>
      <c r="QR83" s="8">
        <f ca="1">_xll.RiskLogistic(0.0032402,0.033236,_xll.RiskTruncate(-0.99,0.99),_xll.RiskCorrmat(NewMatrix2,1,"5/1/2053"))</f>
        <v>3.2400012649181908E-3</v>
      </c>
      <c r="QS83" s="8">
        <f ca="1">_xll.RiskLogistic(0.0032402,0.033236,_xll.RiskTruncate(-0.99,0.99),_xll.RiskCorrmat(NewMatrix2,1,"6/1/2053"))</f>
        <v>3.2400012649181908E-3</v>
      </c>
      <c r="QT83" s="8">
        <f ca="1">_xll.RiskLogistic(0.0032402,0.033236,_xll.RiskTruncate(-0.99,0.99),_xll.RiskCorrmat(NewMatrix2,1,"7/1/2053"))</f>
        <v>3.2400012649181908E-3</v>
      </c>
      <c r="QU83" s="8">
        <f ca="1">_xll.RiskLogistic(0.0032402,0.033236,_xll.RiskTruncate(-0.99,0.99),_xll.RiskCorrmat(NewMatrix2,1,"8/1/2053"))</f>
        <v>3.2400012649181908E-3</v>
      </c>
      <c r="QV83" s="8">
        <f ca="1">_xll.RiskLogistic(0.0032402,0.033236,_xll.RiskTruncate(-0.99,0.99),_xll.RiskCorrmat(NewMatrix2,1,"9/1/2053"))</f>
        <v>3.2400012649181908E-3</v>
      </c>
      <c r="QW83" s="8">
        <f ca="1">_xll.RiskLogistic(0.0032402,0.033236,_xll.RiskTruncate(-0.99,0.99),_xll.RiskCorrmat(NewMatrix2,1,"10/1/2053"))</f>
        <v>3.2400012649181908E-3</v>
      </c>
      <c r="QX83" s="8">
        <f ca="1">_xll.RiskLogistic(0.0032402,0.033236,_xll.RiskTruncate(-0.99,0.99),_xll.RiskCorrmat(NewMatrix2,1,"11/1/2053"))</f>
        <v>3.2400012649181908E-3</v>
      </c>
      <c r="QY83" s="8">
        <f ca="1">_xll.RiskLogistic(0.0032402,0.033236,_xll.RiskTruncate(-0.99,0.99),_xll.RiskCorrmat(NewMatrix2,1,"12/1/2053"))</f>
        <v>3.2400012649181908E-3</v>
      </c>
      <c r="QZ83" s="8">
        <f ca="1">_xll.RiskLogistic(0.0032402,0.033236,_xll.RiskTruncate(-0.99,0.99),_xll.RiskCorrmat(NewMatrix2,1,"1/1/2054"))</f>
        <v>3.2400012649181908E-3</v>
      </c>
      <c r="RA83" s="8">
        <f ca="1">_xll.RiskLogistic(0.0032402,0.033236,_xll.RiskTruncate(-0.99,0.99),_xll.RiskCorrmat(NewMatrix2,1,"2/1/2054"))</f>
        <v>3.2400012649181908E-3</v>
      </c>
      <c r="RB83" s="8">
        <f ca="1">_xll.RiskLogistic(0.0032402,0.033236,_xll.RiskTruncate(-0.99,0.99),_xll.RiskCorrmat(NewMatrix2,1,"3/1/2054"))</f>
        <v>3.2400012649181908E-3</v>
      </c>
      <c r="RC83" s="8">
        <f ca="1">_xll.RiskLogistic(0.0032402,0.033236,_xll.RiskTruncate(-0.99,0.99),_xll.RiskCorrmat(NewMatrix2,1,"4/1/2054"))</f>
        <v>3.2400012649181908E-3</v>
      </c>
      <c r="RD83" s="8">
        <f ca="1">_xll.RiskLogistic(0.0032402,0.033236,_xll.RiskTruncate(-0.99,0.99),_xll.RiskCorrmat(NewMatrix2,1,"5/1/2054"))</f>
        <v>3.2400012649181908E-3</v>
      </c>
      <c r="RE83" s="8">
        <f ca="1">_xll.RiskLogistic(0.0032402,0.033236,_xll.RiskTruncate(-0.99,0.99),_xll.RiskCorrmat(NewMatrix2,1,"6/1/2054"))</f>
        <v>3.2400012649181908E-3</v>
      </c>
      <c r="RF83" s="8">
        <f ca="1">_xll.RiskLogistic(0.0032402,0.033236,_xll.RiskTruncate(-0.99,0.99),_xll.RiskCorrmat(NewMatrix2,1,"7/1/2054"))</f>
        <v>3.2400012649181908E-3</v>
      </c>
      <c r="RG83" s="8">
        <f ca="1">_xll.RiskLogistic(0.0032402,0.033236,_xll.RiskTruncate(-0.99,0.99),_xll.RiskCorrmat(NewMatrix2,1,"8/1/2054"))</f>
        <v>3.2400012649181908E-3</v>
      </c>
      <c r="RH83" s="8">
        <f ca="1">_xll.RiskLogistic(0.0032402,0.033236,_xll.RiskTruncate(-0.99,0.99),_xll.RiskCorrmat(NewMatrix2,1,"9/1/2054"))</f>
        <v>3.2400012649181908E-3</v>
      </c>
      <c r="RI83" s="8">
        <f ca="1">_xll.RiskLogistic(0.0032402,0.033236,_xll.RiskTruncate(-0.99,0.99),_xll.RiskCorrmat(NewMatrix2,1,"10/1/2054"))</f>
        <v>3.2400012649181908E-3</v>
      </c>
      <c r="RJ83" s="8">
        <f ca="1">_xll.RiskLogistic(0.0032402,0.033236,_xll.RiskTruncate(-0.99,0.99),_xll.RiskCorrmat(NewMatrix2,1,"11/1/2054"))</f>
        <v>3.2400012649181908E-3</v>
      </c>
      <c r="RK83" s="8">
        <f ca="1">_xll.RiskLogistic(0.0032402,0.033236,_xll.RiskTruncate(-0.99,0.99),_xll.RiskCorrmat(NewMatrix2,1,"12/1/2054"))</f>
        <v>3.2400012649181908E-3</v>
      </c>
      <c r="RL83" s="8">
        <f ca="1">_xll.RiskLogistic(0.0032402,0.033236,_xll.RiskTruncate(-0.99,0.99),_xll.RiskCorrmat(NewMatrix2,1,"1/1/2055"))</f>
        <v>3.2400012649181908E-3</v>
      </c>
      <c r="RM83" s="8">
        <f ca="1">_xll.RiskLogistic(0.0032402,0.033236,_xll.RiskTruncate(-0.99,0.99),_xll.RiskCorrmat(NewMatrix2,1,"2/1/2055"))</f>
        <v>3.2400012649181908E-3</v>
      </c>
      <c r="RN83" s="8">
        <f ca="1">_xll.RiskLogistic(0.0032402,0.033236,_xll.RiskTruncate(-0.99,0.99),_xll.RiskCorrmat(NewMatrix2,1,"3/1/2055"))</f>
        <v>3.2400012649181908E-3</v>
      </c>
      <c r="RO83" s="8">
        <f ca="1">_xll.RiskLogistic(0.0032402,0.033236,_xll.RiskTruncate(-0.99,0.99),_xll.RiskCorrmat(NewMatrix2,1,"4/1/2055"))</f>
        <v>3.2400012649181908E-3</v>
      </c>
      <c r="RP83" s="8">
        <f ca="1">_xll.RiskLogistic(0.0032402,0.033236,_xll.RiskTruncate(-0.99,0.99),_xll.RiskCorrmat(NewMatrix2,1,"5/1/2055"))</f>
        <v>3.2400012649181908E-3</v>
      </c>
      <c r="RQ83" s="8">
        <f ca="1">_xll.RiskLogistic(0.0032402,0.033236,_xll.RiskTruncate(-0.99,0.99),_xll.RiskCorrmat(NewMatrix2,1,"6/1/2055"))</f>
        <v>3.2400012649181908E-3</v>
      </c>
      <c r="RR83" s="8">
        <f ca="1">_xll.RiskLogistic(0.0032402,0.033236,_xll.RiskTruncate(-0.99,0.99),_xll.RiskCorrmat(NewMatrix2,1,"7/1/2055"))</f>
        <v>3.2400012649181908E-3</v>
      </c>
    </row>
    <row r="84" spans="1:486" s="9" customFormat="1" ht="28.8">
      <c r="A84" s="289"/>
      <c r="B84" s="135" t="s">
        <v>504</v>
      </c>
      <c r="E84" s="95">
        <v>0</v>
      </c>
      <c r="F84" s="270">
        <f ca="1">_xll.RiskLogistic(0.0032402,0.050981,_xll.RiskTruncate(-0.99,0.99),_xll.RiskCorrmat(NewMatrix2,2,"7/1/2015"))</f>
        <v>3.2401264829321486E-3</v>
      </c>
      <c r="G84" s="8">
        <f ca="1">_xll.RiskLogistic(0.0032402,0.050981,_xll.RiskTruncate(-0.99,0.99),_xll.RiskCorrmat(NewMatrix2,2,"8/1/2015"))</f>
        <v>3.2401264829321486E-3</v>
      </c>
      <c r="H84" s="8">
        <f ca="1">_xll.RiskLogistic(0.0032402,0.050981,_xll.RiskTruncate(-0.99,0.99),_xll.RiskCorrmat(NewMatrix2,2,"9/1/2015"))</f>
        <v>3.2401264829321486E-3</v>
      </c>
      <c r="I84" s="8">
        <f ca="1">_xll.RiskLogistic(0.0032402,0.050981,_xll.RiskTruncate(-0.99,0.99),_xll.RiskCorrmat(NewMatrix2,2,"10/1/2015"))</f>
        <v>3.2401264829321486E-3</v>
      </c>
      <c r="J84" s="8">
        <f ca="1">_xll.RiskLogistic(0.0032402,0.050981,_xll.RiskTruncate(-0.99,0.99),_xll.RiskCorrmat(NewMatrix2,2,"11/1/2015"))</f>
        <v>3.2401264829321486E-3</v>
      </c>
      <c r="K84" s="8">
        <f ca="1">_xll.RiskLogistic(0.0032402,0.050981,_xll.RiskTruncate(-0.99,0.99),_xll.RiskCorrmat(NewMatrix2,2,"12/1/2015"))</f>
        <v>3.2401264829321486E-3</v>
      </c>
      <c r="L84" s="8">
        <f ca="1">_xll.RiskLogistic(0.0032402,0.050981,_xll.RiskTruncate(-0.99,0.99),_xll.RiskCorrmat(NewMatrix2,2,"1/1/2016"))</f>
        <v>3.2401264829321486E-3</v>
      </c>
      <c r="M84" s="8">
        <f ca="1">_xll.RiskLogistic(0.0032402,0.050981,_xll.RiskTruncate(-0.99,0.99),_xll.RiskCorrmat(NewMatrix2,2,"2/1/2016"))</f>
        <v>3.2401264829321486E-3</v>
      </c>
      <c r="N84" s="8">
        <f ca="1">_xll.RiskLogistic(0.0032402,0.050981,_xll.RiskTruncate(-0.99,0.99),_xll.RiskCorrmat(NewMatrix2,2,"3/1/2016"))</f>
        <v>3.2401264829321486E-3</v>
      </c>
      <c r="O84" s="8">
        <f ca="1">_xll.RiskLogistic(0.0032402,0.050981,_xll.RiskTruncate(-0.99,0.99),_xll.RiskCorrmat(NewMatrix2,2,"4/1/2016"))</f>
        <v>3.2401264829321486E-3</v>
      </c>
      <c r="P84" s="8">
        <f ca="1">_xll.RiskLogistic(0.0032402,0.050981,_xll.RiskTruncate(-0.99,0.99),_xll.RiskCorrmat(NewMatrix2,2,"5/1/2016"))</f>
        <v>3.2401264829321486E-3</v>
      </c>
      <c r="Q84" s="8">
        <f ca="1">_xll.RiskLogistic(0.0032402,0.050981,_xll.RiskTruncate(-0.99,0.99),_xll.RiskCorrmat(NewMatrix2,2,"6/1/2016"))</f>
        <v>3.2401264829321486E-3</v>
      </c>
      <c r="R84" s="8">
        <f ca="1">_xll.RiskLogistic(0.0032402,0.050981,_xll.RiskTruncate(-0.99,0.99),_xll.RiskCorrmat(NewMatrix2,2,"7/1/2016"))</f>
        <v>3.2401264829321486E-3</v>
      </c>
      <c r="S84" s="8">
        <f ca="1">_xll.RiskLogistic(0.0032402,0.050981,_xll.RiskTruncate(-0.99,0.99),_xll.RiskCorrmat(NewMatrix2,2,"8/1/2016"))</f>
        <v>3.2401264829321486E-3</v>
      </c>
      <c r="T84" s="8">
        <f ca="1">_xll.RiskLogistic(0.0032402,0.050981,_xll.RiskTruncate(-0.99,0.99),_xll.RiskCorrmat(NewMatrix2,2,"9/1/2016"))</f>
        <v>3.2401264829321486E-3</v>
      </c>
      <c r="U84" s="8">
        <f ca="1">_xll.RiskLogistic(0.0032402,0.050981,_xll.RiskTruncate(-0.99,0.99),_xll.RiskCorrmat(NewMatrix2,2,"10/1/2016"))</f>
        <v>3.2401264829321486E-3</v>
      </c>
      <c r="V84" s="8">
        <f ca="1">_xll.RiskLogistic(0.0032402,0.050981,_xll.RiskTruncate(-0.99,0.99),_xll.RiskCorrmat(NewMatrix2,2,"11/1/2016"))</f>
        <v>3.2401264829321486E-3</v>
      </c>
      <c r="W84" s="8">
        <f ca="1">_xll.RiskLogistic(0.0032402,0.050981,_xll.RiskTruncate(-0.99,0.99),_xll.RiskCorrmat(NewMatrix2,2,"12/1/2016"))</f>
        <v>3.2401264829321486E-3</v>
      </c>
      <c r="X84" s="8">
        <f ca="1">_xll.RiskLogistic(0.0032402,0.050981,_xll.RiskTruncate(-0.99,0.99),_xll.RiskCorrmat(NewMatrix2,2,"1/1/2017"))</f>
        <v>3.2401264829321486E-3</v>
      </c>
      <c r="Y84" s="8">
        <f ca="1">_xll.RiskLogistic(0.0032402,0.050981,_xll.RiskTruncate(-0.99,0.99),_xll.RiskCorrmat(NewMatrix2,2,"2/1/2017"))</f>
        <v>3.2401264829321486E-3</v>
      </c>
      <c r="Z84" s="8">
        <f ca="1">_xll.RiskLogistic(0.0032402,0.050981,_xll.RiskTruncate(-0.99,0.99),_xll.RiskCorrmat(NewMatrix2,2,"3/1/2017"))</f>
        <v>3.2401264829321486E-3</v>
      </c>
      <c r="AA84" s="8">
        <f ca="1">_xll.RiskLogistic(0.0032402,0.050981,_xll.RiskTruncate(-0.99,0.99),_xll.RiskCorrmat(NewMatrix2,2,"4/1/2017"))</f>
        <v>3.2401264829321486E-3</v>
      </c>
      <c r="AB84" s="8">
        <f ca="1">_xll.RiskLogistic(0.0032402,0.050981,_xll.RiskTruncate(-0.99,0.99),_xll.RiskCorrmat(NewMatrix2,2,"5/1/2017"))</f>
        <v>3.2401264829321486E-3</v>
      </c>
      <c r="AC84" s="8">
        <f ca="1">_xll.RiskLogistic(0.0032402,0.050981,_xll.RiskTruncate(-0.99,0.99),_xll.RiskCorrmat(NewMatrix2,2,"6/1/2017"))</f>
        <v>3.2401264829321486E-3</v>
      </c>
      <c r="AD84" s="8">
        <f ca="1">_xll.RiskLogistic(0.0032402,0.050981,_xll.RiskTruncate(-0.99,0.99),_xll.RiskCorrmat(NewMatrix2,2,"7/1/2017"))</f>
        <v>3.2401264829321486E-3</v>
      </c>
      <c r="AE84" s="8">
        <f ca="1">_xll.RiskLogistic(0.0032402,0.050981,_xll.RiskTruncate(-0.99,0.99),_xll.RiskCorrmat(NewMatrix2,2,"8/1/2017"))</f>
        <v>3.2401264829321486E-3</v>
      </c>
      <c r="AF84" s="8">
        <f ca="1">_xll.RiskLogistic(0.0032402,0.050981,_xll.RiskTruncate(-0.99,0.99),_xll.RiskCorrmat(NewMatrix2,2,"9/1/2017"))</f>
        <v>3.2401264829321486E-3</v>
      </c>
      <c r="AG84" s="8">
        <f ca="1">_xll.RiskLogistic(0.0032402,0.050981,_xll.RiskTruncate(-0.99,0.99),_xll.RiskCorrmat(NewMatrix2,2,"10/1/2017"))</f>
        <v>3.2401264829321486E-3</v>
      </c>
      <c r="AH84" s="8">
        <f ca="1">_xll.RiskLogistic(0.0032402,0.050981,_xll.RiskTruncate(-0.99,0.99),_xll.RiskCorrmat(NewMatrix2,2,"11/1/2017"))</f>
        <v>3.2401264829321486E-3</v>
      </c>
      <c r="AI84" s="8">
        <f ca="1">_xll.RiskLogistic(0.0032402,0.050981,_xll.RiskTruncate(-0.99,0.99),_xll.RiskCorrmat(NewMatrix2,2,"12/1/2017"))</f>
        <v>3.2401264829321486E-3</v>
      </c>
      <c r="AJ84" s="8">
        <f ca="1">_xll.RiskLogistic(0.0032402,0.050981,_xll.RiskTruncate(-0.99,0.99),_xll.RiskCorrmat(NewMatrix2,2,"1/1/2018"))</f>
        <v>3.2401264829321486E-3</v>
      </c>
      <c r="AK84" s="8">
        <f ca="1">_xll.RiskLogistic(0.0032402,0.050981,_xll.RiskTruncate(-0.99,0.99),_xll.RiskCorrmat(NewMatrix2,2,"2/1/2018"))</f>
        <v>3.2401264829321486E-3</v>
      </c>
      <c r="AL84" s="8">
        <f ca="1">_xll.RiskLogistic(0.0032402,0.050981,_xll.RiskTruncate(-0.99,0.99),_xll.RiskCorrmat(NewMatrix2,2,"3/1/2018"))</f>
        <v>3.2401264829321486E-3</v>
      </c>
      <c r="AM84" s="8">
        <f ca="1">_xll.RiskLogistic(0.0032402,0.050981,_xll.RiskTruncate(-0.99,0.99),_xll.RiskCorrmat(NewMatrix2,2,"4/1/2018"))</f>
        <v>3.2401264829321486E-3</v>
      </c>
      <c r="AN84" s="8">
        <f ca="1">_xll.RiskLogistic(0.0032402,0.050981,_xll.RiskTruncate(-0.99,0.99),_xll.RiskCorrmat(NewMatrix2,2,"5/1/2018"))</f>
        <v>3.2401264829321486E-3</v>
      </c>
      <c r="AO84" s="8">
        <f ca="1">_xll.RiskLogistic(0.0032402,0.050981,_xll.RiskTruncate(-0.99,0.99),_xll.RiskCorrmat(NewMatrix2,2,"6/1/2018"))</f>
        <v>3.2401264829321486E-3</v>
      </c>
      <c r="AP84" s="8">
        <f ca="1">_xll.RiskLogistic(0.0032402,0.050981,_xll.RiskTruncate(-0.99,0.99),_xll.RiskCorrmat(NewMatrix2,2,"7/1/2018"))</f>
        <v>3.2401264829321486E-3</v>
      </c>
      <c r="AQ84" s="8">
        <f ca="1">_xll.RiskLogistic(0.0032402,0.050981,_xll.RiskTruncate(-0.99,0.99),_xll.RiskCorrmat(NewMatrix2,2,"8/1/2018"))</f>
        <v>3.2401264829321486E-3</v>
      </c>
      <c r="AR84" s="8">
        <f ca="1">_xll.RiskLogistic(0.0032402,0.050981,_xll.RiskTruncate(-0.99,0.99),_xll.RiskCorrmat(NewMatrix2,2,"9/1/2018"))</f>
        <v>3.2401264829321486E-3</v>
      </c>
      <c r="AS84" s="8">
        <f ca="1">_xll.RiskLogistic(0.0032402,0.050981,_xll.RiskTruncate(-0.99,0.99),_xll.RiskCorrmat(NewMatrix2,2,"10/1/2018"))</f>
        <v>3.2401264829321486E-3</v>
      </c>
      <c r="AT84" s="8">
        <f ca="1">_xll.RiskLogistic(0.0032402,0.050981,_xll.RiskTruncate(-0.99,0.99),_xll.RiskCorrmat(NewMatrix2,2,"11/1/2018"))</f>
        <v>3.2401264829321486E-3</v>
      </c>
      <c r="AU84" s="8">
        <f ca="1">_xll.RiskLogistic(0.0032402,0.050981,_xll.RiskTruncate(-0.99,0.99),_xll.RiskCorrmat(NewMatrix2,2,"12/1/2018"))</f>
        <v>3.2401264829321486E-3</v>
      </c>
      <c r="AV84" s="8">
        <f ca="1">_xll.RiskLogistic(0.0032402,0.050981,_xll.RiskTruncate(-0.99,0.99),_xll.RiskCorrmat(NewMatrix2,2,"1/1/2019"))</f>
        <v>3.2401264829321486E-3</v>
      </c>
      <c r="AW84" s="8">
        <f ca="1">_xll.RiskLogistic(0.0032402,0.050981,_xll.RiskTruncate(-0.99,0.99),_xll.RiskCorrmat(NewMatrix2,2,"2/1/2019"))</f>
        <v>3.2401264829321486E-3</v>
      </c>
      <c r="AX84" s="8">
        <f ca="1">_xll.RiskLogistic(0.0032402,0.050981,_xll.RiskTruncate(-0.99,0.99),_xll.RiskCorrmat(NewMatrix2,2,"3/1/2019"))</f>
        <v>3.2401264829321486E-3</v>
      </c>
      <c r="AY84" s="8">
        <f ca="1">_xll.RiskLogistic(0.0032402,0.050981,_xll.RiskTruncate(-0.99,0.99),_xll.RiskCorrmat(NewMatrix2,2,"4/1/2019"))</f>
        <v>3.2401264829321486E-3</v>
      </c>
      <c r="AZ84" s="8">
        <f ca="1">_xll.RiskLogistic(0.0032402,0.050981,_xll.RiskTruncate(-0.99,0.99),_xll.RiskCorrmat(NewMatrix2,2,"5/1/2019"))</f>
        <v>3.2401264829321486E-3</v>
      </c>
      <c r="BA84" s="8">
        <f ca="1">_xll.RiskLogistic(0.0032402,0.050981,_xll.RiskTruncate(-0.99,0.99),_xll.RiskCorrmat(NewMatrix2,2,"6/1/2019"))</f>
        <v>3.2401264829321486E-3</v>
      </c>
      <c r="BB84" s="8">
        <f ca="1">_xll.RiskLogistic(0.0032402,0.050981,_xll.RiskTruncate(-0.99,0.99),_xll.RiskCorrmat(NewMatrix2,2,"7/1/2019"))</f>
        <v>3.2401264829321486E-3</v>
      </c>
      <c r="BC84" s="8">
        <f ca="1">_xll.RiskLogistic(0.0032402,0.050981,_xll.RiskTruncate(-0.99,0.99),_xll.RiskCorrmat(NewMatrix2,2,"8/1/2019"))</f>
        <v>3.2401264829321486E-3</v>
      </c>
      <c r="BD84" s="8">
        <f ca="1">_xll.RiskLogistic(0.0032402,0.050981,_xll.RiskTruncate(-0.99,0.99),_xll.RiskCorrmat(NewMatrix2,2,"9/1/2019"))</f>
        <v>3.2401264829321486E-3</v>
      </c>
      <c r="BE84" s="8">
        <f ca="1">_xll.RiskLogistic(0.0032402,0.050981,_xll.RiskTruncate(-0.99,0.99),_xll.RiskCorrmat(NewMatrix2,2,"10/1/2019"))</f>
        <v>3.2401264829321486E-3</v>
      </c>
      <c r="BF84" s="8">
        <f ca="1">_xll.RiskLogistic(0.0032402,0.050981,_xll.RiskTruncate(-0.99,0.99),_xll.RiskCorrmat(NewMatrix2,2,"11/1/2019"))</f>
        <v>3.2401264829321486E-3</v>
      </c>
      <c r="BG84" s="8">
        <f ca="1">_xll.RiskLogistic(0.0032402,0.050981,_xll.RiskTruncate(-0.99,0.99),_xll.RiskCorrmat(NewMatrix2,2,"12/1/2019"))</f>
        <v>3.2401264829321486E-3</v>
      </c>
      <c r="BH84" s="8">
        <f ca="1">_xll.RiskLogistic(0.0032402,0.050981,_xll.RiskTruncate(-0.99,0.99),_xll.RiskCorrmat(NewMatrix2,2,"1/1/2020"))</f>
        <v>3.2401264829321486E-3</v>
      </c>
      <c r="BI84" s="8">
        <f ca="1">_xll.RiskLogistic(0.0032402,0.050981,_xll.RiskTruncate(-0.99,0.99),_xll.RiskCorrmat(NewMatrix2,2,"2/1/2020"))</f>
        <v>3.2401264829321486E-3</v>
      </c>
      <c r="BJ84" s="8">
        <f ca="1">_xll.RiskLogistic(0.0032402,0.050981,_xll.RiskTruncate(-0.99,0.99),_xll.RiskCorrmat(NewMatrix2,2,"3/1/2020"))</f>
        <v>3.2401264829321486E-3</v>
      </c>
      <c r="BK84" s="8">
        <f ca="1">_xll.RiskLogistic(0.0032402,0.050981,_xll.RiskTruncate(-0.99,0.99),_xll.RiskCorrmat(NewMatrix2,2,"4/1/2020"))</f>
        <v>3.2401264829321486E-3</v>
      </c>
      <c r="BL84" s="8">
        <f ca="1">_xll.RiskLogistic(0.0032402,0.050981,_xll.RiskTruncate(-0.99,0.99),_xll.RiskCorrmat(NewMatrix2,2,"5/1/2020"))</f>
        <v>3.2401264829321486E-3</v>
      </c>
      <c r="BM84" s="8">
        <f ca="1">_xll.RiskLogistic(0.0032402,0.050981,_xll.RiskTruncate(-0.99,0.99),_xll.RiskCorrmat(NewMatrix2,2,"6/1/2020"))</f>
        <v>3.2401264829321486E-3</v>
      </c>
      <c r="BN84" s="8">
        <f ca="1">_xll.RiskLogistic(0.0032402,0.050981,_xll.RiskTruncate(-0.99,0.99),_xll.RiskCorrmat(NewMatrix2,2,"7/1/2020"))</f>
        <v>3.2401264829321486E-3</v>
      </c>
      <c r="BO84" s="8">
        <f ca="1">_xll.RiskLogistic(0.0032402,0.050981,_xll.RiskTruncate(-0.99,0.99),_xll.RiskCorrmat(NewMatrix2,2,"8/1/2020"))</f>
        <v>3.2401264829321486E-3</v>
      </c>
      <c r="BP84" s="8">
        <f ca="1">_xll.RiskLogistic(0.0032402,0.050981,_xll.RiskTruncate(-0.99,0.99),_xll.RiskCorrmat(NewMatrix2,2,"9/1/2020"))</f>
        <v>3.2401264829321486E-3</v>
      </c>
      <c r="BQ84" s="8">
        <f ca="1">_xll.RiskLogistic(0.0032402,0.050981,_xll.RiskTruncate(-0.99,0.99),_xll.RiskCorrmat(NewMatrix2,2,"10/1/2020"))</f>
        <v>3.2401264829321486E-3</v>
      </c>
      <c r="BR84" s="8">
        <f ca="1">_xll.RiskLogistic(0.0032402,0.050981,_xll.RiskTruncate(-0.99,0.99),_xll.RiskCorrmat(NewMatrix2,2,"11/1/2020"))</f>
        <v>3.2401264829321486E-3</v>
      </c>
      <c r="BS84" s="8">
        <f ca="1">_xll.RiskLogistic(0.0032402,0.050981,_xll.RiskTruncate(-0.99,0.99),_xll.RiskCorrmat(NewMatrix2,2,"12/1/2020"))</f>
        <v>3.2401264829321486E-3</v>
      </c>
      <c r="BT84" s="8">
        <f ca="1">_xll.RiskLogistic(0.0032402,0.050981,_xll.RiskTruncate(-0.99,0.99),_xll.RiskCorrmat(NewMatrix2,2,"1/1/2021"))</f>
        <v>3.2401264829321486E-3</v>
      </c>
      <c r="BU84" s="8">
        <f ca="1">_xll.RiskLogistic(0.0032402,0.050981,_xll.RiskTruncate(-0.99,0.99),_xll.RiskCorrmat(NewMatrix2,2,"2/1/2021"))</f>
        <v>3.2401264829321486E-3</v>
      </c>
      <c r="BV84" s="8">
        <f ca="1">_xll.RiskLogistic(0.0032402,0.050981,_xll.RiskTruncate(-0.99,0.99),_xll.RiskCorrmat(NewMatrix2,2,"3/1/2021"))</f>
        <v>3.2401264829321486E-3</v>
      </c>
      <c r="BW84" s="8">
        <f ca="1">_xll.RiskLogistic(0.0032402,0.050981,_xll.RiskTruncate(-0.99,0.99),_xll.RiskCorrmat(NewMatrix2,2,"4/1/2021"))</f>
        <v>3.2401264829321486E-3</v>
      </c>
      <c r="BX84" s="8">
        <f ca="1">_xll.RiskLogistic(0.0032402,0.050981,_xll.RiskTruncate(-0.99,0.99),_xll.RiskCorrmat(NewMatrix2,2,"5/1/2021"))</f>
        <v>3.2401264829321486E-3</v>
      </c>
      <c r="BY84" s="8">
        <f ca="1">_xll.RiskLogistic(0.0032402,0.050981,_xll.RiskTruncate(-0.99,0.99),_xll.RiskCorrmat(NewMatrix2,2,"6/1/2021"))</f>
        <v>3.2401264829321486E-3</v>
      </c>
      <c r="BZ84" s="8">
        <f ca="1">_xll.RiskLogistic(0.0032402,0.050981,_xll.RiskTruncate(-0.99,0.99),_xll.RiskCorrmat(NewMatrix2,2,"7/1/2021"))</f>
        <v>3.2401264829321486E-3</v>
      </c>
      <c r="CA84" s="8">
        <f ca="1">_xll.RiskLogistic(0.0032402,0.050981,_xll.RiskTruncate(-0.99,0.99),_xll.RiskCorrmat(NewMatrix2,2,"8/1/2021"))</f>
        <v>3.2401264829321486E-3</v>
      </c>
      <c r="CB84" s="8">
        <f ca="1">_xll.RiskLogistic(0.0032402,0.050981,_xll.RiskTruncate(-0.99,0.99),_xll.RiskCorrmat(NewMatrix2,2,"9/1/2021"))</f>
        <v>3.2401264829321486E-3</v>
      </c>
      <c r="CC84" s="8">
        <f ca="1">_xll.RiskLogistic(0.0032402,0.050981,_xll.RiskTruncate(-0.99,0.99),_xll.RiskCorrmat(NewMatrix2,2,"10/1/2021"))</f>
        <v>3.2401264829321486E-3</v>
      </c>
      <c r="CD84" s="8">
        <f ca="1">_xll.RiskLogistic(0.0032402,0.050981,_xll.RiskTruncate(-0.99,0.99),_xll.RiskCorrmat(NewMatrix2,2,"11/1/2021"))</f>
        <v>3.2401264829321486E-3</v>
      </c>
      <c r="CE84" s="8">
        <f ca="1">_xll.RiskLogistic(0.0032402,0.050981,_xll.RiskTruncate(-0.99,0.99),_xll.RiskCorrmat(NewMatrix2,2,"12/1/2021"))</f>
        <v>3.2401264829321486E-3</v>
      </c>
      <c r="CF84" s="8">
        <f ca="1">_xll.RiskLogistic(0.0032402,0.050981,_xll.RiskTruncate(-0.99,0.99),_xll.RiskCorrmat(NewMatrix2,2,"1/1/2022"))</f>
        <v>3.2401264829321486E-3</v>
      </c>
      <c r="CG84" s="8">
        <f ca="1">_xll.RiskLogistic(0.0032402,0.050981,_xll.RiskTruncate(-0.99,0.99),_xll.RiskCorrmat(NewMatrix2,2,"2/1/2022"))</f>
        <v>3.2401264829321486E-3</v>
      </c>
      <c r="CH84" s="8">
        <f ca="1">_xll.RiskLogistic(0.0032402,0.050981,_xll.RiskTruncate(-0.99,0.99),_xll.RiskCorrmat(NewMatrix2,2,"3/1/2022"))</f>
        <v>3.2401264829321486E-3</v>
      </c>
      <c r="CI84" s="8">
        <f ca="1">_xll.RiskLogistic(0.0032402,0.050981,_xll.RiskTruncate(-0.99,0.99),_xll.RiskCorrmat(NewMatrix2,2,"4/1/2022"))</f>
        <v>3.2401264829321486E-3</v>
      </c>
      <c r="CJ84" s="8">
        <f ca="1">_xll.RiskLogistic(0.0032402,0.050981,_xll.RiskTruncate(-0.99,0.99),_xll.RiskCorrmat(NewMatrix2,2,"5/1/2022"))</f>
        <v>3.2401264829321486E-3</v>
      </c>
      <c r="CK84" s="8">
        <f ca="1">_xll.RiskLogistic(0.0032402,0.050981,_xll.RiskTruncate(-0.99,0.99),_xll.RiskCorrmat(NewMatrix2,2,"6/1/2022"))</f>
        <v>3.2401264829321486E-3</v>
      </c>
      <c r="CL84" s="8">
        <f ca="1">_xll.RiskLogistic(0.0032402,0.050981,_xll.RiskTruncate(-0.99,0.99),_xll.RiskCorrmat(NewMatrix2,2,"7/1/2022"))</f>
        <v>3.2401264829321486E-3</v>
      </c>
      <c r="CM84" s="8">
        <f ca="1">_xll.RiskLogistic(0.0032402,0.050981,_xll.RiskTruncate(-0.99,0.99),_xll.RiskCorrmat(NewMatrix2,2,"8/1/2022"))</f>
        <v>3.2401264829321486E-3</v>
      </c>
      <c r="CN84" s="8">
        <f ca="1">_xll.RiskLogistic(0.0032402,0.050981,_xll.RiskTruncate(-0.99,0.99),_xll.RiskCorrmat(NewMatrix2,2,"9/1/2022"))</f>
        <v>3.2401264829321486E-3</v>
      </c>
      <c r="CO84" s="8">
        <f ca="1">_xll.RiskLogistic(0.0032402,0.050981,_xll.RiskTruncate(-0.99,0.99),_xll.RiskCorrmat(NewMatrix2,2,"10/1/2022"))</f>
        <v>3.2401264829321486E-3</v>
      </c>
      <c r="CP84" s="8">
        <f ca="1">_xll.RiskLogistic(0.0032402,0.050981,_xll.RiskTruncate(-0.99,0.99),_xll.RiskCorrmat(NewMatrix2,2,"11/1/2022"))</f>
        <v>3.2401264829321486E-3</v>
      </c>
      <c r="CQ84" s="8">
        <f ca="1">_xll.RiskLogistic(0.0032402,0.050981,_xll.RiskTruncate(-0.99,0.99),_xll.RiskCorrmat(NewMatrix2,2,"12/1/2022"))</f>
        <v>3.2401264829321486E-3</v>
      </c>
      <c r="CR84" s="8">
        <f ca="1">_xll.RiskLogistic(0.0032402,0.050981,_xll.RiskTruncate(-0.99,0.99),_xll.RiskCorrmat(NewMatrix2,2,"1/1/2023"))</f>
        <v>3.2401264829321486E-3</v>
      </c>
      <c r="CS84" s="8">
        <f ca="1">_xll.RiskLogistic(0.0032402,0.050981,_xll.RiskTruncate(-0.99,0.99),_xll.RiskCorrmat(NewMatrix2,2,"2/1/2023"))</f>
        <v>3.2401264829321486E-3</v>
      </c>
      <c r="CT84" s="8">
        <f ca="1">_xll.RiskLogistic(0.0032402,0.050981,_xll.RiskTruncate(-0.99,0.99),_xll.RiskCorrmat(NewMatrix2,2,"3/1/2023"))</f>
        <v>3.2401264829321486E-3</v>
      </c>
      <c r="CU84" s="8">
        <f ca="1">_xll.RiskLogistic(0.0032402,0.050981,_xll.RiskTruncate(-0.99,0.99),_xll.RiskCorrmat(NewMatrix2,2,"4/1/2023"))</f>
        <v>3.2401264829321486E-3</v>
      </c>
      <c r="CV84" s="8">
        <f ca="1">_xll.RiskLogistic(0.0032402,0.050981,_xll.RiskTruncate(-0.99,0.99),_xll.RiskCorrmat(NewMatrix2,2,"5/1/2023"))</f>
        <v>3.2401264829321486E-3</v>
      </c>
      <c r="CW84" s="8">
        <f ca="1">_xll.RiskLogistic(0.0032402,0.050981,_xll.RiskTruncate(-0.99,0.99),_xll.RiskCorrmat(NewMatrix2,2,"6/1/2023"))</f>
        <v>3.2401264829321486E-3</v>
      </c>
      <c r="CX84" s="8">
        <f ca="1">_xll.RiskLogistic(0.0032402,0.050981,_xll.RiskTruncate(-0.99,0.99),_xll.RiskCorrmat(NewMatrix2,2,"7/1/2023"))</f>
        <v>3.2401264829321486E-3</v>
      </c>
      <c r="CY84" s="8">
        <f ca="1">_xll.RiskLogistic(0.0032402,0.050981,_xll.RiskTruncate(-0.99,0.99),_xll.RiskCorrmat(NewMatrix2,2,"8/1/2023"))</f>
        <v>3.2401264829321486E-3</v>
      </c>
      <c r="CZ84" s="8">
        <f ca="1">_xll.RiskLogistic(0.0032402,0.050981,_xll.RiskTruncate(-0.99,0.99),_xll.RiskCorrmat(NewMatrix2,2,"9/1/2023"))</f>
        <v>3.2401264829321486E-3</v>
      </c>
      <c r="DA84" s="8">
        <f ca="1">_xll.RiskLogistic(0.0032402,0.050981,_xll.RiskTruncate(-0.99,0.99),_xll.RiskCorrmat(NewMatrix2,2,"10/1/2023"))</f>
        <v>3.2401264829321486E-3</v>
      </c>
      <c r="DB84" s="8">
        <f ca="1">_xll.RiskLogistic(0.0032402,0.050981,_xll.RiskTruncate(-0.99,0.99),_xll.RiskCorrmat(NewMatrix2,2,"11/1/2023"))</f>
        <v>3.2401264829321486E-3</v>
      </c>
      <c r="DC84" s="8">
        <f ca="1">_xll.RiskLogistic(0.0032402,0.050981,_xll.RiskTruncate(-0.99,0.99),_xll.RiskCorrmat(NewMatrix2,2,"12/1/2023"))</f>
        <v>3.2401264829321486E-3</v>
      </c>
      <c r="DD84" s="8">
        <f ca="1">_xll.RiskLogistic(0.0032402,0.050981,_xll.RiskTruncate(-0.99,0.99),_xll.RiskCorrmat(NewMatrix2,2,"1/1/2024"))</f>
        <v>3.2401264829321486E-3</v>
      </c>
      <c r="DE84" s="8">
        <f ca="1">_xll.RiskLogistic(0.0032402,0.050981,_xll.RiskTruncate(-0.99,0.99),_xll.RiskCorrmat(NewMatrix2,2,"2/1/2024"))</f>
        <v>3.2401264829321486E-3</v>
      </c>
      <c r="DF84" s="8">
        <f ca="1">_xll.RiskLogistic(0.0032402,0.050981,_xll.RiskTruncate(-0.99,0.99),_xll.RiskCorrmat(NewMatrix2,2,"3/1/2024"))</f>
        <v>3.2401264829321486E-3</v>
      </c>
      <c r="DG84" s="8">
        <f ca="1">_xll.RiskLogistic(0.0032402,0.050981,_xll.RiskTruncate(-0.99,0.99),_xll.RiskCorrmat(NewMatrix2,2,"4/1/2024"))</f>
        <v>3.2401264829321486E-3</v>
      </c>
      <c r="DH84" s="8">
        <f ca="1">_xll.RiskLogistic(0.0032402,0.050981,_xll.RiskTruncate(-0.99,0.99),_xll.RiskCorrmat(NewMatrix2,2,"5/1/2024"))</f>
        <v>3.2401264829321486E-3</v>
      </c>
      <c r="DI84" s="8">
        <f ca="1">_xll.RiskLogistic(0.0032402,0.050981,_xll.RiskTruncate(-0.99,0.99),_xll.RiskCorrmat(NewMatrix2,2,"6/1/2024"))</f>
        <v>3.2401264829321486E-3</v>
      </c>
      <c r="DJ84" s="8">
        <f ca="1">_xll.RiskLogistic(0.0032402,0.050981,_xll.RiskTruncate(-0.99,0.99),_xll.RiskCorrmat(NewMatrix2,2,"7/1/2024"))</f>
        <v>3.2401264829321486E-3</v>
      </c>
      <c r="DK84" s="8">
        <f ca="1">_xll.RiskLogistic(0.0032402,0.050981,_xll.RiskTruncate(-0.99,0.99),_xll.RiskCorrmat(NewMatrix2,2,"8/1/2024"))</f>
        <v>3.2401264829321486E-3</v>
      </c>
      <c r="DL84" s="8">
        <f ca="1">_xll.RiskLogistic(0.0032402,0.050981,_xll.RiskTruncate(-0.99,0.99),_xll.RiskCorrmat(NewMatrix2,2,"9/1/2024"))</f>
        <v>3.2401264829321486E-3</v>
      </c>
      <c r="DM84" s="8">
        <f ca="1">_xll.RiskLogistic(0.0032402,0.050981,_xll.RiskTruncate(-0.99,0.99),_xll.RiskCorrmat(NewMatrix2,2,"10/1/2024"))</f>
        <v>3.2401264829321486E-3</v>
      </c>
      <c r="DN84" s="8">
        <f ca="1">_xll.RiskLogistic(0.0032402,0.050981,_xll.RiskTruncate(-0.99,0.99),_xll.RiskCorrmat(NewMatrix2,2,"11/1/2024"))</f>
        <v>3.2401264829321486E-3</v>
      </c>
      <c r="DO84" s="8">
        <f ca="1">_xll.RiskLogistic(0.0032402,0.050981,_xll.RiskTruncate(-0.99,0.99),_xll.RiskCorrmat(NewMatrix2,2,"12/1/2024"))</f>
        <v>3.2401264829321486E-3</v>
      </c>
      <c r="DP84" s="8">
        <f ca="1">_xll.RiskLogistic(0.0032402,0.050981,_xll.RiskTruncate(-0.99,0.99),_xll.RiskCorrmat(NewMatrix2,2,"1/1/2025"))</f>
        <v>3.2401264829321486E-3</v>
      </c>
      <c r="DQ84" s="8">
        <f ca="1">_xll.RiskLogistic(0.0032402,0.050981,_xll.RiskTruncate(-0.99,0.99),_xll.RiskCorrmat(NewMatrix2,2,"2/1/2025"))</f>
        <v>3.2401264829321486E-3</v>
      </c>
      <c r="DR84" s="8">
        <f ca="1">_xll.RiskLogistic(0.0032402,0.050981,_xll.RiskTruncate(-0.99,0.99),_xll.RiskCorrmat(NewMatrix2,2,"3/1/2025"))</f>
        <v>3.2401264829321486E-3</v>
      </c>
      <c r="DS84" s="8">
        <f ca="1">_xll.RiskLogistic(0.0032402,0.050981,_xll.RiskTruncate(-0.99,0.99),_xll.RiskCorrmat(NewMatrix2,2,"4/1/2025"))</f>
        <v>3.2401264829321486E-3</v>
      </c>
      <c r="DT84" s="8">
        <f ca="1">_xll.RiskLogistic(0.0032402,0.050981,_xll.RiskTruncate(-0.99,0.99),_xll.RiskCorrmat(NewMatrix2,2,"5/1/2025"))</f>
        <v>3.2401264829321486E-3</v>
      </c>
      <c r="DU84" s="8">
        <f ca="1">_xll.RiskLogistic(0.0032402,0.050981,_xll.RiskTruncate(-0.99,0.99),_xll.RiskCorrmat(NewMatrix2,2,"6/1/2025"))</f>
        <v>3.2401264829321486E-3</v>
      </c>
      <c r="DV84" s="8">
        <f ca="1">_xll.RiskLogistic(0.0032402,0.050981,_xll.RiskTruncate(-0.99,0.99),_xll.RiskCorrmat(NewMatrix2,2,"7/1/2025"))</f>
        <v>3.2401264829321486E-3</v>
      </c>
      <c r="DW84" s="8">
        <f ca="1">_xll.RiskLogistic(0.0032402,0.050981,_xll.RiskTruncate(-0.99,0.99),_xll.RiskCorrmat(NewMatrix2,2,"8/1/2025"))</f>
        <v>3.2401264829321486E-3</v>
      </c>
      <c r="DX84" s="8">
        <f ca="1">_xll.RiskLogistic(0.0032402,0.050981,_xll.RiskTruncate(-0.99,0.99),_xll.RiskCorrmat(NewMatrix2,2,"9/1/2025"))</f>
        <v>3.2401264829321486E-3</v>
      </c>
      <c r="DY84" s="8">
        <f ca="1">_xll.RiskLogistic(0.0032402,0.050981,_xll.RiskTruncate(-0.99,0.99),_xll.RiskCorrmat(NewMatrix2,2,"10/1/2025"))</f>
        <v>3.2401264829321486E-3</v>
      </c>
      <c r="DZ84" s="8">
        <f ca="1">_xll.RiskLogistic(0.0032402,0.050981,_xll.RiskTruncate(-0.99,0.99),_xll.RiskCorrmat(NewMatrix2,2,"11/1/2025"))</f>
        <v>3.2401264829321486E-3</v>
      </c>
      <c r="EA84" s="8">
        <f ca="1">_xll.RiskLogistic(0.0032402,0.050981,_xll.RiskTruncate(-0.99,0.99),_xll.RiskCorrmat(NewMatrix2,2,"12/1/2025"))</f>
        <v>3.2401264829321486E-3</v>
      </c>
      <c r="EB84" s="8">
        <f ca="1">_xll.RiskLogistic(0.0032402,0.050981,_xll.RiskTruncate(-0.99,0.99),_xll.RiskCorrmat(NewMatrix2,2,"1/1/2026"))</f>
        <v>3.2401264829321486E-3</v>
      </c>
      <c r="EC84" s="8">
        <f ca="1">_xll.RiskLogistic(0.0032402,0.050981,_xll.RiskTruncate(-0.99,0.99),_xll.RiskCorrmat(NewMatrix2,2,"2/1/2026"))</f>
        <v>3.2401264829321486E-3</v>
      </c>
      <c r="ED84" s="8">
        <f ca="1">_xll.RiskLogistic(0.0032402,0.050981,_xll.RiskTruncate(-0.99,0.99),_xll.RiskCorrmat(NewMatrix2,2,"3/1/2026"))</f>
        <v>3.2401264829321486E-3</v>
      </c>
      <c r="EE84" s="8">
        <f ca="1">_xll.RiskLogistic(0.0032402,0.050981,_xll.RiskTruncate(-0.99,0.99),_xll.RiskCorrmat(NewMatrix2,2,"4/1/2026"))</f>
        <v>3.2401264829321486E-3</v>
      </c>
      <c r="EF84" s="8">
        <f ca="1">_xll.RiskLogistic(0.0032402,0.050981,_xll.RiskTruncate(-0.99,0.99),_xll.RiskCorrmat(NewMatrix2,2,"5/1/2026"))</f>
        <v>3.2401264829321486E-3</v>
      </c>
      <c r="EG84" s="8">
        <f ca="1">_xll.RiskLogistic(0.0032402,0.050981,_xll.RiskTruncate(-0.99,0.99),_xll.RiskCorrmat(NewMatrix2,2,"6/1/2026"))</f>
        <v>3.2401264829321486E-3</v>
      </c>
      <c r="EH84" s="8">
        <f ca="1">_xll.RiskLogistic(0.0032402,0.050981,_xll.RiskTruncate(-0.99,0.99),_xll.RiskCorrmat(NewMatrix2,2,"7/1/2026"))</f>
        <v>3.2401264829321486E-3</v>
      </c>
      <c r="EI84" s="8">
        <f ca="1">_xll.RiskLogistic(0.0032402,0.050981,_xll.RiskTruncate(-0.99,0.99),_xll.RiskCorrmat(NewMatrix2,2,"8/1/2026"))</f>
        <v>3.2401264829321486E-3</v>
      </c>
      <c r="EJ84" s="8">
        <f ca="1">_xll.RiskLogistic(0.0032402,0.050981,_xll.RiskTruncate(-0.99,0.99),_xll.RiskCorrmat(NewMatrix2,2,"9/1/2026"))</f>
        <v>3.2401264829321486E-3</v>
      </c>
      <c r="EK84" s="8">
        <f ca="1">_xll.RiskLogistic(0.0032402,0.050981,_xll.RiskTruncate(-0.99,0.99),_xll.RiskCorrmat(NewMatrix2,2,"10/1/2026"))</f>
        <v>3.2401264829321486E-3</v>
      </c>
      <c r="EL84" s="8">
        <f ca="1">_xll.RiskLogistic(0.0032402,0.050981,_xll.RiskTruncate(-0.99,0.99),_xll.RiskCorrmat(NewMatrix2,2,"11/1/2026"))</f>
        <v>3.2401264829321486E-3</v>
      </c>
      <c r="EM84" s="8">
        <f ca="1">_xll.RiskLogistic(0.0032402,0.050981,_xll.RiskTruncate(-0.99,0.99),_xll.RiskCorrmat(NewMatrix2,2,"12/1/2026"))</f>
        <v>3.2401264829321486E-3</v>
      </c>
      <c r="EN84" s="8">
        <f ca="1">_xll.RiskLogistic(0.0032402,0.050981,_xll.RiskTruncate(-0.99,0.99),_xll.RiskCorrmat(NewMatrix2,2,"1/1/2027"))</f>
        <v>3.2401264829321486E-3</v>
      </c>
      <c r="EO84" s="8">
        <f ca="1">_xll.RiskLogistic(0.0032402,0.050981,_xll.RiskTruncate(-0.99,0.99),_xll.RiskCorrmat(NewMatrix2,2,"2/1/2027"))</f>
        <v>3.2401264829321486E-3</v>
      </c>
      <c r="EP84" s="8">
        <f ca="1">_xll.RiskLogistic(0.0032402,0.050981,_xll.RiskTruncate(-0.99,0.99),_xll.RiskCorrmat(NewMatrix2,2,"3/1/2027"))</f>
        <v>3.2401264829321486E-3</v>
      </c>
      <c r="EQ84" s="8">
        <f ca="1">_xll.RiskLogistic(0.0032402,0.050981,_xll.RiskTruncate(-0.99,0.99),_xll.RiskCorrmat(NewMatrix2,2,"4/1/2027"))</f>
        <v>3.2401264829321486E-3</v>
      </c>
      <c r="ER84" s="8">
        <f ca="1">_xll.RiskLogistic(0.0032402,0.050981,_xll.RiskTruncate(-0.99,0.99),_xll.RiskCorrmat(NewMatrix2,2,"5/1/2027"))</f>
        <v>3.2401264829321486E-3</v>
      </c>
      <c r="ES84" s="8">
        <f ca="1">_xll.RiskLogistic(0.0032402,0.050981,_xll.RiskTruncate(-0.99,0.99),_xll.RiskCorrmat(NewMatrix2,2,"6/1/2027"))</f>
        <v>3.2401264829321486E-3</v>
      </c>
      <c r="ET84" s="8">
        <f ca="1">_xll.RiskLogistic(0.0032402,0.050981,_xll.RiskTruncate(-0.99,0.99),_xll.RiskCorrmat(NewMatrix2,2,"7/1/2027"))</f>
        <v>3.2401264829321486E-3</v>
      </c>
      <c r="EU84" s="8">
        <f ca="1">_xll.RiskLogistic(0.0032402,0.050981,_xll.RiskTruncate(-0.99,0.99),_xll.RiskCorrmat(NewMatrix2,2,"8/1/2027"))</f>
        <v>3.2401264829321486E-3</v>
      </c>
      <c r="EV84" s="8">
        <f ca="1">_xll.RiskLogistic(0.0032402,0.050981,_xll.RiskTruncate(-0.99,0.99),_xll.RiskCorrmat(NewMatrix2,2,"9/1/2027"))</f>
        <v>3.2401264829321486E-3</v>
      </c>
      <c r="EW84" s="8">
        <f ca="1">_xll.RiskLogistic(0.0032402,0.050981,_xll.RiskTruncate(-0.99,0.99),_xll.RiskCorrmat(NewMatrix2,2,"10/1/2027"))</f>
        <v>3.2401264829321486E-3</v>
      </c>
      <c r="EX84" s="8">
        <f ca="1">_xll.RiskLogistic(0.0032402,0.050981,_xll.RiskTruncate(-0.99,0.99),_xll.RiskCorrmat(NewMatrix2,2,"11/1/2027"))</f>
        <v>3.2401264829321486E-3</v>
      </c>
      <c r="EY84" s="8">
        <f ca="1">_xll.RiskLogistic(0.0032402,0.050981,_xll.RiskTruncate(-0.99,0.99),_xll.RiskCorrmat(NewMatrix2,2,"12/1/2027"))</f>
        <v>3.2401264829321486E-3</v>
      </c>
      <c r="EZ84" s="8">
        <f ca="1">_xll.RiskLogistic(0.0032402,0.050981,_xll.RiskTruncate(-0.99,0.99),_xll.RiskCorrmat(NewMatrix2,2,"1/1/2028"))</f>
        <v>3.2401264829321486E-3</v>
      </c>
      <c r="FA84" s="8">
        <f ca="1">_xll.RiskLogistic(0.0032402,0.050981,_xll.RiskTruncate(-0.99,0.99),_xll.RiskCorrmat(NewMatrix2,2,"2/1/2028"))</f>
        <v>3.2401264829321486E-3</v>
      </c>
      <c r="FB84" s="8">
        <f ca="1">_xll.RiskLogistic(0.0032402,0.050981,_xll.RiskTruncate(-0.99,0.99),_xll.RiskCorrmat(NewMatrix2,2,"3/1/2028"))</f>
        <v>3.2401264829321486E-3</v>
      </c>
      <c r="FC84" s="8">
        <f ca="1">_xll.RiskLogistic(0.0032402,0.050981,_xll.RiskTruncate(-0.99,0.99),_xll.RiskCorrmat(NewMatrix2,2,"4/1/2028"))</f>
        <v>3.2401264829321486E-3</v>
      </c>
      <c r="FD84" s="8">
        <f ca="1">_xll.RiskLogistic(0.0032402,0.050981,_xll.RiskTruncate(-0.99,0.99),_xll.RiskCorrmat(NewMatrix2,2,"5/1/2028"))</f>
        <v>3.2401264829321486E-3</v>
      </c>
      <c r="FE84" s="8">
        <f ca="1">_xll.RiskLogistic(0.0032402,0.050981,_xll.RiskTruncate(-0.99,0.99),_xll.RiskCorrmat(NewMatrix2,2,"6/1/2028"))</f>
        <v>3.2401264829321486E-3</v>
      </c>
      <c r="FF84" s="8">
        <f ca="1">_xll.RiskLogistic(0.0032402,0.050981,_xll.RiskTruncate(-0.99,0.99),_xll.RiskCorrmat(NewMatrix2,2,"7/1/2028"))</f>
        <v>3.2401264829321486E-3</v>
      </c>
      <c r="FG84" s="8">
        <f ca="1">_xll.RiskLogistic(0.0032402,0.050981,_xll.RiskTruncate(-0.99,0.99),_xll.RiskCorrmat(NewMatrix2,2,"8/1/2028"))</f>
        <v>3.2401264829321486E-3</v>
      </c>
      <c r="FH84" s="8">
        <f ca="1">_xll.RiskLogistic(0.0032402,0.050981,_xll.RiskTruncate(-0.99,0.99),_xll.RiskCorrmat(NewMatrix2,2,"9/1/2028"))</f>
        <v>3.2401264829321486E-3</v>
      </c>
      <c r="FI84" s="8">
        <f ca="1">_xll.RiskLogistic(0.0032402,0.050981,_xll.RiskTruncate(-0.99,0.99),_xll.RiskCorrmat(NewMatrix2,2,"10/1/2028"))</f>
        <v>3.2401264829321486E-3</v>
      </c>
      <c r="FJ84" s="8">
        <f ca="1">_xll.RiskLogistic(0.0032402,0.050981,_xll.RiskTruncate(-0.99,0.99),_xll.RiskCorrmat(NewMatrix2,2,"11/1/2028"))</f>
        <v>3.2401264829321486E-3</v>
      </c>
      <c r="FK84" s="8">
        <f ca="1">_xll.RiskLogistic(0.0032402,0.050981,_xll.RiskTruncate(-0.99,0.99),_xll.RiskCorrmat(NewMatrix2,2,"12/1/2028"))</f>
        <v>3.2401264829321486E-3</v>
      </c>
      <c r="FL84" s="8">
        <f ca="1">_xll.RiskLogistic(0.0032402,0.050981,_xll.RiskTruncate(-0.99,0.99),_xll.RiskCorrmat(NewMatrix2,2,"1/1/2029"))</f>
        <v>3.2401264829321486E-3</v>
      </c>
      <c r="FM84" s="8">
        <f ca="1">_xll.RiskLogistic(0.0032402,0.050981,_xll.RiskTruncate(-0.99,0.99),_xll.RiskCorrmat(NewMatrix2,2,"2/1/2029"))</f>
        <v>3.2401264829321486E-3</v>
      </c>
      <c r="FN84" s="8">
        <f ca="1">_xll.RiskLogistic(0.0032402,0.050981,_xll.RiskTruncate(-0.99,0.99),_xll.RiskCorrmat(NewMatrix2,2,"3/1/2029"))</f>
        <v>3.2401264829321486E-3</v>
      </c>
      <c r="FO84" s="8">
        <f ca="1">_xll.RiskLogistic(0.0032402,0.050981,_xll.RiskTruncate(-0.99,0.99),_xll.RiskCorrmat(NewMatrix2,2,"4/1/2029"))</f>
        <v>3.2401264829321486E-3</v>
      </c>
      <c r="FP84" s="8">
        <f ca="1">_xll.RiskLogistic(0.0032402,0.050981,_xll.RiskTruncate(-0.99,0.99),_xll.RiskCorrmat(NewMatrix2,2,"5/1/2029"))</f>
        <v>3.2401264829321486E-3</v>
      </c>
      <c r="FQ84" s="8">
        <f ca="1">_xll.RiskLogistic(0.0032402,0.050981,_xll.RiskTruncate(-0.99,0.99),_xll.RiskCorrmat(NewMatrix2,2,"6/1/2029"))</f>
        <v>3.2401264829321486E-3</v>
      </c>
      <c r="FR84" s="8">
        <f ca="1">_xll.RiskLogistic(0.0032402,0.050981,_xll.RiskTruncate(-0.99,0.99),_xll.RiskCorrmat(NewMatrix2,2,"7/1/2029"))</f>
        <v>3.2401264829321486E-3</v>
      </c>
      <c r="FS84" s="8">
        <f ca="1">_xll.RiskLogistic(0.0032402,0.050981,_xll.RiskTruncate(-0.99,0.99),_xll.RiskCorrmat(NewMatrix2,2,"8/1/2029"))</f>
        <v>3.2401264829321486E-3</v>
      </c>
      <c r="FT84" s="8">
        <f ca="1">_xll.RiskLogistic(0.0032402,0.050981,_xll.RiskTruncate(-0.99,0.99),_xll.RiskCorrmat(NewMatrix2,2,"9/1/2029"))</f>
        <v>3.2401264829321486E-3</v>
      </c>
      <c r="FU84" s="8">
        <f ca="1">_xll.RiskLogistic(0.0032402,0.050981,_xll.RiskTruncate(-0.99,0.99),_xll.RiskCorrmat(NewMatrix2,2,"10/1/2029"))</f>
        <v>3.2401264829321486E-3</v>
      </c>
      <c r="FV84" s="8">
        <f ca="1">_xll.RiskLogistic(0.0032402,0.050981,_xll.RiskTruncate(-0.99,0.99),_xll.RiskCorrmat(NewMatrix2,2,"11/1/2029"))</f>
        <v>3.2401264829321486E-3</v>
      </c>
      <c r="FW84" s="8">
        <f ca="1">_xll.RiskLogistic(0.0032402,0.050981,_xll.RiskTruncate(-0.99,0.99),_xll.RiskCorrmat(NewMatrix2,2,"12/1/2029"))</f>
        <v>3.2401264829321486E-3</v>
      </c>
      <c r="FX84" s="8">
        <f ca="1">_xll.RiskLogistic(0.0032402,0.050981,_xll.RiskTruncate(-0.99,0.99),_xll.RiskCorrmat(NewMatrix2,2,"1/1/2030"))</f>
        <v>3.2401264829321486E-3</v>
      </c>
      <c r="FY84" s="8">
        <f ca="1">_xll.RiskLogistic(0.0032402,0.050981,_xll.RiskTruncate(-0.99,0.99),_xll.RiskCorrmat(NewMatrix2,2,"2/1/2030"))</f>
        <v>3.2401264829321486E-3</v>
      </c>
      <c r="FZ84" s="8">
        <f ca="1">_xll.RiskLogistic(0.0032402,0.050981,_xll.RiskTruncate(-0.99,0.99),_xll.RiskCorrmat(NewMatrix2,2,"3/1/2030"))</f>
        <v>3.2401264829321486E-3</v>
      </c>
      <c r="GA84" s="8">
        <f ca="1">_xll.RiskLogistic(0.0032402,0.050981,_xll.RiskTruncate(-0.99,0.99),_xll.RiskCorrmat(NewMatrix2,2,"4/1/2030"))</f>
        <v>3.2401264829321486E-3</v>
      </c>
      <c r="GB84" s="8">
        <f ca="1">_xll.RiskLogistic(0.0032402,0.050981,_xll.RiskTruncate(-0.99,0.99),_xll.RiskCorrmat(NewMatrix2,2,"5/1/2030"))</f>
        <v>3.2401264829321486E-3</v>
      </c>
      <c r="GC84" s="8">
        <f ca="1">_xll.RiskLogistic(0.0032402,0.050981,_xll.RiskTruncate(-0.99,0.99),_xll.RiskCorrmat(NewMatrix2,2,"6/1/2030"))</f>
        <v>3.2401264829321486E-3</v>
      </c>
      <c r="GD84" s="8">
        <f ca="1">_xll.RiskLogistic(0.0032402,0.050981,_xll.RiskTruncate(-0.99,0.99),_xll.RiskCorrmat(NewMatrix2,2,"7/1/2030"))</f>
        <v>3.2401264829321486E-3</v>
      </c>
      <c r="GE84" s="8">
        <f ca="1">_xll.RiskLogistic(0.0032402,0.050981,_xll.RiskTruncate(-0.99,0.99),_xll.RiskCorrmat(NewMatrix2,2,"8/1/2030"))</f>
        <v>3.2401264829321486E-3</v>
      </c>
      <c r="GF84" s="8">
        <f ca="1">_xll.RiskLogistic(0.0032402,0.050981,_xll.RiskTruncate(-0.99,0.99),_xll.RiskCorrmat(NewMatrix2,2,"9/1/2030"))</f>
        <v>3.2401264829321486E-3</v>
      </c>
      <c r="GG84" s="8">
        <f ca="1">_xll.RiskLogistic(0.0032402,0.050981,_xll.RiskTruncate(-0.99,0.99),_xll.RiskCorrmat(NewMatrix2,2,"10/1/2030"))</f>
        <v>3.2401264829321486E-3</v>
      </c>
      <c r="GH84" s="8">
        <f ca="1">_xll.RiskLogistic(0.0032402,0.050981,_xll.RiskTruncate(-0.99,0.99),_xll.RiskCorrmat(NewMatrix2,2,"11/1/2030"))</f>
        <v>3.2401264829321486E-3</v>
      </c>
      <c r="GI84" s="8">
        <f ca="1">_xll.RiskLogistic(0.0032402,0.050981,_xll.RiskTruncate(-0.99,0.99),_xll.RiskCorrmat(NewMatrix2,2,"12/1/2030"))</f>
        <v>3.2401264829321486E-3</v>
      </c>
      <c r="GJ84" s="8">
        <f ca="1">_xll.RiskLogistic(0.0032402,0.050981,_xll.RiskTruncate(-0.99,0.99),_xll.RiskCorrmat(NewMatrix2,2,"1/1/2031"))</f>
        <v>3.2401264829321486E-3</v>
      </c>
      <c r="GK84" s="8">
        <f ca="1">_xll.RiskLogistic(0.0032402,0.050981,_xll.RiskTruncate(-0.99,0.99),_xll.RiskCorrmat(NewMatrix2,2,"2/1/2031"))</f>
        <v>3.2401264829321486E-3</v>
      </c>
      <c r="GL84" s="8">
        <f ca="1">_xll.RiskLogistic(0.0032402,0.050981,_xll.RiskTruncate(-0.99,0.99),_xll.RiskCorrmat(NewMatrix2,2,"3/1/2031"))</f>
        <v>3.2401264829321486E-3</v>
      </c>
      <c r="GM84" s="8">
        <f ca="1">_xll.RiskLogistic(0.0032402,0.050981,_xll.RiskTruncate(-0.99,0.99),_xll.RiskCorrmat(NewMatrix2,2,"4/1/2031"))</f>
        <v>3.2401264829321486E-3</v>
      </c>
      <c r="GN84" s="8">
        <f ca="1">_xll.RiskLogistic(0.0032402,0.050981,_xll.RiskTruncate(-0.99,0.99),_xll.RiskCorrmat(NewMatrix2,2,"5/1/2031"))</f>
        <v>3.2401264829321486E-3</v>
      </c>
      <c r="GO84" s="8">
        <f ca="1">_xll.RiskLogistic(0.0032402,0.050981,_xll.RiskTruncate(-0.99,0.99),_xll.RiskCorrmat(NewMatrix2,2,"6/1/2031"))</f>
        <v>3.2401264829321486E-3</v>
      </c>
      <c r="GP84" s="8">
        <f ca="1">_xll.RiskLogistic(0.0032402,0.050981,_xll.RiskTruncate(-0.99,0.99),_xll.RiskCorrmat(NewMatrix2,2,"7/1/2031"))</f>
        <v>3.2401264829321486E-3</v>
      </c>
      <c r="GQ84" s="8">
        <f ca="1">_xll.RiskLogistic(0.0032402,0.050981,_xll.RiskTruncate(-0.99,0.99),_xll.RiskCorrmat(NewMatrix2,2,"8/1/2031"))</f>
        <v>3.2401264829321486E-3</v>
      </c>
      <c r="GR84" s="8">
        <f ca="1">_xll.RiskLogistic(0.0032402,0.050981,_xll.RiskTruncate(-0.99,0.99),_xll.RiskCorrmat(NewMatrix2,2,"9/1/2031"))</f>
        <v>3.2401264829321486E-3</v>
      </c>
      <c r="GS84" s="8">
        <f ca="1">_xll.RiskLogistic(0.0032402,0.050981,_xll.RiskTruncate(-0.99,0.99),_xll.RiskCorrmat(NewMatrix2,2,"10/1/2031"))</f>
        <v>3.2401264829321486E-3</v>
      </c>
      <c r="GT84" s="8">
        <f ca="1">_xll.RiskLogistic(0.0032402,0.050981,_xll.RiskTruncate(-0.99,0.99),_xll.RiskCorrmat(NewMatrix2,2,"11/1/2031"))</f>
        <v>3.2401264829321486E-3</v>
      </c>
      <c r="GU84" s="8">
        <f ca="1">_xll.RiskLogistic(0.0032402,0.050981,_xll.RiskTruncate(-0.99,0.99),_xll.RiskCorrmat(NewMatrix2,2,"12/1/2031"))</f>
        <v>3.2401264829321486E-3</v>
      </c>
      <c r="GV84" s="8">
        <f ca="1">_xll.RiskLogistic(0.0032402,0.050981,_xll.RiskTruncate(-0.99,0.99),_xll.RiskCorrmat(NewMatrix2,2,"1/1/2032"))</f>
        <v>3.2401264829321486E-3</v>
      </c>
      <c r="GW84" s="8">
        <f ca="1">_xll.RiskLogistic(0.0032402,0.050981,_xll.RiskTruncate(-0.99,0.99),_xll.RiskCorrmat(NewMatrix2,2,"2/1/2032"))</f>
        <v>3.2401264829321486E-3</v>
      </c>
      <c r="GX84" s="8">
        <f ca="1">_xll.RiskLogistic(0.0032402,0.050981,_xll.RiskTruncate(-0.99,0.99),_xll.RiskCorrmat(NewMatrix2,2,"3/1/2032"))</f>
        <v>3.2401264829321486E-3</v>
      </c>
      <c r="GY84" s="8">
        <f ca="1">_xll.RiskLogistic(0.0032402,0.050981,_xll.RiskTruncate(-0.99,0.99),_xll.RiskCorrmat(NewMatrix2,2,"4/1/2032"))</f>
        <v>3.2401264829321486E-3</v>
      </c>
      <c r="GZ84" s="8">
        <f ca="1">_xll.RiskLogistic(0.0032402,0.050981,_xll.RiskTruncate(-0.99,0.99),_xll.RiskCorrmat(NewMatrix2,2,"5/1/2032"))</f>
        <v>3.2401264829321486E-3</v>
      </c>
      <c r="HA84" s="8">
        <f ca="1">_xll.RiskLogistic(0.0032402,0.050981,_xll.RiskTruncate(-0.99,0.99),_xll.RiskCorrmat(NewMatrix2,2,"6/1/2032"))</f>
        <v>3.2401264829321486E-3</v>
      </c>
      <c r="HB84" s="8">
        <f ca="1">_xll.RiskLogistic(0.0032402,0.050981,_xll.RiskTruncate(-0.99,0.99),_xll.RiskCorrmat(NewMatrix2,2,"7/1/2032"))</f>
        <v>3.2401264829321486E-3</v>
      </c>
      <c r="HC84" s="8">
        <f ca="1">_xll.RiskLogistic(0.0032402,0.050981,_xll.RiskTruncate(-0.99,0.99),_xll.RiskCorrmat(NewMatrix2,2,"8/1/2032"))</f>
        <v>3.2401264829321486E-3</v>
      </c>
      <c r="HD84" s="8">
        <f ca="1">_xll.RiskLogistic(0.0032402,0.050981,_xll.RiskTruncate(-0.99,0.99),_xll.RiskCorrmat(NewMatrix2,2,"9/1/2032"))</f>
        <v>3.2401264829321486E-3</v>
      </c>
      <c r="HE84" s="8">
        <f ca="1">_xll.RiskLogistic(0.0032402,0.050981,_xll.RiskTruncate(-0.99,0.99),_xll.RiskCorrmat(NewMatrix2,2,"10/1/2032"))</f>
        <v>3.2401264829321486E-3</v>
      </c>
      <c r="HF84" s="8">
        <f ca="1">_xll.RiskLogistic(0.0032402,0.050981,_xll.RiskTruncate(-0.99,0.99),_xll.RiskCorrmat(NewMatrix2,2,"11/1/2032"))</f>
        <v>3.2401264829321486E-3</v>
      </c>
      <c r="HG84" s="8">
        <f ca="1">_xll.RiskLogistic(0.0032402,0.050981,_xll.RiskTruncate(-0.99,0.99),_xll.RiskCorrmat(NewMatrix2,2,"12/1/2032"))</f>
        <v>3.2401264829321486E-3</v>
      </c>
      <c r="HH84" s="8">
        <f ca="1">_xll.RiskLogistic(0.0032402,0.050981,_xll.RiskTruncate(-0.99,0.99),_xll.RiskCorrmat(NewMatrix2,2,"1/1/2033"))</f>
        <v>3.2401264829321486E-3</v>
      </c>
      <c r="HI84" s="8">
        <f ca="1">_xll.RiskLogistic(0.0032402,0.050981,_xll.RiskTruncate(-0.99,0.99),_xll.RiskCorrmat(NewMatrix2,2,"2/1/2033"))</f>
        <v>3.2401264829321486E-3</v>
      </c>
      <c r="HJ84" s="8">
        <f ca="1">_xll.RiskLogistic(0.0032402,0.050981,_xll.RiskTruncate(-0.99,0.99),_xll.RiskCorrmat(NewMatrix2,2,"3/1/2033"))</f>
        <v>3.2401264829321486E-3</v>
      </c>
      <c r="HK84" s="8">
        <f ca="1">_xll.RiskLogistic(0.0032402,0.050981,_xll.RiskTruncate(-0.99,0.99),_xll.RiskCorrmat(NewMatrix2,2,"4/1/2033"))</f>
        <v>3.2401264829321486E-3</v>
      </c>
      <c r="HL84" s="8">
        <f ca="1">_xll.RiskLogistic(0.0032402,0.050981,_xll.RiskTruncate(-0.99,0.99),_xll.RiskCorrmat(NewMatrix2,2,"5/1/2033"))</f>
        <v>3.2401264829321486E-3</v>
      </c>
      <c r="HM84" s="8">
        <f ca="1">_xll.RiskLogistic(0.0032402,0.050981,_xll.RiskTruncate(-0.99,0.99),_xll.RiskCorrmat(NewMatrix2,2,"6/1/2033"))</f>
        <v>3.2401264829321486E-3</v>
      </c>
      <c r="HN84" s="8">
        <f ca="1">_xll.RiskLogistic(0.0032402,0.050981,_xll.RiskTruncate(-0.99,0.99),_xll.RiskCorrmat(NewMatrix2,2,"7/1/2033"))</f>
        <v>3.2401264829321486E-3</v>
      </c>
      <c r="HO84" s="8">
        <f ca="1">_xll.RiskLogistic(0.0032402,0.050981,_xll.RiskTruncate(-0.99,0.99),_xll.RiskCorrmat(NewMatrix2,2,"8/1/2033"))</f>
        <v>3.2401264829321486E-3</v>
      </c>
      <c r="HP84" s="8">
        <f ca="1">_xll.RiskLogistic(0.0032402,0.050981,_xll.RiskTruncate(-0.99,0.99),_xll.RiskCorrmat(NewMatrix2,2,"9/1/2033"))</f>
        <v>3.2401264829321486E-3</v>
      </c>
      <c r="HQ84" s="8">
        <f ca="1">_xll.RiskLogistic(0.0032402,0.050981,_xll.RiskTruncate(-0.99,0.99),_xll.RiskCorrmat(NewMatrix2,2,"10/1/2033"))</f>
        <v>3.2401264829321486E-3</v>
      </c>
      <c r="HR84" s="8">
        <f ca="1">_xll.RiskLogistic(0.0032402,0.050981,_xll.RiskTruncate(-0.99,0.99),_xll.RiskCorrmat(NewMatrix2,2,"11/1/2033"))</f>
        <v>3.2401264829321486E-3</v>
      </c>
      <c r="HS84" s="8">
        <f ca="1">_xll.RiskLogistic(0.0032402,0.050981,_xll.RiskTruncate(-0.99,0.99),_xll.RiskCorrmat(NewMatrix2,2,"12/1/2033"))</f>
        <v>3.2401264829321486E-3</v>
      </c>
      <c r="HT84" s="8">
        <f ca="1">_xll.RiskLogistic(0.0032402,0.050981,_xll.RiskTruncate(-0.99,0.99),_xll.RiskCorrmat(NewMatrix2,2,"1/1/2034"))</f>
        <v>3.2401264829321486E-3</v>
      </c>
      <c r="HU84" s="8">
        <f ca="1">_xll.RiskLogistic(0.0032402,0.050981,_xll.RiskTruncate(-0.99,0.99),_xll.RiskCorrmat(NewMatrix2,2,"2/1/2034"))</f>
        <v>3.2401264829321486E-3</v>
      </c>
      <c r="HV84" s="8">
        <f ca="1">_xll.RiskLogistic(0.0032402,0.050981,_xll.RiskTruncate(-0.99,0.99),_xll.RiskCorrmat(NewMatrix2,2,"3/1/2034"))</f>
        <v>3.2401264829321486E-3</v>
      </c>
      <c r="HW84" s="8">
        <f ca="1">_xll.RiskLogistic(0.0032402,0.050981,_xll.RiskTruncate(-0.99,0.99),_xll.RiskCorrmat(NewMatrix2,2,"4/1/2034"))</f>
        <v>3.2401264829321486E-3</v>
      </c>
      <c r="HX84" s="8">
        <f ca="1">_xll.RiskLogistic(0.0032402,0.050981,_xll.RiskTruncate(-0.99,0.99),_xll.RiskCorrmat(NewMatrix2,2,"5/1/2034"))</f>
        <v>3.2401264829321486E-3</v>
      </c>
      <c r="HY84" s="8">
        <f ca="1">_xll.RiskLogistic(0.0032402,0.050981,_xll.RiskTruncate(-0.99,0.99),_xll.RiskCorrmat(NewMatrix2,2,"6/1/2034"))</f>
        <v>3.2401264829321486E-3</v>
      </c>
      <c r="HZ84" s="8">
        <f ca="1">_xll.RiskLogistic(0.0032402,0.050981,_xll.RiskTruncate(-0.99,0.99),_xll.RiskCorrmat(NewMatrix2,2,"7/1/2034"))</f>
        <v>3.2401264829321486E-3</v>
      </c>
      <c r="IA84" s="8">
        <f ca="1">_xll.RiskLogistic(0.0032402,0.050981,_xll.RiskTruncate(-0.99,0.99),_xll.RiskCorrmat(NewMatrix2,2,"8/1/2034"))</f>
        <v>3.2401264829321486E-3</v>
      </c>
      <c r="IB84" s="8">
        <f ca="1">_xll.RiskLogistic(0.0032402,0.050981,_xll.RiskTruncate(-0.99,0.99),_xll.RiskCorrmat(NewMatrix2,2,"9/1/2034"))</f>
        <v>3.2401264829321486E-3</v>
      </c>
      <c r="IC84" s="8">
        <f ca="1">_xll.RiskLogistic(0.0032402,0.050981,_xll.RiskTruncate(-0.99,0.99),_xll.RiskCorrmat(NewMatrix2,2,"10/1/2034"))</f>
        <v>3.2401264829321486E-3</v>
      </c>
      <c r="ID84" s="8">
        <f ca="1">_xll.RiskLogistic(0.0032402,0.050981,_xll.RiskTruncate(-0.99,0.99),_xll.RiskCorrmat(NewMatrix2,2,"11/1/2034"))</f>
        <v>3.2401264829321486E-3</v>
      </c>
      <c r="IE84" s="8">
        <f ca="1">_xll.RiskLogistic(0.0032402,0.050981,_xll.RiskTruncate(-0.99,0.99),_xll.RiskCorrmat(NewMatrix2,2,"12/1/2034"))</f>
        <v>3.2401264829321486E-3</v>
      </c>
      <c r="IF84" s="8">
        <f ca="1">_xll.RiskLogistic(0.0032402,0.050981,_xll.RiskTruncate(-0.99,0.99),_xll.RiskCorrmat(NewMatrix2,2,"1/1/2035"))</f>
        <v>3.2401264829321486E-3</v>
      </c>
      <c r="IG84" s="8">
        <f ca="1">_xll.RiskLogistic(0.0032402,0.050981,_xll.RiskTruncate(-0.99,0.99),_xll.RiskCorrmat(NewMatrix2,2,"2/1/2035"))</f>
        <v>3.2401264829321486E-3</v>
      </c>
      <c r="IH84" s="8">
        <f ca="1">_xll.RiskLogistic(0.0032402,0.050981,_xll.RiskTruncate(-0.99,0.99),_xll.RiskCorrmat(NewMatrix2,2,"3/1/2035"))</f>
        <v>3.2401264829321486E-3</v>
      </c>
      <c r="II84" s="8">
        <f ca="1">_xll.RiskLogistic(0.0032402,0.050981,_xll.RiskTruncate(-0.99,0.99),_xll.RiskCorrmat(NewMatrix2,2,"4/1/2035"))</f>
        <v>3.2401264829321486E-3</v>
      </c>
      <c r="IJ84" s="8">
        <f ca="1">_xll.RiskLogistic(0.0032402,0.050981,_xll.RiskTruncate(-0.99,0.99),_xll.RiskCorrmat(NewMatrix2,2,"5/1/2035"))</f>
        <v>3.2401264829321486E-3</v>
      </c>
      <c r="IK84" s="8">
        <f ca="1">_xll.RiskLogistic(0.0032402,0.050981,_xll.RiskTruncate(-0.99,0.99),_xll.RiskCorrmat(NewMatrix2,2,"6/1/2035"))</f>
        <v>3.2401264829321486E-3</v>
      </c>
      <c r="IL84" s="8">
        <f ca="1">_xll.RiskLogistic(0.0032402,0.050981,_xll.RiskTruncate(-0.99,0.99),_xll.RiskCorrmat(NewMatrix2,2,"7/1/2035"))</f>
        <v>3.2401264829321486E-3</v>
      </c>
      <c r="IM84" s="8">
        <f ca="1">_xll.RiskLogistic(0.0032402,0.050981,_xll.RiskTruncate(-0.99,0.99),_xll.RiskCorrmat(NewMatrix2,2,"8/1/2035"))</f>
        <v>3.2401264829321486E-3</v>
      </c>
      <c r="IN84" s="8">
        <f ca="1">_xll.RiskLogistic(0.0032402,0.050981,_xll.RiskTruncate(-0.99,0.99),_xll.RiskCorrmat(NewMatrix2,2,"9/1/2035"))</f>
        <v>3.2401264829321486E-3</v>
      </c>
      <c r="IO84" s="8">
        <f ca="1">_xll.RiskLogistic(0.0032402,0.050981,_xll.RiskTruncate(-0.99,0.99),_xll.RiskCorrmat(NewMatrix2,2,"10/1/2035"))</f>
        <v>3.2401264829321486E-3</v>
      </c>
      <c r="IP84" s="8">
        <f ca="1">_xll.RiskLogistic(0.0032402,0.050981,_xll.RiskTruncate(-0.99,0.99),_xll.RiskCorrmat(NewMatrix2,2,"11/1/2035"))</f>
        <v>3.2401264829321486E-3</v>
      </c>
      <c r="IQ84" s="8">
        <f ca="1">_xll.RiskLogistic(0.0032402,0.050981,_xll.RiskTruncate(-0.99,0.99),_xll.RiskCorrmat(NewMatrix2,2,"12/1/2035"))</f>
        <v>3.2401264829321486E-3</v>
      </c>
      <c r="IR84" s="8">
        <f ca="1">_xll.RiskLogistic(0.0032402,0.050981,_xll.RiskTruncate(-0.99,0.99),_xll.RiskCorrmat(NewMatrix2,2,"1/1/2036"))</f>
        <v>3.2401264829321486E-3</v>
      </c>
      <c r="IS84" s="8">
        <f ca="1">_xll.RiskLogistic(0.0032402,0.050981,_xll.RiskTruncate(-0.99,0.99),_xll.RiskCorrmat(NewMatrix2,2,"2/1/2036"))</f>
        <v>3.2401264829321486E-3</v>
      </c>
      <c r="IT84" s="8">
        <f ca="1">_xll.RiskLogistic(0.0032402,0.050981,_xll.RiskTruncate(-0.99,0.99),_xll.RiskCorrmat(NewMatrix2,2,"3/1/2036"))</f>
        <v>3.2401264829321486E-3</v>
      </c>
      <c r="IU84" s="8">
        <f ca="1">_xll.RiskLogistic(0.0032402,0.050981,_xll.RiskTruncate(-0.99,0.99),_xll.RiskCorrmat(NewMatrix2,2,"4/1/2036"))</f>
        <v>3.2401264829321486E-3</v>
      </c>
      <c r="IV84" s="8">
        <f ca="1">_xll.RiskLogistic(0.0032402,0.050981,_xll.RiskTruncate(-0.99,0.99),_xll.RiskCorrmat(NewMatrix2,2,"5/1/2036"))</f>
        <v>3.2401264829321486E-3</v>
      </c>
      <c r="IW84" s="8">
        <f ca="1">_xll.RiskLogistic(0.0032402,0.050981,_xll.RiskTruncate(-0.99,0.99),_xll.RiskCorrmat(NewMatrix2,2,"6/1/2036"))</f>
        <v>3.2401264829321486E-3</v>
      </c>
      <c r="IX84" s="8">
        <f ca="1">_xll.RiskLogistic(0.0032402,0.050981,_xll.RiskTruncate(-0.99,0.99),_xll.RiskCorrmat(NewMatrix2,2,"7/1/2036"))</f>
        <v>3.2401264829321486E-3</v>
      </c>
      <c r="IY84" s="8">
        <f ca="1">_xll.RiskLogistic(0.0032402,0.050981,_xll.RiskTruncate(-0.99,0.99),_xll.RiskCorrmat(NewMatrix2,2,"8/1/2036"))</f>
        <v>3.2401264829321486E-3</v>
      </c>
      <c r="IZ84" s="8">
        <f ca="1">_xll.RiskLogistic(0.0032402,0.050981,_xll.RiskTruncate(-0.99,0.99),_xll.RiskCorrmat(NewMatrix2,2,"9/1/2036"))</f>
        <v>3.2401264829321486E-3</v>
      </c>
      <c r="JA84" s="8">
        <f ca="1">_xll.RiskLogistic(0.0032402,0.050981,_xll.RiskTruncate(-0.99,0.99),_xll.RiskCorrmat(NewMatrix2,2,"10/1/2036"))</f>
        <v>3.2401264829321486E-3</v>
      </c>
      <c r="JB84" s="8">
        <f ca="1">_xll.RiskLogistic(0.0032402,0.050981,_xll.RiskTruncate(-0.99,0.99),_xll.RiskCorrmat(NewMatrix2,2,"11/1/2036"))</f>
        <v>3.2401264829321486E-3</v>
      </c>
      <c r="JC84" s="8">
        <f ca="1">_xll.RiskLogistic(0.0032402,0.050981,_xll.RiskTruncate(-0.99,0.99),_xll.RiskCorrmat(NewMatrix2,2,"12/1/2036"))</f>
        <v>3.2401264829321486E-3</v>
      </c>
      <c r="JD84" s="8">
        <f ca="1">_xll.RiskLogistic(0.0032402,0.050981,_xll.RiskTruncate(-0.99,0.99),_xll.RiskCorrmat(NewMatrix2,2,"1/1/2037"))</f>
        <v>3.2401264829321486E-3</v>
      </c>
      <c r="JE84" s="8">
        <f ca="1">_xll.RiskLogistic(0.0032402,0.050981,_xll.RiskTruncate(-0.99,0.99),_xll.RiskCorrmat(NewMatrix2,2,"2/1/2037"))</f>
        <v>3.2401264829321486E-3</v>
      </c>
      <c r="JF84" s="8">
        <f ca="1">_xll.RiskLogistic(0.0032402,0.050981,_xll.RiskTruncate(-0.99,0.99),_xll.RiskCorrmat(NewMatrix2,2,"3/1/2037"))</f>
        <v>3.2401264829321486E-3</v>
      </c>
      <c r="JG84" s="8">
        <f ca="1">_xll.RiskLogistic(0.0032402,0.050981,_xll.RiskTruncate(-0.99,0.99),_xll.RiskCorrmat(NewMatrix2,2,"4/1/2037"))</f>
        <v>3.2401264829321486E-3</v>
      </c>
      <c r="JH84" s="8">
        <f ca="1">_xll.RiskLogistic(0.0032402,0.050981,_xll.RiskTruncate(-0.99,0.99),_xll.RiskCorrmat(NewMatrix2,2,"5/1/2037"))</f>
        <v>3.2401264829321486E-3</v>
      </c>
      <c r="JI84" s="8">
        <f ca="1">_xll.RiskLogistic(0.0032402,0.050981,_xll.RiskTruncate(-0.99,0.99),_xll.RiskCorrmat(NewMatrix2,2,"6/1/2037"))</f>
        <v>3.2401264829321486E-3</v>
      </c>
      <c r="JJ84" s="8">
        <f ca="1">_xll.RiskLogistic(0.0032402,0.050981,_xll.RiskTruncate(-0.99,0.99),_xll.RiskCorrmat(NewMatrix2,2,"7/1/2037"))</f>
        <v>3.2401264829321486E-3</v>
      </c>
      <c r="JK84" s="8">
        <f ca="1">_xll.RiskLogistic(0.0032402,0.050981,_xll.RiskTruncate(-0.99,0.99),_xll.RiskCorrmat(NewMatrix2,2,"8/1/2037"))</f>
        <v>3.2401264829321486E-3</v>
      </c>
      <c r="JL84" s="8">
        <f ca="1">_xll.RiskLogistic(0.0032402,0.050981,_xll.RiskTruncate(-0.99,0.99),_xll.RiskCorrmat(NewMatrix2,2,"9/1/2037"))</f>
        <v>3.2401264829321486E-3</v>
      </c>
      <c r="JM84" s="8">
        <f ca="1">_xll.RiskLogistic(0.0032402,0.050981,_xll.RiskTruncate(-0.99,0.99),_xll.RiskCorrmat(NewMatrix2,2,"10/1/2037"))</f>
        <v>3.2401264829321486E-3</v>
      </c>
      <c r="JN84" s="8">
        <f ca="1">_xll.RiskLogistic(0.0032402,0.050981,_xll.RiskTruncate(-0.99,0.99),_xll.RiskCorrmat(NewMatrix2,2,"11/1/2037"))</f>
        <v>3.2401264829321486E-3</v>
      </c>
      <c r="JO84" s="8">
        <f ca="1">_xll.RiskLogistic(0.0032402,0.050981,_xll.RiskTruncate(-0.99,0.99),_xll.RiskCorrmat(NewMatrix2,2,"12/1/2037"))</f>
        <v>3.2401264829321486E-3</v>
      </c>
      <c r="JP84" s="8">
        <f ca="1">_xll.RiskLogistic(0.0032402,0.050981,_xll.RiskTruncate(-0.99,0.99),_xll.RiskCorrmat(NewMatrix2,2,"1/1/2038"))</f>
        <v>3.2401264829321486E-3</v>
      </c>
      <c r="JQ84" s="8">
        <f ca="1">_xll.RiskLogistic(0.0032402,0.050981,_xll.RiskTruncate(-0.99,0.99),_xll.RiskCorrmat(NewMatrix2,2,"2/1/2038"))</f>
        <v>3.2401264829321486E-3</v>
      </c>
      <c r="JR84" s="8">
        <f ca="1">_xll.RiskLogistic(0.0032402,0.050981,_xll.RiskTruncate(-0.99,0.99),_xll.RiskCorrmat(NewMatrix2,2,"3/1/2038"))</f>
        <v>3.2401264829321486E-3</v>
      </c>
      <c r="JS84" s="8">
        <f ca="1">_xll.RiskLogistic(0.0032402,0.050981,_xll.RiskTruncate(-0.99,0.99),_xll.RiskCorrmat(NewMatrix2,2,"4/1/2038"))</f>
        <v>3.2401264829321486E-3</v>
      </c>
      <c r="JT84" s="8">
        <f ca="1">_xll.RiskLogistic(0.0032402,0.050981,_xll.RiskTruncate(-0.99,0.99),_xll.RiskCorrmat(NewMatrix2,2,"5/1/2038"))</f>
        <v>3.2401264829321486E-3</v>
      </c>
      <c r="JU84" s="8">
        <f ca="1">_xll.RiskLogistic(0.0032402,0.050981,_xll.RiskTruncate(-0.99,0.99),_xll.RiskCorrmat(NewMatrix2,2,"6/1/2038"))</f>
        <v>3.2401264829321486E-3</v>
      </c>
      <c r="JV84" s="8">
        <f ca="1">_xll.RiskLogistic(0.0032402,0.050981,_xll.RiskTruncate(-0.99,0.99),_xll.RiskCorrmat(NewMatrix2,2,"7/1/2038"))</f>
        <v>3.2401264829321486E-3</v>
      </c>
      <c r="JW84" s="8">
        <f ca="1">_xll.RiskLogistic(0.0032402,0.050981,_xll.RiskTruncate(-0.99,0.99),_xll.RiskCorrmat(NewMatrix2,2,"8/1/2038"))</f>
        <v>3.2401264829321486E-3</v>
      </c>
      <c r="JX84" s="8">
        <f ca="1">_xll.RiskLogistic(0.0032402,0.050981,_xll.RiskTruncate(-0.99,0.99),_xll.RiskCorrmat(NewMatrix2,2,"9/1/2038"))</f>
        <v>3.2401264829321486E-3</v>
      </c>
      <c r="JY84" s="8">
        <f ca="1">_xll.RiskLogistic(0.0032402,0.050981,_xll.RiskTruncate(-0.99,0.99),_xll.RiskCorrmat(NewMatrix2,2,"10/1/2038"))</f>
        <v>3.2401264829321486E-3</v>
      </c>
      <c r="JZ84" s="8">
        <f ca="1">_xll.RiskLogistic(0.0032402,0.050981,_xll.RiskTruncate(-0.99,0.99),_xll.RiskCorrmat(NewMatrix2,2,"11/1/2038"))</f>
        <v>3.2401264829321486E-3</v>
      </c>
      <c r="KA84" s="8">
        <f ca="1">_xll.RiskLogistic(0.0032402,0.050981,_xll.RiskTruncate(-0.99,0.99),_xll.RiskCorrmat(NewMatrix2,2,"12/1/2038"))</f>
        <v>3.2401264829321486E-3</v>
      </c>
      <c r="KB84" s="8">
        <f ca="1">_xll.RiskLogistic(0.0032402,0.050981,_xll.RiskTruncate(-0.99,0.99),_xll.RiskCorrmat(NewMatrix2,2,"1/1/2039"))</f>
        <v>3.2401264829321486E-3</v>
      </c>
      <c r="KC84" s="8">
        <f ca="1">_xll.RiskLogistic(0.0032402,0.050981,_xll.RiskTruncate(-0.99,0.99),_xll.RiskCorrmat(NewMatrix2,2,"2/1/2039"))</f>
        <v>3.2401264829321486E-3</v>
      </c>
      <c r="KD84" s="8">
        <f ca="1">_xll.RiskLogistic(0.0032402,0.050981,_xll.RiskTruncate(-0.99,0.99),_xll.RiskCorrmat(NewMatrix2,2,"3/1/2039"))</f>
        <v>3.2401264829321486E-3</v>
      </c>
      <c r="KE84" s="8">
        <f ca="1">_xll.RiskLogistic(0.0032402,0.050981,_xll.RiskTruncate(-0.99,0.99),_xll.RiskCorrmat(NewMatrix2,2,"4/1/2039"))</f>
        <v>3.2401264829321486E-3</v>
      </c>
      <c r="KF84" s="8">
        <f ca="1">_xll.RiskLogistic(0.0032402,0.050981,_xll.RiskTruncate(-0.99,0.99),_xll.RiskCorrmat(NewMatrix2,2,"5/1/2039"))</f>
        <v>3.2401264829321486E-3</v>
      </c>
      <c r="KG84" s="8">
        <f ca="1">_xll.RiskLogistic(0.0032402,0.050981,_xll.RiskTruncate(-0.99,0.99),_xll.RiskCorrmat(NewMatrix2,2,"6/1/2039"))</f>
        <v>3.2401264829321486E-3</v>
      </c>
      <c r="KH84" s="8">
        <f ca="1">_xll.RiskLogistic(0.0032402,0.050981,_xll.RiskTruncate(-0.99,0.99),_xll.RiskCorrmat(NewMatrix2,2,"7/1/2039"))</f>
        <v>3.2401264829321486E-3</v>
      </c>
      <c r="KI84" s="8">
        <f ca="1">_xll.RiskLogistic(0.0032402,0.050981,_xll.RiskTruncate(-0.99,0.99),_xll.RiskCorrmat(NewMatrix2,2,"8/1/2039"))</f>
        <v>3.2401264829321486E-3</v>
      </c>
      <c r="KJ84" s="8">
        <f ca="1">_xll.RiskLogistic(0.0032402,0.050981,_xll.RiskTruncate(-0.99,0.99),_xll.RiskCorrmat(NewMatrix2,2,"9/1/2039"))</f>
        <v>3.2401264829321486E-3</v>
      </c>
      <c r="KK84" s="8">
        <f ca="1">_xll.RiskLogistic(0.0032402,0.050981,_xll.RiskTruncate(-0.99,0.99),_xll.RiskCorrmat(NewMatrix2,2,"10/1/2039"))</f>
        <v>3.2401264829321486E-3</v>
      </c>
      <c r="KL84" s="8">
        <f ca="1">_xll.RiskLogistic(0.0032402,0.050981,_xll.RiskTruncate(-0.99,0.99),_xll.RiskCorrmat(NewMatrix2,2,"11/1/2039"))</f>
        <v>3.2401264829321486E-3</v>
      </c>
      <c r="KM84" s="8">
        <f ca="1">_xll.RiskLogistic(0.0032402,0.050981,_xll.RiskTruncate(-0.99,0.99),_xll.RiskCorrmat(NewMatrix2,2,"12/1/2039"))</f>
        <v>3.2401264829321486E-3</v>
      </c>
      <c r="KN84" s="8">
        <f ca="1">_xll.RiskLogistic(0.0032402,0.050981,_xll.RiskTruncate(-0.99,0.99),_xll.RiskCorrmat(NewMatrix2,2,"1/1/2040"))</f>
        <v>3.2401264829321486E-3</v>
      </c>
      <c r="KO84" s="8">
        <f ca="1">_xll.RiskLogistic(0.0032402,0.050981,_xll.RiskTruncate(-0.99,0.99),_xll.RiskCorrmat(NewMatrix2,2,"2/1/2040"))</f>
        <v>3.2401264829321486E-3</v>
      </c>
      <c r="KP84" s="8">
        <f ca="1">_xll.RiskLogistic(0.0032402,0.050981,_xll.RiskTruncate(-0.99,0.99),_xll.RiskCorrmat(NewMatrix2,2,"3/1/2040"))</f>
        <v>3.2401264829321486E-3</v>
      </c>
      <c r="KQ84" s="8">
        <f ca="1">_xll.RiskLogistic(0.0032402,0.050981,_xll.RiskTruncate(-0.99,0.99),_xll.RiskCorrmat(NewMatrix2,2,"4/1/2040"))</f>
        <v>3.2401264829321486E-3</v>
      </c>
      <c r="KR84" s="8">
        <f ca="1">_xll.RiskLogistic(0.0032402,0.050981,_xll.RiskTruncate(-0.99,0.99),_xll.RiskCorrmat(NewMatrix2,2,"5/1/2040"))</f>
        <v>3.2401264829321486E-3</v>
      </c>
      <c r="KS84" s="8">
        <f ca="1">_xll.RiskLogistic(0.0032402,0.050981,_xll.RiskTruncate(-0.99,0.99),_xll.RiskCorrmat(NewMatrix2,2,"6/1/2040"))</f>
        <v>3.2401264829321486E-3</v>
      </c>
      <c r="KT84" s="8">
        <f ca="1">_xll.RiskLogistic(0.0032402,0.050981,_xll.RiskTruncate(-0.99,0.99),_xll.RiskCorrmat(NewMatrix2,2,"7/1/2040"))</f>
        <v>3.2401264829321486E-3</v>
      </c>
      <c r="KU84" s="8">
        <f ca="1">_xll.RiskLogistic(0.0032402,0.050981,_xll.RiskTruncate(-0.99,0.99),_xll.RiskCorrmat(NewMatrix2,2,"8/1/2040"))</f>
        <v>3.2401264829321486E-3</v>
      </c>
      <c r="KV84" s="8">
        <f ca="1">_xll.RiskLogistic(0.0032402,0.050981,_xll.RiskTruncate(-0.99,0.99),_xll.RiskCorrmat(NewMatrix2,2,"9/1/2040"))</f>
        <v>3.2401264829321486E-3</v>
      </c>
      <c r="KW84" s="8">
        <f ca="1">_xll.RiskLogistic(0.0032402,0.050981,_xll.RiskTruncate(-0.99,0.99),_xll.RiskCorrmat(NewMatrix2,2,"10/1/2040"))</f>
        <v>3.2401264829321486E-3</v>
      </c>
      <c r="KX84" s="8">
        <f ca="1">_xll.RiskLogistic(0.0032402,0.050981,_xll.RiskTruncate(-0.99,0.99),_xll.RiskCorrmat(NewMatrix2,2,"11/1/2040"))</f>
        <v>3.2401264829321486E-3</v>
      </c>
      <c r="KY84" s="8">
        <f ca="1">_xll.RiskLogistic(0.0032402,0.050981,_xll.RiskTruncate(-0.99,0.99),_xll.RiskCorrmat(NewMatrix2,2,"12/1/2040"))</f>
        <v>3.2401264829321486E-3</v>
      </c>
      <c r="KZ84" s="8">
        <f ca="1">_xll.RiskLogistic(0.0032402,0.050981,_xll.RiskTruncate(-0.99,0.99),_xll.RiskCorrmat(NewMatrix2,2,"1/1/2041"))</f>
        <v>3.2401264829321486E-3</v>
      </c>
      <c r="LA84" s="8">
        <f ca="1">_xll.RiskLogistic(0.0032402,0.050981,_xll.RiskTruncate(-0.99,0.99),_xll.RiskCorrmat(NewMatrix2,2,"2/1/2041"))</f>
        <v>3.2401264829321486E-3</v>
      </c>
      <c r="LB84" s="8">
        <f ca="1">_xll.RiskLogistic(0.0032402,0.050981,_xll.RiskTruncate(-0.99,0.99),_xll.RiskCorrmat(NewMatrix2,2,"3/1/2041"))</f>
        <v>3.2401264829321486E-3</v>
      </c>
      <c r="LC84" s="8">
        <f ca="1">_xll.RiskLogistic(0.0032402,0.050981,_xll.RiskTruncate(-0.99,0.99),_xll.RiskCorrmat(NewMatrix2,2,"4/1/2041"))</f>
        <v>3.2401264829321486E-3</v>
      </c>
      <c r="LD84" s="8">
        <f ca="1">_xll.RiskLogistic(0.0032402,0.050981,_xll.RiskTruncate(-0.99,0.99),_xll.RiskCorrmat(NewMatrix2,2,"5/1/2041"))</f>
        <v>3.2401264829321486E-3</v>
      </c>
      <c r="LE84" s="8">
        <f ca="1">_xll.RiskLogistic(0.0032402,0.050981,_xll.RiskTruncate(-0.99,0.99),_xll.RiskCorrmat(NewMatrix2,2,"6/1/2041"))</f>
        <v>3.2401264829321486E-3</v>
      </c>
      <c r="LF84" s="8">
        <f ca="1">_xll.RiskLogistic(0.0032402,0.050981,_xll.RiskTruncate(-0.99,0.99),_xll.RiskCorrmat(NewMatrix2,2,"7/1/2041"))</f>
        <v>3.2401264829321486E-3</v>
      </c>
      <c r="LG84" s="8">
        <f ca="1">_xll.RiskLogistic(0.0032402,0.050981,_xll.RiskTruncate(-0.99,0.99),_xll.RiskCorrmat(NewMatrix2,2,"8/1/2041"))</f>
        <v>3.2401264829321486E-3</v>
      </c>
      <c r="LH84" s="8">
        <f ca="1">_xll.RiskLogistic(0.0032402,0.050981,_xll.RiskTruncate(-0.99,0.99),_xll.RiskCorrmat(NewMatrix2,2,"9/1/2041"))</f>
        <v>3.2401264829321486E-3</v>
      </c>
      <c r="LI84" s="8">
        <f ca="1">_xll.RiskLogistic(0.0032402,0.050981,_xll.RiskTruncate(-0.99,0.99),_xll.RiskCorrmat(NewMatrix2,2,"10/1/2041"))</f>
        <v>3.2401264829321486E-3</v>
      </c>
      <c r="LJ84" s="8">
        <f ca="1">_xll.RiskLogistic(0.0032402,0.050981,_xll.RiskTruncate(-0.99,0.99),_xll.RiskCorrmat(NewMatrix2,2,"11/1/2041"))</f>
        <v>3.2401264829321486E-3</v>
      </c>
      <c r="LK84" s="8">
        <f ca="1">_xll.RiskLogistic(0.0032402,0.050981,_xll.RiskTruncate(-0.99,0.99),_xll.RiskCorrmat(NewMatrix2,2,"12/1/2041"))</f>
        <v>3.2401264829321486E-3</v>
      </c>
      <c r="LL84" s="8">
        <f ca="1">_xll.RiskLogistic(0.0032402,0.050981,_xll.RiskTruncate(-0.99,0.99),_xll.RiskCorrmat(NewMatrix2,2,"1/1/2042"))</f>
        <v>3.2401264829321486E-3</v>
      </c>
      <c r="LM84" s="8">
        <f ca="1">_xll.RiskLogistic(0.0032402,0.050981,_xll.RiskTruncate(-0.99,0.99),_xll.RiskCorrmat(NewMatrix2,2,"2/1/2042"))</f>
        <v>3.2401264829321486E-3</v>
      </c>
      <c r="LN84" s="8">
        <f ca="1">_xll.RiskLogistic(0.0032402,0.050981,_xll.RiskTruncate(-0.99,0.99),_xll.RiskCorrmat(NewMatrix2,2,"3/1/2042"))</f>
        <v>3.2401264829321486E-3</v>
      </c>
      <c r="LO84" s="8">
        <f ca="1">_xll.RiskLogistic(0.0032402,0.050981,_xll.RiskTruncate(-0.99,0.99),_xll.RiskCorrmat(NewMatrix2,2,"4/1/2042"))</f>
        <v>3.2401264829321486E-3</v>
      </c>
      <c r="LP84" s="8">
        <f ca="1">_xll.RiskLogistic(0.0032402,0.050981,_xll.RiskTruncate(-0.99,0.99),_xll.RiskCorrmat(NewMatrix2,2,"5/1/2042"))</f>
        <v>3.2401264829321486E-3</v>
      </c>
      <c r="LQ84" s="8">
        <f ca="1">_xll.RiskLogistic(0.0032402,0.050981,_xll.RiskTruncate(-0.99,0.99),_xll.RiskCorrmat(NewMatrix2,2,"6/1/2042"))</f>
        <v>3.2401264829321486E-3</v>
      </c>
      <c r="LR84" s="8">
        <f ca="1">_xll.RiskLogistic(0.0032402,0.050981,_xll.RiskTruncate(-0.99,0.99),_xll.RiskCorrmat(NewMatrix2,2,"7/1/2042"))</f>
        <v>3.2401264829321486E-3</v>
      </c>
      <c r="LS84" s="8">
        <f ca="1">_xll.RiskLogistic(0.0032402,0.050981,_xll.RiskTruncate(-0.99,0.99),_xll.RiskCorrmat(NewMatrix2,2,"8/1/2042"))</f>
        <v>3.2401264829321486E-3</v>
      </c>
      <c r="LT84" s="8">
        <f ca="1">_xll.RiskLogistic(0.0032402,0.050981,_xll.RiskTruncate(-0.99,0.99),_xll.RiskCorrmat(NewMatrix2,2,"9/1/2042"))</f>
        <v>3.2401264829321486E-3</v>
      </c>
      <c r="LU84" s="8">
        <f ca="1">_xll.RiskLogistic(0.0032402,0.050981,_xll.RiskTruncate(-0.99,0.99),_xll.RiskCorrmat(NewMatrix2,2,"10/1/2042"))</f>
        <v>3.2401264829321486E-3</v>
      </c>
      <c r="LV84" s="8">
        <f ca="1">_xll.RiskLogistic(0.0032402,0.050981,_xll.RiskTruncate(-0.99,0.99),_xll.RiskCorrmat(NewMatrix2,2,"11/1/2042"))</f>
        <v>3.2401264829321486E-3</v>
      </c>
      <c r="LW84" s="8">
        <f ca="1">_xll.RiskLogistic(0.0032402,0.050981,_xll.RiskTruncate(-0.99,0.99),_xll.RiskCorrmat(NewMatrix2,2,"12/1/2042"))</f>
        <v>3.2401264829321486E-3</v>
      </c>
      <c r="LX84" s="8">
        <f ca="1">_xll.RiskLogistic(0.0032402,0.050981,_xll.RiskTruncate(-0.99,0.99),_xll.RiskCorrmat(NewMatrix2,2,"1/1/2043"))</f>
        <v>3.2401264829321486E-3</v>
      </c>
      <c r="LY84" s="8">
        <f ca="1">_xll.RiskLogistic(0.0032402,0.050981,_xll.RiskTruncate(-0.99,0.99),_xll.RiskCorrmat(NewMatrix2,2,"2/1/2043"))</f>
        <v>3.2401264829321486E-3</v>
      </c>
      <c r="LZ84" s="8">
        <f ca="1">_xll.RiskLogistic(0.0032402,0.050981,_xll.RiskTruncate(-0.99,0.99),_xll.RiskCorrmat(NewMatrix2,2,"3/1/2043"))</f>
        <v>3.2401264829321486E-3</v>
      </c>
      <c r="MA84" s="8">
        <f ca="1">_xll.RiskLogistic(0.0032402,0.050981,_xll.RiskTruncate(-0.99,0.99),_xll.RiskCorrmat(NewMatrix2,2,"4/1/2043"))</f>
        <v>3.2401264829321486E-3</v>
      </c>
      <c r="MB84" s="8">
        <f ca="1">_xll.RiskLogistic(0.0032402,0.050981,_xll.RiskTruncate(-0.99,0.99),_xll.RiskCorrmat(NewMatrix2,2,"5/1/2043"))</f>
        <v>3.2401264829321486E-3</v>
      </c>
      <c r="MC84" s="8">
        <f ca="1">_xll.RiskLogistic(0.0032402,0.050981,_xll.RiskTruncate(-0.99,0.99),_xll.RiskCorrmat(NewMatrix2,2,"6/1/2043"))</f>
        <v>3.2401264829321486E-3</v>
      </c>
      <c r="MD84" s="8">
        <f ca="1">_xll.RiskLogistic(0.0032402,0.050981,_xll.RiskTruncate(-0.99,0.99),_xll.RiskCorrmat(NewMatrix2,2,"7/1/2043"))</f>
        <v>3.2401264829321486E-3</v>
      </c>
      <c r="ME84" s="8">
        <f ca="1">_xll.RiskLogistic(0.0032402,0.050981,_xll.RiskTruncate(-0.99,0.99),_xll.RiskCorrmat(NewMatrix2,2,"8/1/2043"))</f>
        <v>3.2401264829321486E-3</v>
      </c>
      <c r="MF84" s="8">
        <f ca="1">_xll.RiskLogistic(0.0032402,0.050981,_xll.RiskTruncate(-0.99,0.99),_xll.RiskCorrmat(NewMatrix2,2,"9/1/2043"))</f>
        <v>3.2401264829321486E-3</v>
      </c>
      <c r="MG84" s="8">
        <f ca="1">_xll.RiskLogistic(0.0032402,0.050981,_xll.RiskTruncate(-0.99,0.99),_xll.RiskCorrmat(NewMatrix2,2,"10/1/2043"))</f>
        <v>3.2401264829321486E-3</v>
      </c>
      <c r="MH84" s="8">
        <f ca="1">_xll.RiskLogistic(0.0032402,0.050981,_xll.RiskTruncate(-0.99,0.99),_xll.RiskCorrmat(NewMatrix2,2,"11/1/2043"))</f>
        <v>3.2401264829321486E-3</v>
      </c>
      <c r="MI84" s="8">
        <f ca="1">_xll.RiskLogistic(0.0032402,0.050981,_xll.RiskTruncate(-0.99,0.99),_xll.RiskCorrmat(NewMatrix2,2,"12/1/2043"))</f>
        <v>3.2401264829321486E-3</v>
      </c>
      <c r="MJ84" s="8">
        <f ca="1">_xll.RiskLogistic(0.0032402,0.050981,_xll.RiskTruncate(-0.99,0.99),_xll.RiskCorrmat(NewMatrix2,2,"1/1/2044"))</f>
        <v>3.2401264829321486E-3</v>
      </c>
      <c r="MK84" s="8">
        <f ca="1">_xll.RiskLogistic(0.0032402,0.050981,_xll.RiskTruncate(-0.99,0.99),_xll.RiskCorrmat(NewMatrix2,2,"2/1/2044"))</f>
        <v>3.2401264829321486E-3</v>
      </c>
      <c r="ML84" s="8">
        <f ca="1">_xll.RiskLogistic(0.0032402,0.050981,_xll.RiskTruncate(-0.99,0.99),_xll.RiskCorrmat(NewMatrix2,2,"3/1/2044"))</f>
        <v>3.2401264829321486E-3</v>
      </c>
      <c r="MM84" s="8">
        <f ca="1">_xll.RiskLogistic(0.0032402,0.050981,_xll.RiskTruncate(-0.99,0.99),_xll.RiskCorrmat(NewMatrix2,2,"4/1/2044"))</f>
        <v>3.2401264829321486E-3</v>
      </c>
      <c r="MN84" s="8">
        <f ca="1">_xll.RiskLogistic(0.0032402,0.050981,_xll.RiskTruncate(-0.99,0.99),_xll.RiskCorrmat(NewMatrix2,2,"5/1/2044"))</f>
        <v>3.2401264829321486E-3</v>
      </c>
      <c r="MO84" s="8">
        <f ca="1">_xll.RiskLogistic(0.0032402,0.050981,_xll.RiskTruncate(-0.99,0.99),_xll.RiskCorrmat(NewMatrix2,2,"6/1/2044"))</f>
        <v>3.2401264829321486E-3</v>
      </c>
      <c r="MP84" s="8">
        <f ca="1">_xll.RiskLogistic(0.0032402,0.050981,_xll.RiskTruncate(-0.99,0.99),_xll.RiskCorrmat(NewMatrix2,2,"7/1/2044"))</f>
        <v>3.2401264829321486E-3</v>
      </c>
      <c r="MQ84" s="8">
        <f ca="1">_xll.RiskLogistic(0.0032402,0.050981,_xll.RiskTruncate(-0.99,0.99),_xll.RiskCorrmat(NewMatrix2,2,"8/1/2044"))</f>
        <v>3.2401264829321486E-3</v>
      </c>
      <c r="MR84" s="8">
        <f ca="1">_xll.RiskLogistic(0.0032402,0.050981,_xll.RiskTruncate(-0.99,0.99),_xll.RiskCorrmat(NewMatrix2,2,"9/1/2044"))</f>
        <v>3.2401264829321486E-3</v>
      </c>
      <c r="MS84" s="8">
        <f ca="1">_xll.RiskLogistic(0.0032402,0.050981,_xll.RiskTruncate(-0.99,0.99),_xll.RiskCorrmat(NewMatrix2,2,"10/1/2044"))</f>
        <v>3.2401264829321486E-3</v>
      </c>
      <c r="MT84" s="8">
        <f ca="1">_xll.RiskLogistic(0.0032402,0.050981,_xll.RiskTruncate(-0.99,0.99),_xll.RiskCorrmat(NewMatrix2,2,"11/1/2044"))</f>
        <v>3.2401264829321486E-3</v>
      </c>
      <c r="MU84" s="8">
        <f ca="1">_xll.RiskLogistic(0.0032402,0.050981,_xll.RiskTruncate(-0.99,0.99),_xll.RiskCorrmat(NewMatrix2,2,"12/1/2044"))</f>
        <v>3.2401264829321486E-3</v>
      </c>
      <c r="MV84" s="8">
        <f ca="1">_xll.RiskLogistic(0.0032402,0.050981,_xll.RiskTruncate(-0.99,0.99),_xll.RiskCorrmat(NewMatrix2,2,"1/1/2045"))</f>
        <v>3.2401264829321486E-3</v>
      </c>
      <c r="MW84" s="8">
        <f ca="1">_xll.RiskLogistic(0.0032402,0.050981,_xll.RiskTruncate(-0.99,0.99),_xll.RiskCorrmat(NewMatrix2,2,"2/1/2045"))</f>
        <v>3.2401264829321486E-3</v>
      </c>
      <c r="MX84" s="8">
        <f ca="1">_xll.RiskLogistic(0.0032402,0.050981,_xll.RiskTruncate(-0.99,0.99),_xll.RiskCorrmat(NewMatrix2,2,"3/1/2045"))</f>
        <v>3.2401264829321486E-3</v>
      </c>
      <c r="MY84" s="8">
        <f ca="1">_xll.RiskLogistic(0.0032402,0.050981,_xll.RiskTruncate(-0.99,0.99),_xll.RiskCorrmat(NewMatrix2,2,"4/1/2045"))</f>
        <v>3.2401264829321486E-3</v>
      </c>
      <c r="MZ84" s="8">
        <f ca="1">_xll.RiskLogistic(0.0032402,0.050981,_xll.RiskTruncate(-0.99,0.99),_xll.RiskCorrmat(NewMatrix2,2,"5/1/2045"))</f>
        <v>3.2401264829321486E-3</v>
      </c>
      <c r="NA84" s="8">
        <f ca="1">_xll.RiskLogistic(0.0032402,0.050981,_xll.RiskTruncate(-0.99,0.99),_xll.RiskCorrmat(NewMatrix2,2,"6/1/2045"))</f>
        <v>3.2401264829321486E-3</v>
      </c>
      <c r="NB84" s="8">
        <f ca="1">_xll.RiskLogistic(0.0032402,0.050981,_xll.RiskTruncate(-0.99,0.99),_xll.RiskCorrmat(NewMatrix2,2,"7/1/2045"))</f>
        <v>3.2401264829321486E-3</v>
      </c>
      <c r="NC84" s="8">
        <f ca="1">_xll.RiskLogistic(0.0032402,0.050981,_xll.RiskTruncate(-0.99,0.99),_xll.RiskCorrmat(NewMatrix2,2,"8/1/2045"))</f>
        <v>3.2401264829321486E-3</v>
      </c>
      <c r="ND84" s="8">
        <f ca="1">_xll.RiskLogistic(0.0032402,0.050981,_xll.RiskTruncate(-0.99,0.99),_xll.RiskCorrmat(NewMatrix2,2,"9/1/2045"))</f>
        <v>3.2401264829321486E-3</v>
      </c>
      <c r="NE84" s="8">
        <f ca="1">_xll.RiskLogistic(0.0032402,0.050981,_xll.RiskTruncate(-0.99,0.99),_xll.RiskCorrmat(NewMatrix2,2,"10/1/2045"))</f>
        <v>3.2401264829321486E-3</v>
      </c>
      <c r="NF84" s="8">
        <f ca="1">_xll.RiskLogistic(0.0032402,0.050981,_xll.RiskTruncate(-0.99,0.99),_xll.RiskCorrmat(NewMatrix2,2,"11/1/2045"))</f>
        <v>3.2401264829321486E-3</v>
      </c>
      <c r="NG84" s="8">
        <f ca="1">_xll.RiskLogistic(0.0032402,0.050981,_xll.RiskTruncate(-0.99,0.99),_xll.RiskCorrmat(NewMatrix2,2,"12/1/2045"))</f>
        <v>3.2401264829321486E-3</v>
      </c>
      <c r="NH84" s="8">
        <f ca="1">_xll.RiskLogistic(0.0032402,0.050981,_xll.RiskTruncate(-0.99,0.99),_xll.RiskCorrmat(NewMatrix2,2,"1/1/2046"))</f>
        <v>3.2401264829321486E-3</v>
      </c>
      <c r="NI84" s="8">
        <f ca="1">_xll.RiskLogistic(0.0032402,0.050981,_xll.RiskTruncate(-0.99,0.99),_xll.RiskCorrmat(NewMatrix2,2,"2/1/2046"))</f>
        <v>3.2401264829321486E-3</v>
      </c>
      <c r="NJ84" s="8">
        <f ca="1">_xll.RiskLogistic(0.0032402,0.050981,_xll.RiskTruncate(-0.99,0.99),_xll.RiskCorrmat(NewMatrix2,2,"3/1/2046"))</f>
        <v>3.2401264829321486E-3</v>
      </c>
      <c r="NK84" s="8">
        <f ca="1">_xll.RiskLogistic(0.0032402,0.050981,_xll.RiskTruncate(-0.99,0.99),_xll.RiskCorrmat(NewMatrix2,2,"4/1/2046"))</f>
        <v>3.2401264829321486E-3</v>
      </c>
      <c r="NL84" s="8">
        <f ca="1">_xll.RiskLogistic(0.0032402,0.050981,_xll.RiskTruncate(-0.99,0.99),_xll.RiskCorrmat(NewMatrix2,2,"5/1/2046"))</f>
        <v>3.2401264829321486E-3</v>
      </c>
      <c r="NM84" s="8">
        <f ca="1">_xll.RiskLogistic(0.0032402,0.050981,_xll.RiskTruncate(-0.99,0.99),_xll.RiskCorrmat(NewMatrix2,2,"6/1/2046"))</f>
        <v>3.2401264829321486E-3</v>
      </c>
      <c r="NN84" s="8">
        <f ca="1">_xll.RiskLogistic(0.0032402,0.050981,_xll.RiskTruncate(-0.99,0.99),_xll.RiskCorrmat(NewMatrix2,2,"7/1/2046"))</f>
        <v>3.2401264829321486E-3</v>
      </c>
      <c r="NO84" s="8">
        <f ca="1">_xll.RiskLogistic(0.0032402,0.050981,_xll.RiskTruncate(-0.99,0.99),_xll.RiskCorrmat(NewMatrix2,2,"8/1/2046"))</f>
        <v>3.2401264829321486E-3</v>
      </c>
      <c r="NP84" s="8">
        <f ca="1">_xll.RiskLogistic(0.0032402,0.050981,_xll.RiskTruncate(-0.99,0.99),_xll.RiskCorrmat(NewMatrix2,2,"9/1/2046"))</f>
        <v>3.2401264829321486E-3</v>
      </c>
      <c r="NQ84" s="8">
        <f ca="1">_xll.RiskLogistic(0.0032402,0.050981,_xll.RiskTruncate(-0.99,0.99),_xll.RiskCorrmat(NewMatrix2,2,"10/1/2046"))</f>
        <v>3.2401264829321486E-3</v>
      </c>
      <c r="NR84" s="8">
        <f ca="1">_xll.RiskLogistic(0.0032402,0.050981,_xll.RiskTruncate(-0.99,0.99),_xll.RiskCorrmat(NewMatrix2,2,"11/1/2046"))</f>
        <v>3.2401264829321486E-3</v>
      </c>
      <c r="NS84" s="8">
        <f ca="1">_xll.RiskLogistic(0.0032402,0.050981,_xll.RiskTruncate(-0.99,0.99),_xll.RiskCorrmat(NewMatrix2,2,"12/1/2046"))</f>
        <v>3.2401264829321486E-3</v>
      </c>
      <c r="NT84" s="8">
        <f ca="1">_xll.RiskLogistic(0.0032402,0.050981,_xll.RiskTruncate(-0.99,0.99),_xll.RiskCorrmat(NewMatrix2,2,"1/1/2047"))</f>
        <v>3.2401264829321486E-3</v>
      </c>
      <c r="NU84" s="8">
        <f ca="1">_xll.RiskLogistic(0.0032402,0.050981,_xll.RiskTruncate(-0.99,0.99),_xll.RiskCorrmat(NewMatrix2,2,"2/1/2047"))</f>
        <v>3.2401264829321486E-3</v>
      </c>
      <c r="NV84" s="8">
        <f ca="1">_xll.RiskLogistic(0.0032402,0.050981,_xll.RiskTruncate(-0.99,0.99),_xll.RiskCorrmat(NewMatrix2,2,"3/1/2047"))</f>
        <v>3.2401264829321486E-3</v>
      </c>
      <c r="NW84" s="8">
        <f ca="1">_xll.RiskLogistic(0.0032402,0.050981,_xll.RiskTruncate(-0.99,0.99),_xll.RiskCorrmat(NewMatrix2,2,"4/1/2047"))</f>
        <v>3.2401264829321486E-3</v>
      </c>
      <c r="NX84" s="8">
        <f ca="1">_xll.RiskLogistic(0.0032402,0.050981,_xll.RiskTruncate(-0.99,0.99),_xll.RiskCorrmat(NewMatrix2,2,"5/1/2047"))</f>
        <v>3.2401264829321486E-3</v>
      </c>
      <c r="NY84" s="8">
        <f ca="1">_xll.RiskLogistic(0.0032402,0.050981,_xll.RiskTruncate(-0.99,0.99),_xll.RiskCorrmat(NewMatrix2,2,"6/1/2047"))</f>
        <v>3.2401264829321486E-3</v>
      </c>
      <c r="NZ84" s="8">
        <f ca="1">_xll.RiskLogistic(0.0032402,0.050981,_xll.RiskTruncate(-0.99,0.99),_xll.RiskCorrmat(NewMatrix2,2,"7/1/2047"))</f>
        <v>3.2401264829321486E-3</v>
      </c>
      <c r="OA84" s="8">
        <f ca="1">_xll.RiskLogistic(0.0032402,0.050981,_xll.RiskTruncate(-0.99,0.99),_xll.RiskCorrmat(NewMatrix2,2,"8/1/2047"))</f>
        <v>3.2401264829321486E-3</v>
      </c>
      <c r="OB84" s="8">
        <f ca="1">_xll.RiskLogistic(0.0032402,0.050981,_xll.RiskTruncate(-0.99,0.99),_xll.RiskCorrmat(NewMatrix2,2,"9/1/2047"))</f>
        <v>3.2401264829321486E-3</v>
      </c>
      <c r="OC84" s="8">
        <f ca="1">_xll.RiskLogistic(0.0032402,0.050981,_xll.RiskTruncate(-0.99,0.99),_xll.RiskCorrmat(NewMatrix2,2,"10/1/2047"))</f>
        <v>3.2401264829321486E-3</v>
      </c>
      <c r="OD84" s="8">
        <f ca="1">_xll.RiskLogistic(0.0032402,0.050981,_xll.RiskTruncate(-0.99,0.99),_xll.RiskCorrmat(NewMatrix2,2,"11/1/2047"))</f>
        <v>3.2401264829321486E-3</v>
      </c>
      <c r="OE84" s="8">
        <f ca="1">_xll.RiskLogistic(0.0032402,0.050981,_xll.RiskTruncate(-0.99,0.99),_xll.RiskCorrmat(NewMatrix2,2,"12/1/2047"))</f>
        <v>3.2401264829321486E-3</v>
      </c>
      <c r="OF84" s="8">
        <f ca="1">_xll.RiskLogistic(0.0032402,0.050981,_xll.RiskTruncate(-0.99,0.99),_xll.RiskCorrmat(NewMatrix2,2,"1/1/2048"))</f>
        <v>3.2401264829321486E-3</v>
      </c>
      <c r="OG84" s="8">
        <f ca="1">_xll.RiskLogistic(0.0032402,0.050981,_xll.RiskTruncate(-0.99,0.99),_xll.RiskCorrmat(NewMatrix2,2,"2/1/2048"))</f>
        <v>3.2401264829321486E-3</v>
      </c>
      <c r="OH84" s="8">
        <f ca="1">_xll.RiskLogistic(0.0032402,0.050981,_xll.RiskTruncate(-0.99,0.99),_xll.RiskCorrmat(NewMatrix2,2,"3/1/2048"))</f>
        <v>3.2401264829321486E-3</v>
      </c>
      <c r="OI84" s="8">
        <f ca="1">_xll.RiskLogistic(0.0032402,0.050981,_xll.RiskTruncate(-0.99,0.99),_xll.RiskCorrmat(NewMatrix2,2,"4/1/2048"))</f>
        <v>3.2401264829321486E-3</v>
      </c>
      <c r="OJ84" s="8">
        <f ca="1">_xll.RiskLogistic(0.0032402,0.050981,_xll.RiskTruncate(-0.99,0.99),_xll.RiskCorrmat(NewMatrix2,2,"5/1/2048"))</f>
        <v>3.2401264829321486E-3</v>
      </c>
      <c r="OK84" s="8">
        <f ca="1">_xll.RiskLogistic(0.0032402,0.050981,_xll.RiskTruncate(-0.99,0.99),_xll.RiskCorrmat(NewMatrix2,2,"6/1/2048"))</f>
        <v>3.2401264829321486E-3</v>
      </c>
      <c r="OL84" s="8">
        <f ca="1">_xll.RiskLogistic(0.0032402,0.050981,_xll.RiskTruncate(-0.99,0.99),_xll.RiskCorrmat(NewMatrix2,2,"7/1/2048"))</f>
        <v>3.2401264829321486E-3</v>
      </c>
      <c r="OM84" s="8">
        <f ca="1">_xll.RiskLogistic(0.0032402,0.050981,_xll.RiskTruncate(-0.99,0.99),_xll.RiskCorrmat(NewMatrix2,2,"8/1/2048"))</f>
        <v>3.2401264829321486E-3</v>
      </c>
      <c r="ON84" s="8">
        <f ca="1">_xll.RiskLogistic(0.0032402,0.050981,_xll.RiskTruncate(-0.99,0.99),_xll.RiskCorrmat(NewMatrix2,2,"9/1/2048"))</f>
        <v>3.2401264829321486E-3</v>
      </c>
      <c r="OO84" s="8">
        <f ca="1">_xll.RiskLogistic(0.0032402,0.050981,_xll.RiskTruncate(-0.99,0.99),_xll.RiskCorrmat(NewMatrix2,2,"10/1/2048"))</f>
        <v>3.2401264829321486E-3</v>
      </c>
      <c r="OP84" s="8">
        <f ca="1">_xll.RiskLogistic(0.0032402,0.050981,_xll.RiskTruncate(-0.99,0.99),_xll.RiskCorrmat(NewMatrix2,2,"11/1/2048"))</f>
        <v>3.2401264829321486E-3</v>
      </c>
      <c r="OQ84" s="8">
        <f ca="1">_xll.RiskLogistic(0.0032402,0.050981,_xll.RiskTruncate(-0.99,0.99),_xll.RiskCorrmat(NewMatrix2,2,"12/1/2048"))</f>
        <v>3.2401264829321486E-3</v>
      </c>
      <c r="OR84" s="8">
        <f ca="1">_xll.RiskLogistic(0.0032402,0.050981,_xll.RiskTruncate(-0.99,0.99),_xll.RiskCorrmat(NewMatrix2,2,"1/1/2049"))</f>
        <v>3.2401264829321486E-3</v>
      </c>
      <c r="OS84" s="8">
        <f ca="1">_xll.RiskLogistic(0.0032402,0.050981,_xll.RiskTruncate(-0.99,0.99),_xll.RiskCorrmat(NewMatrix2,2,"2/1/2049"))</f>
        <v>3.2401264829321486E-3</v>
      </c>
      <c r="OT84" s="8">
        <f ca="1">_xll.RiskLogistic(0.0032402,0.050981,_xll.RiskTruncate(-0.99,0.99),_xll.RiskCorrmat(NewMatrix2,2,"3/1/2049"))</f>
        <v>3.2401264829321486E-3</v>
      </c>
      <c r="OU84" s="8">
        <f ca="1">_xll.RiskLogistic(0.0032402,0.050981,_xll.RiskTruncate(-0.99,0.99),_xll.RiskCorrmat(NewMatrix2,2,"4/1/2049"))</f>
        <v>3.2401264829321486E-3</v>
      </c>
      <c r="OV84" s="8">
        <f ca="1">_xll.RiskLogistic(0.0032402,0.050981,_xll.RiskTruncate(-0.99,0.99),_xll.RiskCorrmat(NewMatrix2,2,"5/1/2049"))</f>
        <v>3.2401264829321486E-3</v>
      </c>
      <c r="OW84" s="8">
        <f ca="1">_xll.RiskLogistic(0.0032402,0.050981,_xll.RiskTruncate(-0.99,0.99),_xll.RiskCorrmat(NewMatrix2,2,"6/1/2049"))</f>
        <v>3.2401264829321486E-3</v>
      </c>
      <c r="OX84" s="8">
        <f ca="1">_xll.RiskLogistic(0.0032402,0.050981,_xll.RiskTruncate(-0.99,0.99),_xll.RiskCorrmat(NewMatrix2,2,"7/1/2049"))</f>
        <v>3.2401264829321486E-3</v>
      </c>
      <c r="OY84" s="8">
        <f ca="1">_xll.RiskLogistic(0.0032402,0.050981,_xll.RiskTruncate(-0.99,0.99),_xll.RiskCorrmat(NewMatrix2,2,"8/1/2049"))</f>
        <v>3.2401264829321486E-3</v>
      </c>
      <c r="OZ84" s="8">
        <f ca="1">_xll.RiskLogistic(0.0032402,0.050981,_xll.RiskTruncate(-0.99,0.99),_xll.RiskCorrmat(NewMatrix2,2,"9/1/2049"))</f>
        <v>3.2401264829321486E-3</v>
      </c>
      <c r="PA84" s="8">
        <f ca="1">_xll.RiskLogistic(0.0032402,0.050981,_xll.RiskTruncate(-0.99,0.99),_xll.RiskCorrmat(NewMatrix2,2,"10/1/2049"))</f>
        <v>3.2401264829321486E-3</v>
      </c>
      <c r="PB84" s="8">
        <f ca="1">_xll.RiskLogistic(0.0032402,0.050981,_xll.RiskTruncate(-0.99,0.99),_xll.RiskCorrmat(NewMatrix2,2,"11/1/2049"))</f>
        <v>3.2401264829321486E-3</v>
      </c>
      <c r="PC84" s="8">
        <f ca="1">_xll.RiskLogistic(0.0032402,0.050981,_xll.RiskTruncate(-0.99,0.99),_xll.RiskCorrmat(NewMatrix2,2,"12/1/2049"))</f>
        <v>3.2401264829321486E-3</v>
      </c>
      <c r="PD84" s="8">
        <f ca="1">_xll.RiskLogistic(0.0032402,0.050981,_xll.RiskTruncate(-0.99,0.99),_xll.RiskCorrmat(NewMatrix2,2,"1/1/2050"))</f>
        <v>3.2401264829321486E-3</v>
      </c>
      <c r="PE84" s="8">
        <f ca="1">_xll.RiskLogistic(0.0032402,0.050981,_xll.RiskTruncate(-0.99,0.99),_xll.RiskCorrmat(NewMatrix2,2,"2/1/2050"))</f>
        <v>3.2401264829321486E-3</v>
      </c>
      <c r="PF84" s="8">
        <f ca="1">_xll.RiskLogistic(0.0032402,0.050981,_xll.RiskTruncate(-0.99,0.99),_xll.RiskCorrmat(NewMatrix2,2,"3/1/2050"))</f>
        <v>3.2401264829321486E-3</v>
      </c>
      <c r="PG84" s="8">
        <f ca="1">_xll.RiskLogistic(0.0032402,0.050981,_xll.RiskTruncate(-0.99,0.99),_xll.RiskCorrmat(NewMatrix2,2,"4/1/2050"))</f>
        <v>3.2401264829321486E-3</v>
      </c>
      <c r="PH84" s="8">
        <f ca="1">_xll.RiskLogistic(0.0032402,0.050981,_xll.RiskTruncate(-0.99,0.99),_xll.RiskCorrmat(NewMatrix2,2,"5/1/2050"))</f>
        <v>3.2401264829321486E-3</v>
      </c>
      <c r="PI84" s="8">
        <f ca="1">_xll.RiskLogistic(0.0032402,0.050981,_xll.RiskTruncate(-0.99,0.99),_xll.RiskCorrmat(NewMatrix2,2,"6/1/2050"))</f>
        <v>3.2401264829321486E-3</v>
      </c>
      <c r="PJ84" s="8">
        <f ca="1">_xll.RiskLogistic(0.0032402,0.050981,_xll.RiskTruncate(-0.99,0.99),_xll.RiskCorrmat(NewMatrix2,2,"7/1/2050"))</f>
        <v>3.2401264829321486E-3</v>
      </c>
      <c r="PK84" s="8">
        <f ca="1">_xll.RiskLogistic(0.0032402,0.050981,_xll.RiskTruncate(-0.99,0.99),_xll.RiskCorrmat(NewMatrix2,2,"8/1/2050"))</f>
        <v>3.2401264829321486E-3</v>
      </c>
      <c r="PL84" s="8">
        <f ca="1">_xll.RiskLogistic(0.0032402,0.050981,_xll.RiskTruncate(-0.99,0.99),_xll.RiskCorrmat(NewMatrix2,2,"9/1/2050"))</f>
        <v>3.2401264829321486E-3</v>
      </c>
      <c r="PM84" s="8">
        <f ca="1">_xll.RiskLogistic(0.0032402,0.050981,_xll.RiskTruncate(-0.99,0.99),_xll.RiskCorrmat(NewMatrix2,2,"10/1/2050"))</f>
        <v>3.2401264829321486E-3</v>
      </c>
      <c r="PN84" s="8">
        <f ca="1">_xll.RiskLogistic(0.0032402,0.050981,_xll.RiskTruncate(-0.99,0.99),_xll.RiskCorrmat(NewMatrix2,2,"11/1/2050"))</f>
        <v>3.2401264829321486E-3</v>
      </c>
      <c r="PO84" s="8">
        <f ca="1">_xll.RiskLogistic(0.0032402,0.050981,_xll.RiskTruncate(-0.99,0.99),_xll.RiskCorrmat(NewMatrix2,2,"12/1/2050"))</f>
        <v>3.2401264829321486E-3</v>
      </c>
      <c r="PP84" s="8">
        <f ca="1">_xll.RiskLogistic(0.0032402,0.050981,_xll.RiskTruncate(-0.99,0.99),_xll.RiskCorrmat(NewMatrix2,2,"1/1/2051"))</f>
        <v>3.2401264829321486E-3</v>
      </c>
      <c r="PQ84" s="8">
        <f ca="1">_xll.RiskLogistic(0.0032402,0.050981,_xll.RiskTruncate(-0.99,0.99),_xll.RiskCorrmat(NewMatrix2,2,"2/1/2051"))</f>
        <v>3.2401264829321486E-3</v>
      </c>
      <c r="PR84" s="8">
        <f ca="1">_xll.RiskLogistic(0.0032402,0.050981,_xll.RiskTruncate(-0.99,0.99),_xll.RiskCorrmat(NewMatrix2,2,"3/1/2051"))</f>
        <v>3.2401264829321486E-3</v>
      </c>
      <c r="PS84" s="8">
        <f ca="1">_xll.RiskLogistic(0.0032402,0.050981,_xll.RiskTruncate(-0.99,0.99),_xll.RiskCorrmat(NewMatrix2,2,"4/1/2051"))</f>
        <v>3.2401264829321486E-3</v>
      </c>
      <c r="PT84" s="8">
        <f ca="1">_xll.RiskLogistic(0.0032402,0.050981,_xll.RiskTruncate(-0.99,0.99),_xll.RiskCorrmat(NewMatrix2,2,"5/1/2051"))</f>
        <v>3.2401264829321486E-3</v>
      </c>
      <c r="PU84" s="8">
        <f ca="1">_xll.RiskLogistic(0.0032402,0.050981,_xll.RiskTruncate(-0.99,0.99),_xll.RiskCorrmat(NewMatrix2,2,"6/1/2051"))</f>
        <v>3.2401264829321486E-3</v>
      </c>
      <c r="PV84" s="8">
        <f ca="1">_xll.RiskLogistic(0.0032402,0.050981,_xll.RiskTruncate(-0.99,0.99),_xll.RiskCorrmat(NewMatrix2,2,"7/1/2051"))</f>
        <v>3.2401264829321486E-3</v>
      </c>
      <c r="PW84" s="8">
        <f ca="1">_xll.RiskLogistic(0.0032402,0.050981,_xll.RiskTruncate(-0.99,0.99),_xll.RiskCorrmat(NewMatrix2,2,"8/1/2051"))</f>
        <v>3.2401264829321486E-3</v>
      </c>
      <c r="PX84" s="8">
        <f ca="1">_xll.RiskLogistic(0.0032402,0.050981,_xll.RiskTruncate(-0.99,0.99),_xll.RiskCorrmat(NewMatrix2,2,"9/1/2051"))</f>
        <v>3.2401264829321486E-3</v>
      </c>
      <c r="PY84" s="8">
        <f ca="1">_xll.RiskLogistic(0.0032402,0.050981,_xll.RiskTruncate(-0.99,0.99),_xll.RiskCorrmat(NewMatrix2,2,"10/1/2051"))</f>
        <v>3.2401264829321486E-3</v>
      </c>
      <c r="PZ84" s="8">
        <f ca="1">_xll.RiskLogistic(0.0032402,0.050981,_xll.RiskTruncate(-0.99,0.99),_xll.RiskCorrmat(NewMatrix2,2,"11/1/2051"))</f>
        <v>3.2401264829321486E-3</v>
      </c>
      <c r="QA84" s="8">
        <f ca="1">_xll.RiskLogistic(0.0032402,0.050981,_xll.RiskTruncate(-0.99,0.99),_xll.RiskCorrmat(NewMatrix2,2,"12/1/2051"))</f>
        <v>3.2401264829321486E-3</v>
      </c>
      <c r="QB84" s="8">
        <f ca="1">_xll.RiskLogistic(0.0032402,0.050981,_xll.RiskTruncate(-0.99,0.99),_xll.RiskCorrmat(NewMatrix2,2,"1/1/2052"))</f>
        <v>3.2401264829321486E-3</v>
      </c>
      <c r="QC84" s="8">
        <f ca="1">_xll.RiskLogistic(0.0032402,0.050981,_xll.RiskTruncate(-0.99,0.99),_xll.RiskCorrmat(NewMatrix2,2,"2/1/2052"))</f>
        <v>3.2401264829321486E-3</v>
      </c>
      <c r="QD84" s="8">
        <f ca="1">_xll.RiskLogistic(0.0032402,0.050981,_xll.RiskTruncate(-0.99,0.99),_xll.RiskCorrmat(NewMatrix2,2,"3/1/2052"))</f>
        <v>3.2401264829321486E-3</v>
      </c>
      <c r="QE84" s="8">
        <f ca="1">_xll.RiskLogistic(0.0032402,0.050981,_xll.RiskTruncate(-0.99,0.99),_xll.RiskCorrmat(NewMatrix2,2,"4/1/2052"))</f>
        <v>3.2401264829321486E-3</v>
      </c>
      <c r="QF84" s="8">
        <f ca="1">_xll.RiskLogistic(0.0032402,0.050981,_xll.RiskTruncate(-0.99,0.99),_xll.RiskCorrmat(NewMatrix2,2,"5/1/2052"))</f>
        <v>3.2401264829321486E-3</v>
      </c>
      <c r="QG84" s="8">
        <f ca="1">_xll.RiskLogistic(0.0032402,0.050981,_xll.RiskTruncate(-0.99,0.99),_xll.RiskCorrmat(NewMatrix2,2,"6/1/2052"))</f>
        <v>3.2401264829321486E-3</v>
      </c>
      <c r="QH84" s="8">
        <f ca="1">_xll.RiskLogistic(0.0032402,0.050981,_xll.RiskTruncate(-0.99,0.99),_xll.RiskCorrmat(NewMatrix2,2,"7/1/2052"))</f>
        <v>3.2401264829321486E-3</v>
      </c>
      <c r="QI84" s="8">
        <f ca="1">_xll.RiskLogistic(0.0032402,0.050981,_xll.RiskTruncate(-0.99,0.99),_xll.RiskCorrmat(NewMatrix2,2,"8/1/2052"))</f>
        <v>3.2401264829321486E-3</v>
      </c>
      <c r="QJ84" s="8">
        <f ca="1">_xll.RiskLogistic(0.0032402,0.050981,_xll.RiskTruncate(-0.99,0.99),_xll.RiskCorrmat(NewMatrix2,2,"9/1/2052"))</f>
        <v>3.2401264829321486E-3</v>
      </c>
      <c r="QK84" s="8">
        <f ca="1">_xll.RiskLogistic(0.0032402,0.050981,_xll.RiskTruncate(-0.99,0.99),_xll.RiskCorrmat(NewMatrix2,2,"10/1/2052"))</f>
        <v>3.2401264829321486E-3</v>
      </c>
      <c r="QL84" s="8">
        <f ca="1">_xll.RiskLogistic(0.0032402,0.050981,_xll.RiskTruncate(-0.99,0.99),_xll.RiskCorrmat(NewMatrix2,2,"11/1/2052"))</f>
        <v>3.2401264829321486E-3</v>
      </c>
      <c r="QM84" s="8">
        <f ca="1">_xll.RiskLogistic(0.0032402,0.050981,_xll.RiskTruncate(-0.99,0.99),_xll.RiskCorrmat(NewMatrix2,2,"12/1/2052"))</f>
        <v>3.2401264829321486E-3</v>
      </c>
      <c r="QN84" s="8">
        <f ca="1">_xll.RiskLogistic(0.0032402,0.050981,_xll.RiskTruncate(-0.99,0.99),_xll.RiskCorrmat(NewMatrix2,2,"1/1/2053"))</f>
        <v>3.2401264829321486E-3</v>
      </c>
      <c r="QO84" s="8">
        <f ca="1">_xll.RiskLogistic(0.0032402,0.050981,_xll.RiskTruncate(-0.99,0.99),_xll.RiskCorrmat(NewMatrix2,2,"2/1/2053"))</f>
        <v>3.2401264829321486E-3</v>
      </c>
      <c r="QP84" s="8">
        <f ca="1">_xll.RiskLogistic(0.0032402,0.050981,_xll.RiskTruncate(-0.99,0.99),_xll.RiskCorrmat(NewMatrix2,2,"3/1/2053"))</f>
        <v>3.2401264829321486E-3</v>
      </c>
      <c r="QQ84" s="8">
        <f ca="1">_xll.RiskLogistic(0.0032402,0.050981,_xll.RiskTruncate(-0.99,0.99),_xll.RiskCorrmat(NewMatrix2,2,"4/1/2053"))</f>
        <v>3.2401264829321486E-3</v>
      </c>
      <c r="QR84" s="8">
        <f ca="1">_xll.RiskLogistic(0.0032402,0.050981,_xll.RiskTruncate(-0.99,0.99),_xll.RiskCorrmat(NewMatrix2,2,"5/1/2053"))</f>
        <v>3.2401264829321486E-3</v>
      </c>
      <c r="QS84" s="8">
        <f ca="1">_xll.RiskLogistic(0.0032402,0.050981,_xll.RiskTruncate(-0.99,0.99),_xll.RiskCorrmat(NewMatrix2,2,"6/1/2053"))</f>
        <v>3.2401264829321486E-3</v>
      </c>
      <c r="QT84" s="8">
        <f ca="1">_xll.RiskLogistic(0.0032402,0.050981,_xll.RiskTruncate(-0.99,0.99),_xll.RiskCorrmat(NewMatrix2,2,"7/1/2053"))</f>
        <v>3.2401264829321486E-3</v>
      </c>
      <c r="QU84" s="8">
        <f ca="1">_xll.RiskLogistic(0.0032402,0.050981,_xll.RiskTruncate(-0.99,0.99),_xll.RiskCorrmat(NewMatrix2,2,"8/1/2053"))</f>
        <v>3.2401264829321486E-3</v>
      </c>
      <c r="QV84" s="8">
        <f ca="1">_xll.RiskLogistic(0.0032402,0.050981,_xll.RiskTruncate(-0.99,0.99),_xll.RiskCorrmat(NewMatrix2,2,"9/1/2053"))</f>
        <v>3.2401264829321486E-3</v>
      </c>
      <c r="QW84" s="8">
        <f ca="1">_xll.RiskLogistic(0.0032402,0.050981,_xll.RiskTruncate(-0.99,0.99),_xll.RiskCorrmat(NewMatrix2,2,"10/1/2053"))</f>
        <v>3.2401264829321486E-3</v>
      </c>
      <c r="QX84" s="8">
        <f ca="1">_xll.RiskLogistic(0.0032402,0.050981,_xll.RiskTruncate(-0.99,0.99),_xll.RiskCorrmat(NewMatrix2,2,"11/1/2053"))</f>
        <v>3.2401264829321486E-3</v>
      </c>
      <c r="QY84" s="8">
        <f ca="1">_xll.RiskLogistic(0.0032402,0.050981,_xll.RiskTruncate(-0.99,0.99),_xll.RiskCorrmat(NewMatrix2,2,"12/1/2053"))</f>
        <v>3.2401264829321486E-3</v>
      </c>
      <c r="QZ84" s="8">
        <f ca="1">_xll.RiskLogistic(0.0032402,0.050981,_xll.RiskTruncate(-0.99,0.99),_xll.RiskCorrmat(NewMatrix2,2,"1/1/2054"))</f>
        <v>3.2401264829321486E-3</v>
      </c>
      <c r="RA84" s="8">
        <f ca="1">_xll.RiskLogistic(0.0032402,0.050981,_xll.RiskTruncate(-0.99,0.99),_xll.RiskCorrmat(NewMatrix2,2,"2/1/2054"))</f>
        <v>3.2401264829321486E-3</v>
      </c>
      <c r="RB84" s="8">
        <f ca="1">_xll.RiskLogistic(0.0032402,0.050981,_xll.RiskTruncate(-0.99,0.99),_xll.RiskCorrmat(NewMatrix2,2,"3/1/2054"))</f>
        <v>3.2401264829321486E-3</v>
      </c>
      <c r="RC84" s="8">
        <f ca="1">_xll.RiskLogistic(0.0032402,0.050981,_xll.RiskTruncate(-0.99,0.99),_xll.RiskCorrmat(NewMatrix2,2,"4/1/2054"))</f>
        <v>3.2401264829321486E-3</v>
      </c>
      <c r="RD84" s="8">
        <f ca="1">_xll.RiskLogistic(0.0032402,0.050981,_xll.RiskTruncate(-0.99,0.99),_xll.RiskCorrmat(NewMatrix2,2,"5/1/2054"))</f>
        <v>3.2401264829321486E-3</v>
      </c>
      <c r="RE84" s="8">
        <f ca="1">_xll.RiskLogistic(0.0032402,0.050981,_xll.RiskTruncate(-0.99,0.99),_xll.RiskCorrmat(NewMatrix2,2,"6/1/2054"))</f>
        <v>3.2401264829321486E-3</v>
      </c>
      <c r="RF84" s="8">
        <f ca="1">_xll.RiskLogistic(0.0032402,0.050981,_xll.RiskTruncate(-0.99,0.99),_xll.RiskCorrmat(NewMatrix2,2,"7/1/2054"))</f>
        <v>3.2401264829321486E-3</v>
      </c>
      <c r="RG84" s="8">
        <f ca="1">_xll.RiskLogistic(0.0032402,0.050981,_xll.RiskTruncate(-0.99,0.99),_xll.RiskCorrmat(NewMatrix2,2,"8/1/2054"))</f>
        <v>3.2401264829321486E-3</v>
      </c>
      <c r="RH84" s="8">
        <f ca="1">_xll.RiskLogistic(0.0032402,0.050981,_xll.RiskTruncate(-0.99,0.99),_xll.RiskCorrmat(NewMatrix2,2,"9/1/2054"))</f>
        <v>3.2401264829321486E-3</v>
      </c>
      <c r="RI84" s="8">
        <f ca="1">_xll.RiskLogistic(0.0032402,0.050981,_xll.RiskTruncate(-0.99,0.99),_xll.RiskCorrmat(NewMatrix2,2,"10/1/2054"))</f>
        <v>3.2401264829321486E-3</v>
      </c>
      <c r="RJ84" s="8">
        <f ca="1">_xll.RiskLogistic(0.0032402,0.050981,_xll.RiskTruncate(-0.99,0.99),_xll.RiskCorrmat(NewMatrix2,2,"11/1/2054"))</f>
        <v>3.2401264829321486E-3</v>
      </c>
      <c r="RK84" s="8">
        <f ca="1">_xll.RiskLogistic(0.0032402,0.050981,_xll.RiskTruncate(-0.99,0.99),_xll.RiskCorrmat(NewMatrix2,2,"12/1/2054"))</f>
        <v>3.2401264829321486E-3</v>
      </c>
      <c r="RL84" s="8">
        <f ca="1">_xll.RiskLogistic(0.0032402,0.050981,_xll.RiskTruncate(-0.99,0.99),_xll.RiskCorrmat(NewMatrix2,2,"1/1/2055"))</f>
        <v>3.2401264829321486E-3</v>
      </c>
      <c r="RM84" s="8">
        <f ca="1">_xll.RiskLogistic(0.0032402,0.050981,_xll.RiskTruncate(-0.99,0.99),_xll.RiskCorrmat(NewMatrix2,2,"2/1/2055"))</f>
        <v>3.2401264829321486E-3</v>
      </c>
      <c r="RN84" s="8">
        <f ca="1">_xll.RiskLogistic(0.0032402,0.050981,_xll.RiskTruncate(-0.99,0.99),_xll.RiskCorrmat(NewMatrix2,2,"3/1/2055"))</f>
        <v>3.2401264829321486E-3</v>
      </c>
      <c r="RO84" s="8">
        <f ca="1">_xll.RiskLogistic(0.0032402,0.050981,_xll.RiskTruncate(-0.99,0.99),_xll.RiskCorrmat(NewMatrix2,2,"4/1/2055"))</f>
        <v>3.2401264829321486E-3</v>
      </c>
      <c r="RP84" s="8">
        <f ca="1">_xll.RiskLogistic(0.0032402,0.050981,_xll.RiskTruncate(-0.99,0.99),_xll.RiskCorrmat(NewMatrix2,2,"5/1/2055"))</f>
        <v>3.2401264829321486E-3</v>
      </c>
      <c r="RQ84" s="8">
        <f ca="1">_xll.RiskLogistic(0.0032402,0.050981,_xll.RiskTruncate(-0.99,0.99),_xll.RiskCorrmat(NewMatrix2,2,"6/1/2055"))</f>
        <v>3.2401264829321486E-3</v>
      </c>
      <c r="RR84" s="8">
        <f ca="1">_xll.RiskLogistic(0.0032402,0.050981,_xll.RiskTruncate(-0.99,0.99),_xll.RiskCorrmat(NewMatrix2,2,"7/1/2055"))</f>
        <v>3.2401264829321486E-3</v>
      </c>
    </row>
    <row r="85" spans="1:486" s="9" customFormat="1">
      <c r="A85" s="289"/>
      <c r="B85" s="66" t="s">
        <v>227</v>
      </c>
      <c r="E85" s="95">
        <v>0</v>
      </c>
      <c r="F85" s="270">
        <f ca="1">_xll.RiskLogistic(0.0032402,0.086856,_xll.RiskTruncate(-0.99,0.99),_xll.RiskCorrmat(NewMatrix2,3,"7/1/2015"))</f>
        <v>3.2394610984861627E-3</v>
      </c>
      <c r="G85" s="8">
        <f ca="1">_xll.RiskLogistic(0.0032402,0.086856,_xll.RiskTruncate(-0.99,0.99),_xll.RiskCorrmat(NewMatrix2,3,"8/1/2015"))</f>
        <v>3.2394610984861627E-3</v>
      </c>
      <c r="H85" s="8">
        <f ca="1">_xll.RiskLogistic(0.0032402,0.086856,_xll.RiskTruncate(-0.99,0.99),_xll.RiskCorrmat(NewMatrix2,3,"9/1/2015"))</f>
        <v>3.2394610984861627E-3</v>
      </c>
      <c r="I85" s="8">
        <f ca="1">_xll.RiskLogistic(0.0032402,0.086856,_xll.RiskTruncate(-0.99,0.99),_xll.RiskCorrmat(NewMatrix2,3,"10/1/2015"))</f>
        <v>3.2394610984861627E-3</v>
      </c>
      <c r="J85" s="8">
        <f ca="1">_xll.RiskLogistic(0.0032402,0.086856,_xll.RiskTruncate(-0.99,0.99),_xll.RiskCorrmat(NewMatrix2,3,"11/1/2015"))</f>
        <v>3.2394610984861627E-3</v>
      </c>
      <c r="K85" s="8">
        <f ca="1">_xll.RiskLogistic(0.0032402,0.086856,_xll.RiskTruncate(-0.99,0.99),_xll.RiskCorrmat(NewMatrix2,3,"12/1/2015"))</f>
        <v>3.2394610984861627E-3</v>
      </c>
      <c r="L85" s="8">
        <f ca="1">_xll.RiskLogistic(0.0032402,0.086856,_xll.RiskTruncate(-0.99,0.99),_xll.RiskCorrmat(NewMatrix2,3,"1/1/2016"))</f>
        <v>3.2394610984861627E-3</v>
      </c>
      <c r="M85" s="8">
        <f ca="1">_xll.RiskLogistic(0.0032402,0.086856,_xll.RiskTruncate(-0.99,0.99),_xll.RiskCorrmat(NewMatrix2,3,"2/1/2016"))</f>
        <v>3.2394610984861627E-3</v>
      </c>
      <c r="N85" s="8">
        <f ca="1">_xll.RiskLogistic(0.0032402,0.086856,_xll.RiskTruncate(-0.99,0.99),_xll.RiskCorrmat(NewMatrix2,3,"3/1/2016"))</f>
        <v>3.2394610984861627E-3</v>
      </c>
      <c r="O85" s="8">
        <f ca="1">_xll.RiskLogistic(0.0032402,0.086856,_xll.RiskTruncate(-0.99,0.99),_xll.RiskCorrmat(NewMatrix2,3,"4/1/2016"))</f>
        <v>3.2394610984861627E-3</v>
      </c>
      <c r="P85" s="8">
        <f ca="1">_xll.RiskLogistic(0.0032402,0.086856,_xll.RiskTruncate(-0.99,0.99),_xll.RiskCorrmat(NewMatrix2,3,"5/1/2016"))</f>
        <v>3.2394610984861627E-3</v>
      </c>
      <c r="Q85" s="8">
        <f ca="1">_xll.RiskLogistic(0.0032402,0.086856,_xll.RiskTruncate(-0.99,0.99),_xll.RiskCorrmat(NewMatrix2,3,"6/1/2016"))</f>
        <v>3.2394610984861627E-3</v>
      </c>
      <c r="R85" s="8">
        <f ca="1">_xll.RiskLogistic(0.0032402,0.086856,_xll.RiskTruncate(-0.99,0.99),_xll.RiskCorrmat(NewMatrix2,3,"7/1/2016"))</f>
        <v>3.2394610984861627E-3</v>
      </c>
      <c r="S85" s="8">
        <f ca="1">_xll.RiskLogistic(0.0032402,0.086856,_xll.RiskTruncate(-0.99,0.99),_xll.RiskCorrmat(NewMatrix2,3,"8/1/2016"))</f>
        <v>3.2394610984861627E-3</v>
      </c>
      <c r="T85" s="8">
        <f ca="1">_xll.RiskLogistic(0.0032402,0.086856,_xll.RiskTruncate(-0.99,0.99),_xll.RiskCorrmat(NewMatrix2,3,"9/1/2016"))</f>
        <v>3.2394610984861627E-3</v>
      </c>
      <c r="U85" s="8">
        <f ca="1">_xll.RiskLogistic(0.0032402,0.086856,_xll.RiskTruncate(-0.99,0.99),_xll.RiskCorrmat(NewMatrix2,3,"10/1/2016"))</f>
        <v>3.2394610984861627E-3</v>
      </c>
      <c r="V85" s="8">
        <f ca="1">_xll.RiskLogistic(0.0032402,0.086856,_xll.RiskTruncate(-0.99,0.99),_xll.RiskCorrmat(NewMatrix2,3,"11/1/2016"))</f>
        <v>3.2394610984861627E-3</v>
      </c>
      <c r="W85" s="8">
        <f ca="1">_xll.RiskLogistic(0.0032402,0.086856,_xll.RiskTruncate(-0.99,0.99),_xll.RiskCorrmat(NewMatrix2,3,"12/1/2016"))</f>
        <v>3.2394610984861627E-3</v>
      </c>
      <c r="X85" s="8">
        <f ca="1">_xll.RiskLogistic(0.0032402,0.086856,_xll.RiskTruncate(-0.99,0.99),_xll.RiskCorrmat(NewMatrix2,3,"1/1/2017"))</f>
        <v>3.2394610984861627E-3</v>
      </c>
      <c r="Y85" s="8">
        <f ca="1">_xll.RiskLogistic(0.0032402,0.086856,_xll.RiskTruncate(-0.99,0.99),_xll.RiskCorrmat(NewMatrix2,3,"2/1/2017"))</f>
        <v>3.2394610984861627E-3</v>
      </c>
      <c r="Z85" s="8">
        <f ca="1">_xll.RiskLogistic(0.0032402,0.086856,_xll.RiskTruncate(-0.99,0.99),_xll.RiskCorrmat(NewMatrix2,3,"3/1/2017"))</f>
        <v>3.2394610984861627E-3</v>
      </c>
      <c r="AA85" s="8">
        <f ca="1">_xll.RiskLogistic(0.0032402,0.086856,_xll.RiskTruncate(-0.99,0.99),_xll.RiskCorrmat(NewMatrix2,3,"4/1/2017"))</f>
        <v>3.2394610984861627E-3</v>
      </c>
      <c r="AB85" s="8">
        <f ca="1">_xll.RiskLogistic(0.0032402,0.086856,_xll.RiskTruncate(-0.99,0.99),_xll.RiskCorrmat(NewMatrix2,3,"5/1/2017"))</f>
        <v>3.2394610984861627E-3</v>
      </c>
      <c r="AC85" s="8">
        <f ca="1">_xll.RiskLogistic(0.0032402,0.086856,_xll.RiskTruncate(-0.99,0.99),_xll.RiskCorrmat(NewMatrix2,3,"6/1/2017"))</f>
        <v>3.2394610984861627E-3</v>
      </c>
      <c r="AD85" s="8">
        <f ca="1">_xll.RiskLogistic(0.0032402,0.086856,_xll.RiskTruncate(-0.99,0.99),_xll.RiskCorrmat(NewMatrix2,3,"7/1/2017"))</f>
        <v>3.2394610984861627E-3</v>
      </c>
      <c r="AE85" s="8">
        <f ca="1">_xll.RiskLogistic(0.0032402,0.086856,_xll.RiskTruncate(-0.99,0.99),_xll.RiskCorrmat(NewMatrix2,3,"8/1/2017"))</f>
        <v>3.2394610984861627E-3</v>
      </c>
      <c r="AF85" s="8">
        <f ca="1">_xll.RiskLogistic(0.0032402,0.086856,_xll.RiskTruncate(-0.99,0.99),_xll.RiskCorrmat(NewMatrix2,3,"9/1/2017"))</f>
        <v>3.2394610984861627E-3</v>
      </c>
      <c r="AG85" s="8">
        <f ca="1">_xll.RiskLogistic(0.0032402,0.086856,_xll.RiskTruncate(-0.99,0.99),_xll.RiskCorrmat(NewMatrix2,3,"10/1/2017"))</f>
        <v>3.2394610984861627E-3</v>
      </c>
      <c r="AH85" s="8">
        <f ca="1">_xll.RiskLogistic(0.0032402,0.086856,_xll.RiskTruncate(-0.99,0.99),_xll.RiskCorrmat(NewMatrix2,3,"11/1/2017"))</f>
        <v>3.2394610984861627E-3</v>
      </c>
      <c r="AI85" s="8">
        <f ca="1">_xll.RiskLogistic(0.0032402,0.086856,_xll.RiskTruncate(-0.99,0.99),_xll.RiskCorrmat(NewMatrix2,3,"12/1/2017"))</f>
        <v>3.2394610984861627E-3</v>
      </c>
      <c r="AJ85" s="8">
        <f ca="1">_xll.RiskLogistic(0.0032402,0.086856,_xll.RiskTruncate(-0.99,0.99),_xll.RiskCorrmat(NewMatrix2,3,"1/1/2018"))</f>
        <v>3.2394610984861627E-3</v>
      </c>
      <c r="AK85" s="8">
        <f ca="1">_xll.RiskLogistic(0.0032402,0.086856,_xll.RiskTruncate(-0.99,0.99),_xll.RiskCorrmat(NewMatrix2,3,"2/1/2018"))</f>
        <v>3.2394610984861627E-3</v>
      </c>
      <c r="AL85" s="8">
        <f ca="1">_xll.RiskLogistic(0.0032402,0.086856,_xll.RiskTruncate(-0.99,0.99),_xll.RiskCorrmat(NewMatrix2,3,"3/1/2018"))</f>
        <v>3.2394610984861627E-3</v>
      </c>
      <c r="AM85" s="8">
        <f ca="1">_xll.RiskLogistic(0.0032402,0.086856,_xll.RiskTruncate(-0.99,0.99),_xll.RiskCorrmat(NewMatrix2,3,"4/1/2018"))</f>
        <v>3.2394610984861627E-3</v>
      </c>
      <c r="AN85" s="8">
        <f ca="1">_xll.RiskLogistic(0.0032402,0.086856,_xll.RiskTruncate(-0.99,0.99),_xll.RiskCorrmat(NewMatrix2,3,"5/1/2018"))</f>
        <v>3.2394610984861627E-3</v>
      </c>
      <c r="AO85" s="8">
        <f ca="1">_xll.RiskLogistic(0.0032402,0.086856,_xll.RiskTruncate(-0.99,0.99),_xll.RiskCorrmat(NewMatrix2,3,"6/1/2018"))</f>
        <v>3.2394610984861627E-3</v>
      </c>
      <c r="AP85" s="8">
        <f ca="1">_xll.RiskLogistic(0.0032402,0.086856,_xll.RiskTruncate(-0.99,0.99),_xll.RiskCorrmat(NewMatrix2,3,"7/1/2018"))</f>
        <v>3.2394610984861627E-3</v>
      </c>
      <c r="AQ85" s="8">
        <f ca="1">_xll.RiskLogistic(0.0032402,0.086856,_xll.RiskTruncate(-0.99,0.99),_xll.RiskCorrmat(NewMatrix2,3,"8/1/2018"))</f>
        <v>3.2394610984861627E-3</v>
      </c>
      <c r="AR85" s="8">
        <f ca="1">_xll.RiskLogistic(0.0032402,0.086856,_xll.RiskTruncate(-0.99,0.99),_xll.RiskCorrmat(NewMatrix2,3,"9/1/2018"))</f>
        <v>3.2394610984861627E-3</v>
      </c>
      <c r="AS85" s="8">
        <f ca="1">_xll.RiskLogistic(0.0032402,0.086856,_xll.RiskTruncate(-0.99,0.99),_xll.RiskCorrmat(NewMatrix2,3,"10/1/2018"))</f>
        <v>3.2394610984861627E-3</v>
      </c>
      <c r="AT85" s="8">
        <f ca="1">_xll.RiskLogistic(0.0032402,0.086856,_xll.RiskTruncate(-0.99,0.99),_xll.RiskCorrmat(NewMatrix2,3,"11/1/2018"))</f>
        <v>3.2394610984861627E-3</v>
      </c>
      <c r="AU85" s="8">
        <f ca="1">_xll.RiskLogistic(0.0032402,0.086856,_xll.RiskTruncate(-0.99,0.99),_xll.RiskCorrmat(NewMatrix2,3,"12/1/2018"))</f>
        <v>3.2394610984861627E-3</v>
      </c>
      <c r="AV85" s="8">
        <f ca="1">_xll.RiskLogistic(0.0032402,0.086856,_xll.RiskTruncate(-0.99,0.99),_xll.RiskCorrmat(NewMatrix2,3,"1/1/2019"))</f>
        <v>3.2394610984861627E-3</v>
      </c>
      <c r="AW85" s="8">
        <f ca="1">_xll.RiskLogistic(0.0032402,0.086856,_xll.RiskTruncate(-0.99,0.99),_xll.RiskCorrmat(NewMatrix2,3,"2/1/2019"))</f>
        <v>3.2394610984861627E-3</v>
      </c>
      <c r="AX85" s="8">
        <f ca="1">_xll.RiskLogistic(0.0032402,0.086856,_xll.RiskTruncate(-0.99,0.99),_xll.RiskCorrmat(NewMatrix2,3,"3/1/2019"))</f>
        <v>3.2394610984861627E-3</v>
      </c>
      <c r="AY85" s="8">
        <f ca="1">_xll.RiskLogistic(0.0032402,0.086856,_xll.RiskTruncate(-0.99,0.99),_xll.RiskCorrmat(NewMatrix2,3,"4/1/2019"))</f>
        <v>3.2394610984861627E-3</v>
      </c>
      <c r="AZ85" s="8">
        <f ca="1">_xll.RiskLogistic(0.0032402,0.086856,_xll.RiskTruncate(-0.99,0.99),_xll.RiskCorrmat(NewMatrix2,3,"5/1/2019"))</f>
        <v>3.2394610984861627E-3</v>
      </c>
      <c r="BA85" s="8">
        <f ca="1">_xll.RiskLogistic(0.0032402,0.086856,_xll.RiskTruncate(-0.99,0.99),_xll.RiskCorrmat(NewMatrix2,3,"6/1/2019"))</f>
        <v>3.2394610984861627E-3</v>
      </c>
      <c r="BB85" s="8">
        <f ca="1">_xll.RiskLogistic(0.0032402,0.086856,_xll.RiskTruncate(-0.99,0.99),_xll.RiskCorrmat(NewMatrix2,3,"7/1/2019"))</f>
        <v>3.2394610984861627E-3</v>
      </c>
      <c r="BC85" s="8">
        <f ca="1">_xll.RiskLogistic(0.0032402,0.086856,_xll.RiskTruncate(-0.99,0.99),_xll.RiskCorrmat(NewMatrix2,3,"8/1/2019"))</f>
        <v>3.2394610984861627E-3</v>
      </c>
      <c r="BD85" s="8">
        <f ca="1">_xll.RiskLogistic(0.0032402,0.086856,_xll.RiskTruncate(-0.99,0.99),_xll.RiskCorrmat(NewMatrix2,3,"9/1/2019"))</f>
        <v>3.2394610984861627E-3</v>
      </c>
      <c r="BE85" s="8">
        <f ca="1">_xll.RiskLogistic(0.0032402,0.086856,_xll.RiskTruncate(-0.99,0.99),_xll.RiskCorrmat(NewMatrix2,3,"10/1/2019"))</f>
        <v>3.2394610984861627E-3</v>
      </c>
      <c r="BF85" s="8">
        <f ca="1">_xll.RiskLogistic(0.0032402,0.086856,_xll.RiskTruncate(-0.99,0.99),_xll.RiskCorrmat(NewMatrix2,3,"11/1/2019"))</f>
        <v>3.2394610984861627E-3</v>
      </c>
      <c r="BG85" s="8">
        <f ca="1">_xll.RiskLogistic(0.0032402,0.086856,_xll.RiskTruncate(-0.99,0.99),_xll.RiskCorrmat(NewMatrix2,3,"12/1/2019"))</f>
        <v>3.2394610984861627E-3</v>
      </c>
      <c r="BH85" s="8">
        <f ca="1">_xll.RiskLogistic(0.0032402,0.086856,_xll.RiskTruncate(-0.99,0.99),_xll.RiskCorrmat(NewMatrix2,3,"1/1/2020"))</f>
        <v>3.2394610984861627E-3</v>
      </c>
      <c r="BI85" s="8">
        <f ca="1">_xll.RiskLogistic(0.0032402,0.086856,_xll.RiskTruncate(-0.99,0.99),_xll.RiskCorrmat(NewMatrix2,3,"2/1/2020"))</f>
        <v>3.2394610984861627E-3</v>
      </c>
      <c r="BJ85" s="8">
        <f ca="1">_xll.RiskLogistic(0.0032402,0.086856,_xll.RiskTruncate(-0.99,0.99),_xll.RiskCorrmat(NewMatrix2,3,"3/1/2020"))</f>
        <v>3.2394610984861627E-3</v>
      </c>
      <c r="BK85" s="8">
        <f ca="1">_xll.RiskLogistic(0.0032402,0.086856,_xll.RiskTruncate(-0.99,0.99),_xll.RiskCorrmat(NewMatrix2,3,"4/1/2020"))</f>
        <v>3.2394610984861627E-3</v>
      </c>
      <c r="BL85" s="8">
        <f ca="1">_xll.RiskLogistic(0.0032402,0.086856,_xll.RiskTruncate(-0.99,0.99),_xll.RiskCorrmat(NewMatrix2,3,"5/1/2020"))</f>
        <v>3.2394610984861627E-3</v>
      </c>
      <c r="BM85" s="8">
        <f ca="1">_xll.RiskLogistic(0.0032402,0.086856,_xll.RiskTruncate(-0.99,0.99),_xll.RiskCorrmat(NewMatrix2,3,"6/1/2020"))</f>
        <v>3.2394610984861627E-3</v>
      </c>
      <c r="BN85" s="8">
        <f ca="1">_xll.RiskLogistic(0.0032402,0.086856,_xll.RiskTruncate(-0.99,0.99),_xll.RiskCorrmat(NewMatrix2,3,"7/1/2020"))</f>
        <v>3.2394610984861627E-3</v>
      </c>
      <c r="BO85" s="8">
        <f ca="1">_xll.RiskLogistic(0.0032402,0.086856,_xll.RiskTruncate(-0.99,0.99),_xll.RiskCorrmat(NewMatrix2,3,"8/1/2020"))</f>
        <v>3.2394610984861627E-3</v>
      </c>
      <c r="BP85" s="8">
        <f ca="1">_xll.RiskLogistic(0.0032402,0.086856,_xll.RiskTruncate(-0.99,0.99),_xll.RiskCorrmat(NewMatrix2,3,"9/1/2020"))</f>
        <v>3.2394610984861627E-3</v>
      </c>
      <c r="BQ85" s="8">
        <f ca="1">_xll.RiskLogistic(0.0032402,0.086856,_xll.RiskTruncate(-0.99,0.99),_xll.RiskCorrmat(NewMatrix2,3,"10/1/2020"))</f>
        <v>3.2394610984861627E-3</v>
      </c>
      <c r="BR85" s="8">
        <f ca="1">_xll.RiskLogistic(0.0032402,0.086856,_xll.RiskTruncate(-0.99,0.99),_xll.RiskCorrmat(NewMatrix2,3,"11/1/2020"))</f>
        <v>3.2394610984861627E-3</v>
      </c>
      <c r="BS85" s="8">
        <f ca="1">_xll.RiskLogistic(0.0032402,0.086856,_xll.RiskTruncate(-0.99,0.99),_xll.RiskCorrmat(NewMatrix2,3,"12/1/2020"))</f>
        <v>3.2394610984861627E-3</v>
      </c>
      <c r="BT85" s="8">
        <f ca="1">_xll.RiskLogistic(0.0032402,0.086856,_xll.RiskTruncate(-0.99,0.99),_xll.RiskCorrmat(NewMatrix2,3,"1/1/2021"))</f>
        <v>3.2394610984861627E-3</v>
      </c>
      <c r="BU85" s="8">
        <f ca="1">_xll.RiskLogistic(0.0032402,0.086856,_xll.RiskTruncate(-0.99,0.99),_xll.RiskCorrmat(NewMatrix2,3,"2/1/2021"))</f>
        <v>3.2394610984861627E-3</v>
      </c>
      <c r="BV85" s="8">
        <f ca="1">_xll.RiskLogistic(0.0032402,0.086856,_xll.RiskTruncate(-0.99,0.99),_xll.RiskCorrmat(NewMatrix2,3,"3/1/2021"))</f>
        <v>3.2394610984861627E-3</v>
      </c>
      <c r="BW85" s="8">
        <f ca="1">_xll.RiskLogistic(0.0032402,0.086856,_xll.RiskTruncate(-0.99,0.99),_xll.RiskCorrmat(NewMatrix2,3,"4/1/2021"))</f>
        <v>3.2394610984861627E-3</v>
      </c>
      <c r="BX85" s="8">
        <f ca="1">_xll.RiskLogistic(0.0032402,0.086856,_xll.RiskTruncate(-0.99,0.99),_xll.RiskCorrmat(NewMatrix2,3,"5/1/2021"))</f>
        <v>3.2394610984861627E-3</v>
      </c>
      <c r="BY85" s="8">
        <f ca="1">_xll.RiskLogistic(0.0032402,0.086856,_xll.RiskTruncate(-0.99,0.99),_xll.RiskCorrmat(NewMatrix2,3,"6/1/2021"))</f>
        <v>3.2394610984861627E-3</v>
      </c>
      <c r="BZ85" s="8">
        <f ca="1">_xll.RiskLogistic(0.0032402,0.086856,_xll.RiskTruncate(-0.99,0.99),_xll.RiskCorrmat(NewMatrix2,3,"7/1/2021"))</f>
        <v>3.2394610984861627E-3</v>
      </c>
      <c r="CA85" s="8">
        <f ca="1">_xll.RiskLogistic(0.0032402,0.086856,_xll.RiskTruncate(-0.99,0.99),_xll.RiskCorrmat(NewMatrix2,3,"8/1/2021"))</f>
        <v>3.2394610984861627E-3</v>
      </c>
      <c r="CB85" s="8">
        <f ca="1">_xll.RiskLogistic(0.0032402,0.086856,_xll.RiskTruncate(-0.99,0.99),_xll.RiskCorrmat(NewMatrix2,3,"9/1/2021"))</f>
        <v>3.2394610984861627E-3</v>
      </c>
      <c r="CC85" s="8">
        <f ca="1">_xll.RiskLogistic(0.0032402,0.086856,_xll.RiskTruncate(-0.99,0.99),_xll.RiskCorrmat(NewMatrix2,3,"10/1/2021"))</f>
        <v>3.2394610984861627E-3</v>
      </c>
      <c r="CD85" s="8">
        <f ca="1">_xll.RiskLogistic(0.0032402,0.086856,_xll.RiskTruncate(-0.99,0.99),_xll.RiskCorrmat(NewMatrix2,3,"11/1/2021"))</f>
        <v>3.2394610984861627E-3</v>
      </c>
      <c r="CE85" s="8">
        <f ca="1">_xll.RiskLogistic(0.0032402,0.086856,_xll.RiskTruncate(-0.99,0.99),_xll.RiskCorrmat(NewMatrix2,3,"12/1/2021"))</f>
        <v>3.2394610984861627E-3</v>
      </c>
      <c r="CF85" s="8">
        <f ca="1">_xll.RiskLogistic(0.0032402,0.086856,_xll.RiskTruncate(-0.99,0.99),_xll.RiskCorrmat(NewMatrix2,3,"1/1/2022"))</f>
        <v>3.2394610984861627E-3</v>
      </c>
      <c r="CG85" s="8">
        <f ca="1">_xll.RiskLogistic(0.0032402,0.086856,_xll.RiskTruncate(-0.99,0.99),_xll.RiskCorrmat(NewMatrix2,3,"2/1/2022"))</f>
        <v>3.2394610984861627E-3</v>
      </c>
      <c r="CH85" s="8">
        <f ca="1">_xll.RiskLogistic(0.0032402,0.086856,_xll.RiskTruncate(-0.99,0.99),_xll.RiskCorrmat(NewMatrix2,3,"3/1/2022"))</f>
        <v>3.2394610984861627E-3</v>
      </c>
      <c r="CI85" s="8">
        <f ca="1">_xll.RiskLogistic(0.0032402,0.086856,_xll.RiskTruncate(-0.99,0.99),_xll.RiskCorrmat(NewMatrix2,3,"4/1/2022"))</f>
        <v>3.2394610984861627E-3</v>
      </c>
      <c r="CJ85" s="8">
        <f ca="1">_xll.RiskLogistic(0.0032402,0.086856,_xll.RiskTruncate(-0.99,0.99),_xll.RiskCorrmat(NewMatrix2,3,"5/1/2022"))</f>
        <v>3.2394610984861627E-3</v>
      </c>
      <c r="CK85" s="8">
        <f ca="1">_xll.RiskLogistic(0.0032402,0.086856,_xll.RiskTruncate(-0.99,0.99),_xll.RiskCorrmat(NewMatrix2,3,"6/1/2022"))</f>
        <v>3.2394610984861627E-3</v>
      </c>
      <c r="CL85" s="8">
        <f ca="1">_xll.RiskLogistic(0.0032402,0.086856,_xll.RiskTruncate(-0.99,0.99),_xll.RiskCorrmat(NewMatrix2,3,"7/1/2022"))</f>
        <v>3.2394610984861627E-3</v>
      </c>
      <c r="CM85" s="8">
        <f ca="1">_xll.RiskLogistic(0.0032402,0.086856,_xll.RiskTruncate(-0.99,0.99),_xll.RiskCorrmat(NewMatrix2,3,"8/1/2022"))</f>
        <v>3.2394610984861627E-3</v>
      </c>
      <c r="CN85" s="8">
        <f ca="1">_xll.RiskLogistic(0.0032402,0.086856,_xll.RiskTruncate(-0.99,0.99),_xll.RiskCorrmat(NewMatrix2,3,"9/1/2022"))</f>
        <v>3.2394610984861627E-3</v>
      </c>
      <c r="CO85" s="8">
        <f ca="1">_xll.RiskLogistic(0.0032402,0.086856,_xll.RiskTruncate(-0.99,0.99),_xll.RiskCorrmat(NewMatrix2,3,"10/1/2022"))</f>
        <v>3.2394610984861627E-3</v>
      </c>
      <c r="CP85" s="8">
        <f ca="1">_xll.RiskLogistic(0.0032402,0.086856,_xll.RiskTruncate(-0.99,0.99),_xll.RiskCorrmat(NewMatrix2,3,"11/1/2022"))</f>
        <v>3.2394610984861627E-3</v>
      </c>
      <c r="CQ85" s="8">
        <f ca="1">_xll.RiskLogistic(0.0032402,0.086856,_xll.RiskTruncate(-0.99,0.99),_xll.RiskCorrmat(NewMatrix2,3,"12/1/2022"))</f>
        <v>3.2394610984861627E-3</v>
      </c>
      <c r="CR85" s="8">
        <f ca="1">_xll.RiskLogistic(0.0032402,0.086856,_xll.RiskTruncate(-0.99,0.99),_xll.RiskCorrmat(NewMatrix2,3,"1/1/2023"))</f>
        <v>3.2394610984861627E-3</v>
      </c>
      <c r="CS85" s="8">
        <f ca="1">_xll.RiskLogistic(0.0032402,0.086856,_xll.RiskTruncate(-0.99,0.99),_xll.RiskCorrmat(NewMatrix2,3,"2/1/2023"))</f>
        <v>3.2394610984861627E-3</v>
      </c>
      <c r="CT85" s="8">
        <f ca="1">_xll.RiskLogistic(0.0032402,0.086856,_xll.RiskTruncate(-0.99,0.99),_xll.RiskCorrmat(NewMatrix2,3,"3/1/2023"))</f>
        <v>3.2394610984861627E-3</v>
      </c>
      <c r="CU85" s="8">
        <f ca="1">_xll.RiskLogistic(0.0032402,0.086856,_xll.RiskTruncate(-0.99,0.99),_xll.RiskCorrmat(NewMatrix2,3,"4/1/2023"))</f>
        <v>3.2394610984861627E-3</v>
      </c>
      <c r="CV85" s="8">
        <f ca="1">_xll.RiskLogistic(0.0032402,0.086856,_xll.RiskTruncate(-0.99,0.99),_xll.RiskCorrmat(NewMatrix2,3,"5/1/2023"))</f>
        <v>3.2394610984861627E-3</v>
      </c>
      <c r="CW85" s="8">
        <f ca="1">_xll.RiskLogistic(0.0032402,0.086856,_xll.RiskTruncate(-0.99,0.99),_xll.RiskCorrmat(NewMatrix2,3,"6/1/2023"))</f>
        <v>3.2394610984861627E-3</v>
      </c>
      <c r="CX85" s="8">
        <f ca="1">_xll.RiskLogistic(0.0032402,0.086856,_xll.RiskTruncate(-0.99,0.99),_xll.RiskCorrmat(NewMatrix2,3,"7/1/2023"))</f>
        <v>3.2394610984861627E-3</v>
      </c>
      <c r="CY85" s="8">
        <f ca="1">_xll.RiskLogistic(0.0032402,0.086856,_xll.RiskTruncate(-0.99,0.99),_xll.RiskCorrmat(NewMatrix2,3,"8/1/2023"))</f>
        <v>3.2394610984861627E-3</v>
      </c>
      <c r="CZ85" s="8">
        <f ca="1">_xll.RiskLogistic(0.0032402,0.086856,_xll.RiskTruncate(-0.99,0.99),_xll.RiskCorrmat(NewMatrix2,3,"9/1/2023"))</f>
        <v>3.2394610984861627E-3</v>
      </c>
      <c r="DA85" s="8">
        <f ca="1">_xll.RiskLogistic(0.0032402,0.086856,_xll.RiskTruncate(-0.99,0.99),_xll.RiskCorrmat(NewMatrix2,3,"10/1/2023"))</f>
        <v>3.2394610984861627E-3</v>
      </c>
      <c r="DB85" s="8">
        <f ca="1">_xll.RiskLogistic(0.0032402,0.086856,_xll.RiskTruncate(-0.99,0.99),_xll.RiskCorrmat(NewMatrix2,3,"11/1/2023"))</f>
        <v>3.2394610984861627E-3</v>
      </c>
      <c r="DC85" s="8">
        <f ca="1">_xll.RiskLogistic(0.0032402,0.086856,_xll.RiskTruncate(-0.99,0.99),_xll.RiskCorrmat(NewMatrix2,3,"12/1/2023"))</f>
        <v>3.2394610984861627E-3</v>
      </c>
      <c r="DD85" s="8">
        <f ca="1">_xll.RiskLogistic(0.0032402,0.086856,_xll.RiskTruncate(-0.99,0.99),_xll.RiskCorrmat(NewMatrix2,3,"1/1/2024"))</f>
        <v>3.2394610984861627E-3</v>
      </c>
      <c r="DE85" s="8">
        <f ca="1">_xll.RiskLogistic(0.0032402,0.086856,_xll.RiskTruncate(-0.99,0.99),_xll.RiskCorrmat(NewMatrix2,3,"2/1/2024"))</f>
        <v>3.2394610984861627E-3</v>
      </c>
      <c r="DF85" s="8">
        <f ca="1">_xll.RiskLogistic(0.0032402,0.086856,_xll.RiskTruncate(-0.99,0.99),_xll.RiskCorrmat(NewMatrix2,3,"3/1/2024"))</f>
        <v>3.2394610984861627E-3</v>
      </c>
      <c r="DG85" s="8">
        <f ca="1">_xll.RiskLogistic(0.0032402,0.086856,_xll.RiskTruncate(-0.99,0.99),_xll.RiskCorrmat(NewMatrix2,3,"4/1/2024"))</f>
        <v>3.2394610984861627E-3</v>
      </c>
      <c r="DH85" s="8">
        <f ca="1">_xll.RiskLogistic(0.0032402,0.086856,_xll.RiskTruncate(-0.99,0.99),_xll.RiskCorrmat(NewMatrix2,3,"5/1/2024"))</f>
        <v>3.2394610984861627E-3</v>
      </c>
      <c r="DI85" s="8">
        <f ca="1">_xll.RiskLogistic(0.0032402,0.086856,_xll.RiskTruncate(-0.99,0.99),_xll.RiskCorrmat(NewMatrix2,3,"6/1/2024"))</f>
        <v>3.2394610984861627E-3</v>
      </c>
      <c r="DJ85" s="8">
        <f ca="1">_xll.RiskLogistic(0.0032402,0.086856,_xll.RiskTruncate(-0.99,0.99),_xll.RiskCorrmat(NewMatrix2,3,"7/1/2024"))</f>
        <v>3.2394610984861627E-3</v>
      </c>
      <c r="DK85" s="8">
        <f ca="1">_xll.RiskLogistic(0.0032402,0.086856,_xll.RiskTruncate(-0.99,0.99),_xll.RiskCorrmat(NewMatrix2,3,"8/1/2024"))</f>
        <v>3.2394610984861627E-3</v>
      </c>
      <c r="DL85" s="8">
        <f ca="1">_xll.RiskLogistic(0.0032402,0.086856,_xll.RiskTruncate(-0.99,0.99),_xll.RiskCorrmat(NewMatrix2,3,"9/1/2024"))</f>
        <v>3.2394610984861627E-3</v>
      </c>
      <c r="DM85" s="8">
        <f ca="1">_xll.RiskLogistic(0.0032402,0.086856,_xll.RiskTruncate(-0.99,0.99),_xll.RiskCorrmat(NewMatrix2,3,"10/1/2024"))</f>
        <v>3.2394610984861627E-3</v>
      </c>
      <c r="DN85" s="8">
        <f ca="1">_xll.RiskLogistic(0.0032402,0.086856,_xll.RiskTruncate(-0.99,0.99),_xll.RiskCorrmat(NewMatrix2,3,"11/1/2024"))</f>
        <v>3.2394610984861627E-3</v>
      </c>
      <c r="DO85" s="8">
        <f ca="1">_xll.RiskLogistic(0.0032402,0.086856,_xll.RiskTruncate(-0.99,0.99),_xll.RiskCorrmat(NewMatrix2,3,"12/1/2024"))</f>
        <v>3.2394610984861627E-3</v>
      </c>
      <c r="DP85" s="8">
        <f ca="1">_xll.RiskLogistic(0.0032402,0.086856,_xll.RiskTruncate(-0.99,0.99),_xll.RiskCorrmat(NewMatrix2,3,"1/1/2025"))</f>
        <v>3.2394610984861627E-3</v>
      </c>
      <c r="DQ85" s="8">
        <f ca="1">_xll.RiskLogistic(0.0032402,0.086856,_xll.RiskTruncate(-0.99,0.99),_xll.RiskCorrmat(NewMatrix2,3,"2/1/2025"))</f>
        <v>3.2394610984861627E-3</v>
      </c>
      <c r="DR85" s="8">
        <f ca="1">_xll.RiskLogistic(0.0032402,0.086856,_xll.RiskTruncate(-0.99,0.99),_xll.RiskCorrmat(NewMatrix2,3,"3/1/2025"))</f>
        <v>3.2394610984861627E-3</v>
      </c>
      <c r="DS85" s="8">
        <f ca="1">_xll.RiskLogistic(0.0032402,0.086856,_xll.RiskTruncate(-0.99,0.99),_xll.RiskCorrmat(NewMatrix2,3,"4/1/2025"))</f>
        <v>3.2394610984861627E-3</v>
      </c>
      <c r="DT85" s="8">
        <f ca="1">_xll.RiskLogistic(0.0032402,0.086856,_xll.RiskTruncate(-0.99,0.99),_xll.RiskCorrmat(NewMatrix2,3,"5/1/2025"))</f>
        <v>3.2394610984861627E-3</v>
      </c>
      <c r="DU85" s="8">
        <f ca="1">_xll.RiskLogistic(0.0032402,0.086856,_xll.RiskTruncate(-0.99,0.99),_xll.RiskCorrmat(NewMatrix2,3,"6/1/2025"))</f>
        <v>3.2394610984861627E-3</v>
      </c>
      <c r="DV85" s="8">
        <f ca="1">_xll.RiskLogistic(0.0032402,0.086856,_xll.RiskTruncate(-0.99,0.99),_xll.RiskCorrmat(NewMatrix2,3,"7/1/2025"))</f>
        <v>3.2394610984861627E-3</v>
      </c>
      <c r="DW85" s="8">
        <f ca="1">_xll.RiskLogistic(0.0032402,0.086856,_xll.RiskTruncate(-0.99,0.99),_xll.RiskCorrmat(NewMatrix2,3,"8/1/2025"))</f>
        <v>3.2394610984861627E-3</v>
      </c>
      <c r="DX85" s="8">
        <f ca="1">_xll.RiskLogistic(0.0032402,0.086856,_xll.RiskTruncate(-0.99,0.99),_xll.RiskCorrmat(NewMatrix2,3,"9/1/2025"))</f>
        <v>3.2394610984861627E-3</v>
      </c>
      <c r="DY85" s="8">
        <f ca="1">_xll.RiskLogistic(0.0032402,0.086856,_xll.RiskTruncate(-0.99,0.99),_xll.RiskCorrmat(NewMatrix2,3,"10/1/2025"))</f>
        <v>3.2394610984861627E-3</v>
      </c>
      <c r="DZ85" s="8">
        <f ca="1">_xll.RiskLogistic(0.0032402,0.086856,_xll.RiskTruncate(-0.99,0.99),_xll.RiskCorrmat(NewMatrix2,3,"11/1/2025"))</f>
        <v>3.2394610984861627E-3</v>
      </c>
      <c r="EA85" s="8">
        <f ca="1">_xll.RiskLogistic(0.0032402,0.086856,_xll.RiskTruncate(-0.99,0.99),_xll.RiskCorrmat(NewMatrix2,3,"12/1/2025"))</f>
        <v>3.2394610984861627E-3</v>
      </c>
      <c r="EB85" s="8">
        <f ca="1">_xll.RiskLogistic(0.0032402,0.086856,_xll.RiskTruncate(-0.99,0.99),_xll.RiskCorrmat(NewMatrix2,3,"1/1/2026"))</f>
        <v>3.2394610984861627E-3</v>
      </c>
      <c r="EC85" s="8">
        <f ca="1">_xll.RiskLogistic(0.0032402,0.086856,_xll.RiskTruncate(-0.99,0.99),_xll.RiskCorrmat(NewMatrix2,3,"2/1/2026"))</f>
        <v>3.2394610984861627E-3</v>
      </c>
      <c r="ED85" s="8">
        <f ca="1">_xll.RiskLogistic(0.0032402,0.086856,_xll.RiskTruncate(-0.99,0.99),_xll.RiskCorrmat(NewMatrix2,3,"3/1/2026"))</f>
        <v>3.2394610984861627E-3</v>
      </c>
      <c r="EE85" s="8">
        <f ca="1">_xll.RiskLogistic(0.0032402,0.086856,_xll.RiskTruncate(-0.99,0.99),_xll.RiskCorrmat(NewMatrix2,3,"4/1/2026"))</f>
        <v>3.2394610984861627E-3</v>
      </c>
      <c r="EF85" s="8">
        <f ca="1">_xll.RiskLogistic(0.0032402,0.086856,_xll.RiskTruncate(-0.99,0.99),_xll.RiskCorrmat(NewMatrix2,3,"5/1/2026"))</f>
        <v>3.2394610984861627E-3</v>
      </c>
      <c r="EG85" s="8">
        <f ca="1">_xll.RiskLogistic(0.0032402,0.086856,_xll.RiskTruncate(-0.99,0.99),_xll.RiskCorrmat(NewMatrix2,3,"6/1/2026"))</f>
        <v>3.2394610984861627E-3</v>
      </c>
      <c r="EH85" s="8">
        <f ca="1">_xll.RiskLogistic(0.0032402,0.086856,_xll.RiskTruncate(-0.99,0.99),_xll.RiskCorrmat(NewMatrix2,3,"7/1/2026"))</f>
        <v>3.2394610984861627E-3</v>
      </c>
      <c r="EI85" s="8">
        <f ca="1">_xll.RiskLogistic(0.0032402,0.086856,_xll.RiskTruncate(-0.99,0.99),_xll.RiskCorrmat(NewMatrix2,3,"8/1/2026"))</f>
        <v>3.2394610984861627E-3</v>
      </c>
      <c r="EJ85" s="8">
        <f ca="1">_xll.RiskLogistic(0.0032402,0.086856,_xll.RiskTruncate(-0.99,0.99),_xll.RiskCorrmat(NewMatrix2,3,"9/1/2026"))</f>
        <v>3.2394610984861627E-3</v>
      </c>
      <c r="EK85" s="8">
        <f ca="1">_xll.RiskLogistic(0.0032402,0.086856,_xll.RiskTruncate(-0.99,0.99),_xll.RiskCorrmat(NewMatrix2,3,"10/1/2026"))</f>
        <v>3.2394610984861627E-3</v>
      </c>
      <c r="EL85" s="8">
        <f ca="1">_xll.RiskLogistic(0.0032402,0.086856,_xll.RiskTruncate(-0.99,0.99),_xll.RiskCorrmat(NewMatrix2,3,"11/1/2026"))</f>
        <v>3.2394610984861627E-3</v>
      </c>
      <c r="EM85" s="8">
        <f ca="1">_xll.RiskLogistic(0.0032402,0.086856,_xll.RiskTruncate(-0.99,0.99),_xll.RiskCorrmat(NewMatrix2,3,"12/1/2026"))</f>
        <v>3.2394610984861627E-3</v>
      </c>
      <c r="EN85" s="8">
        <f ca="1">_xll.RiskLogistic(0.0032402,0.086856,_xll.RiskTruncate(-0.99,0.99),_xll.RiskCorrmat(NewMatrix2,3,"1/1/2027"))</f>
        <v>3.2394610984861627E-3</v>
      </c>
      <c r="EO85" s="8">
        <f ca="1">_xll.RiskLogistic(0.0032402,0.086856,_xll.RiskTruncate(-0.99,0.99),_xll.RiskCorrmat(NewMatrix2,3,"2/1/2027"))</f>
        <v>3.2394610984861627E-3</v>
      </c>
      <c r="EP85" s="8">
        <f ca="1">_xll.RiskLogistic(0.0032402,0.086856,_xll.RiskTruncate(-0.99,0.99),_xll.RiskCorrmat(NewMatrix2,3,"3/1/2027"))</f>
        <v>3.2394610984861627E-3</v>
      </c>
      <c r="EQ85" s="8">
        <f ca="1">_xll.RiskLogistic(0.0032402,0.086856,_xll.RiskTruncate(-0.99,0.99),_xll.RiskCorrmat(NewMatrix2,3,"4/1/2027"))</f>
        <v>3.2394610984861627E-3</v>
      </c>
      <c r="ER85" s="8">
        <f ca="1">_xll.RiskLogistic(0.0032402,0.086856,_xll.RiskTruncate(-0.99,0.99),_xll.RiskCorrmat(NewMatrix2,3,"5/1/2027"))</f>
        <v>3.2394610984861627E-3</v>
      </c>
      <c r="ES85" s="8">
        <f ca="1">_xll.RiskLogistic(0.0032402,0.086856,_xll.RiskTruncate(-0.99,0.99),_xll.RiskCorrmat(NewMatrix2,3,"6/1/2027"))</f>
        <v>3.2394610984861627E-3</v>
      </c>
      <c r="ET85" s="8">
        <f ca="1">_xll.RiskLogistic(0.0032402,0.086856,_xll.RiskTruncate(-0.99,0.99),_xll.RiskCorrmat(NewMatrix2,3,"7/1/2027"))</f>
        <v>3.2394610984861627E-3</v>
      </c>
      <c r="EU85" s="8">
        <f ca="1">_xll.RiskLogistic(0.0032402,0.086856,_xll.RiskTruncate(-0.99,0.99),_xll.RiskCorrmat(NewMatrix2,3,"8/1/2027"))</f>
        <v>3.2394610984861627E-3</v>
      </c>
      <c r="EV85" s="8">
        <f ca="1">_xll.RiskLogistic(0.0032402,0.086856,_xll.RiskTruncate(-0.99,0.99),_xll.RiskCorrmat(NewMatrix2,3,"9/1/2027"))</f>
        <v>3.2394610984861627E-3</v>
      </c>
      <c r="EW85" s="8">
        <f ca="1">_xll.RiskLogistic(0.0032402,0.086856,_xll.RiskTruncate(-0.99,0.99),_xll.RiskCorrmat(NewMatrix2,3,"10/1/2027"))</f>
        <v>3.2394610984861627E-3</v>
      </c>
      <c r="EX85" s="8">
        <f ca="1">_xll.RiskLogistic(0.0032402,0.086856,_xll.RiskTruncate(-0.99,0.99),_xll.RiskCorrmat(NewMatrix2,3,"11/1/2027"))</f>
        <v>3.2394610984861627E-3</v>
      </c>
      <c r="EY85" s="8">
        <f ca="1">_xll.RiskLogistic(0.0032402,0.086856,_xll.RiskTruncate(-0.99,0.99),_xll.RiskCorrmat(NewMatrix2,3,"12/1/2027"))</f>
        <v>3.2394610984861627E-3</v>
      </c>
      <c r="EZ85" s="8">
        <f ca="1">_xll.RiskLogistic(0.0032402,0.086856,_xll.RiskTruncate(-0.99,0.99),_xll.RiskCorrmat(NewMatrix2,3,"1/1/2028"))</f>
        <v>3.2394610984861627E-3</v>
      </c>
      <c r="FA85" s="8">
        <f ca="1">_xll.RiskLogistic(0.0032402,0.086856,_xll.RiskTruncate(-0.99,0.99),_xll.RiskCorrmat(NewMatrix2,3,"2/1/2028"))</f>
        <v>3.2394610984861627E-3</v>
      </c>
      <c r="FB85" s="8">
        <f ca="1">_xll.RiskLogistic(0.0032402,0.086856,_xll.RiskTruncate(-0.99,0.99),_xll.RiskCorrmat(NewMatrix2,3,"3/1/2028"))</f>
        <v>3.2394610984861627E-3</v>
      </c>
      <c r="FC85" s="8">
        <f ca="1">_xll.RiskLogistic(0.0032402,0.086856,_xll.RiskTruncate(-0.99,0.99),_xll.RiskCorrmat(NewMatrix2,3,"4/1/2028"))</f>
        <v>3.2394610984861627E-3</v>
      </c>
      <c r="FD85" s="8">
        <f ca="1">_xll.RiskLogistic(0.0032402,0.086856,_xll.RiskTruncate(-0.99,0.99),_xll.RiskCorrmat(NewMatrix2,3,"5/1/2028"))</f>
        <v>3.2394610984861627E-3</v>
      </c>
      <c r="FE85" s="8">
        <f ca="1">_xll.RiskLogistic(0.0032402,0.086856,_xll.RiskTruncate(-0.99,0.99),_xll.RiskCorrmat(NewMatrix2,3,"6/1/2028"))</f>
        <v>3.2394610984861627E-3</v>
      </c>
      <c r="FF85" s="8">
        <f ca="1">_xll.RiskLogistic(0.0032402,0.086856,_xll.RiskTruncate(-0.99,0.99),_xll.RiskCorrmat(NewMatrix2,3,"7/1/2028"))</f>
        <v>3.2394610984861627E-3</v>
      </c>
      <c r="FG85" s="8">
        <f ca="1">_xll.RiskLogistic(0.0032402,0.086856,_xll.RiskTruncate(-0.99,0.99),_xll.RiskCorrmat(NewMatrix2,3,"8/1/2028"))</f>
        <v>3.2394610984861627E-3</v>
      </c>
      <c r="FH85" s="8">
        <f ca="1">_xll.RiskLogistic(0.0032402,0.086856,_xll.RiskTruncate(-0.99,0.99),_xll.RiskCorrmat(NewMatrix2,3,"9/1/2028"))</f>
        <v>3.2394610984861627E-3</v>
      </c>
      <c r="FI85" s="8">
        <f ca="1">_xll.RiskLogistic(0.0032402,0.086856,_xll.RiskTruncate(-0.99,0.99),_xll.RiskCorrmat(NewMatrix2,3,"10/1/2028"))</f>
        <v>3.2394610984861627E-3</v>
      </c>
      <c r="FJ85" s="8">
        <f ca="1">_xll.RiskLogistic(0.0032402,0.086856,_xll.RiskTruncate(-0.99,0.99),_xll.RiskCorrmat(NewMatrix2,3,"11/1/2028"))</f>
        <v>3.2394610984861627E-3</v>
      </c>
      <c r="FK85" s="8">
        <f ca="1">_xll.RiskLogistic(0.0032402,0.086856,_xll.RiskTruncate(-0.99,0.99),_xll.RiskCorrmat(NewMatrix2,3,"12/1/2028"))</f>
        <v>3.2394610984861627E-3</v>
      </c>
      <c r="FL85" s="8">
        <f ca="1">_xll.RiskLogistic(0.0032402,0.086856,_xll.RiskTruncate(-0.99,0.99),_xll.RiskCorrmat(NewMatrix2,3,"1/1/2029"))</f>
        <v>3.2394610984861627E-3</v>
      </c>
      <c r="FM85" s="8">
        <f ca="1">_xll.RiskLogistic(0.0032402,0.086856,_xll.RiskTruncate(-0.99,0.99),_xll.RiskCorrmat(NewMatrix2,3,"2/1/2029"))</f>
        <v>3.2394610984861627E-3</v>
      </c>
      <c r="FN85" s="8">
        <f ca="1">_xll.RiskLogistic(0.0032402,0.086856,_xll.RiskTruncate(-0.99,0.99),_xll.RiskCorrmat(NewMatrix2,3,"3/1/2029"))</f>
        <v>3.2394610984861627E-3</v>
      </c>
      <c r="FO85" s="8">
        <f ca="1">_xll.RiskLogistic(0.0032402,0.086856,_xll.RiskTruncate(-0.99,0.99),_xll.RiskCorrmat(NewMatrix2,3,"4/1/2029"))</f>
        <v>3.2394610984861627E-3</v>
      </c>
      <c r="FP85" s="8">
        <f ca="1">_xll.RiskLogistic(0.0032402,0.086856,_xll.RiskTruncate(-0.99,0.99),_xll.RiskCorrmat(NewMatrix2,3,"5/1/2029"))</f>
        <v>3.2394610984861627E-3</v>
      </c>
      <c r="FQ85" s="8">
        <f ca="1">_xll.RiskLogistic(0.0032402,0.086856,_xll.RiskTruncate(-0.99,0.99),_xll.RiskCorrmat(NewMatrix2,3,"6/1/2029"))</f>
        <v>3.2394610984861627E-3</v>
      </c>
      <c r="FR85" s="8">
        <f ca="1">_xll.RiskLogistic(0.0032402,0.086856,_xll.RiskTruncate(-0.99,0.99),_xll.RiskCorrmat(NewMatrix2,3,"7/1/2029"))</f>
        <v>3.2394610984861627E-3</v>
      </c>
      <c r="FS85" s="8">
        <f ca="1">_xll.RiskLogistic(0.0032402,0.086856,_xll.RiskTruncate(-0.99,0.99),_xll.RiskCorrmat(NewMatrix2,3,"8/1/2029"))</f>
        <v>3.2394610984861627E-3</v>
      </c>
      <c r="FT85" s="8">
        <f ca="1">_xll.RiskLogistic(0.0032402,0.086856,_xll.RiskTruncate(-0.99,0.99),_xll.RiskCorrmat(NewMatrix2,3,"9/1/2029"))</f>
        <v>3.2394610984861627E-3</v>
      </c>
      <c r="FU85" s="8">
        <f ca="1">_xll.RiskLogistic(0.0032402,0.086856,_xll.RiskTruncate(-0.99,0.99),_xll.RiskCorrmat(NewMatrix2,3,"10/1/2029"))</f>
        <v>3.2394610984861627E-3</v>
      </c>
      <c r="FV85" s="8">
        <f ca="1">_xll.RiskLogistic(0.0032402,0.086856,_xll.RiskTruncate(-0.99,0.99),_xll.RiskCorrmat(NewMatrix2,3,"11/1/2029"))</f>
        <v>3.2394610984861627E-3</v>
      </c>
      <c r="FW85" s="8">
        <f ca="1">_xll.RiskLogistic(0.0032402,0.086856,_xll.RiskTruncate(-0.99,0.99),_xll.RiskCorrmat(NewMatrix2,3,"12/1/2029"))</f>
        <v>3.2394610984861627E-3</v>
      </c>
      <c r="FX85" s="8">
        <f ca="1">_xll.RiskLogistic(0.0032402,0.086856,_xll.RiskTruncate(-0.99,0.99),_xll.RiskCorrmat(NewMatrix2,3,"1/1/2030"))</f>
        <v>3.2394610984861627E-3</v>
      </c>
      <c r="FY85" s="8">
        <f ca="1">_xll.RiskLogistic(0.0032402,0.086856,_xll.RiskTruncate(-0.99,0.99),_xll.RiskCorrmat(NewMatrix2,3,"2/1/2030"))</f>
        <v>3.2394610984861627E-3</v>
      </c>
      <c r="FZ85" s="8">
        <f ca="1">_xll.RiskLogistic(0.0032402,0.086856,_xll.RiskTruncate(-0.99,0.99),_xll.RiskCorrmat(NewMatrix2,3,"3/1/2030"))</f>
        <v>3.2394610984861627E-3</v>
      </c>
      <c r="GA85" s="8">
        <f ca="1">_xll.RiskLogistic(0.0032402,0.086856,_xll.RiskTruncate(-0.99,0.99),_xll.RiskCorrmat(NewMatrix2,3,"4/1/2030"))</f>
        <v>3.2394610984861627E-3</v>
      </c>
      <c r="GB85" s="8">
        <f ca="1">_xll.RiskLogistic(0.0032402,0.086856,_xll.RiskTruncate(-0.99,0.99),_xll.RiskCorrmat(NewMatrix2,3,"5/1/2030"))</f>
        <v>3.2394610984861627E-3</v>
      </c>
      <c r="GC85" s="8">
        <f ca="1">_xll.RiskLogistic(0.0032402,0.086856,_xll.RiskTruncate(-0.99,0.99),_xll.RiskCorrmat(NewMatrix2,3,"6/1/2030"))</f>
        <v>3.2394610984861627E-3</v>
      </c>
      <c r="GD85" s="8">
        <f ca="1">_xll.RiskLogistic(0.0032402,0.086856,_xll.RiskTruncate(-0.99,0.99),_xll.RiskCorrmat(NewMatrix2,3,"7/1/2030"))</f>
        <v>3.2394610984861627E-3</v>
      </c>
      <c r="GE85" s="8">
        <f ca="1">_xll.RiskLogistic(0.0032402,0.086856,_xll.RiskTruncate(-0.99,0.99),_xll.RiskCorrmat(NewMatrix2,3,"8/1/2030"))</f>
        <v>3.2394610984861627E-3</v>
      </c>
      <c r="GF85" s="8">
        <f ca="1">_xll.RiskLogistic(0.0032402,0.086856,_xll.RiskTruncate(-0.99,0.99),_xll.RiskCorrmat(NewMatrix2,3,"9/1/2030"))</f>
        <v>3.2394610984861627E-3</v>
      </c>
      <c r="GG85" s="8">
        <f ca="1">_xll.RiskLogistic(0.0032402,0.086856,_xll.RiskTruncate(-0.99,0.99),_xll.RiskCorrmat(NewMatrix2,3,"10/1/2030"))</f>
        <v>3.2394610984861627E-3</v>
      </c>
      <c r="GH85" s="8">
        <f ca="1">_xll.RiskLogistic(0.0032402,0.086856,_xll.RiskTruncate(-0.99,0.99),_xll.RiskCorrmat(NewMatrix2,3,"11/1/2030"))</f>
        <v>3.2394610984861627E-3</v>
      </c>
      <c r="GI85" s="8">
        <f ca="1">_xll.RiskLogistic(0.0032402,0.086856,_xll.RiskTruncate(-0.99,0.99),_xll.RiskCorrmat(NewMatrix2,3,"12/1/2030"))</f>
        <v>3.2394610984861627E-3</v>
      </c>
      <c r="GJ85" s="8">
        <f ca="1">_xll.RiskLogistic(0.0032402,0.086856,_xll.RiskTruncate(-0.99,0.99),_xll.RiskCorrmat(NewMatrix2,3,"1/1/2031"))</f>
        <v>3.2394610984861627E-3</v>
      </c>
      <c r="GK85" s="8">
        <f ca="1">_xll.RiskLogistic(0.0032402,0.086856,_xll.RiskTruncate(-0.99,0.99),_xll.RiskCorrmat(NewMatrix2,3,"2/1/2031"))</f>
        <v>3.2394610984861627E-3</v>
      </c>
      <c r="GL85" s="8">
        <f ca="1">_xll.RiskLogistic(0.0032402,0.086856,_xll.RiskTruncate(-0.99,0.99),_xll.RiskCorrmat(NewMatrix2,3,"3/1/2031"))</f>
        <v>3.2394610984861627E-3</v>
      </c>
      <c r="GM85" s="8">
        <f ca="1">_xll.RiskLogistic(0.0032402,0.086856,_xll.RiskTruncate(-0.99,0.99),_xll.RiskCorrmat(NewMatrix2,3,"4/1/2031"))</f>
        <v>3.2394610984861627E-3</v>
      </c>
      <c r="GN85" s="8">
        <f ca="1">_xll.RiskLogistic(0.0032402,0.086856,_xll.RiskTruncate(-0.99,0.99),_xll.RiskCorrmat(NewMatrix2,3,"5/1/2031"))</f>
        <v>3.2394610984861627E-3</v>
      </c>
      <c r="GO85" s="8">
        <f ca="1">_xll.RiskLogistic(0.0032402,0.086856,_xll.RiskTruncate(-0.99,0.99),_xll.RiskCorrmat(NewMatrix2,3,"6/1/2031"))</f>
        <v>3.2394610984861627E-3</v>
      </c>
      <c r="GP85" s="8">
        <f ca="1">_xll.RiskLogistic(0.0032402,0.086856,_xll.RiskTruncate(-0.99,0.99),_xll.RiskCorrmat(NewMatrix2,3,"7/1/2031"))</f>
        <v>3.2394610984861627E-3</v>
      </c>
      <c r="GQ85" s="8">
        <f ca="1">_xll.RiskLogistic(0.0032402,0.086856,_xll.RiskTruncate(-0.99,0.99),_xll.RiskCorrmat(NewMatrix2,3,"8/1/2031"))</f>
        <v>3.2394610984861627E-3</v>
      </c>
      <c r="GR85" s="8">
        <f ca="1">_xll.RiskLogistic(0.0032402,0.086856,_xll.RiskTruncate(-0.99,0.99),_xll.RiskCorrmat(NewMatrix2,3,"9/1/2031"))</f>
        <v>3.2394610984861627E-3</v>
      </c>
      <c r="GS85" s="8">
        <f ca="1">_xll.RiskLogistic(0.0032402,0.086856,_xll.RiskTruncate(-0.99,0.99),_xll.RiskCorrmat(NewMatrix2,3,"10/1/2031"))</f>
        <v>3.2394610984861627E-3</v>
      </c>
      <c r="GT85" s="8">
        <f ca="1">_xll.RiskLogistic(0.0032402,0.086856,_xll.RiskTruncate(-0.99,0.99),_xll.RiskCorrmat(NewMatrix2,3,"11/1/2031"))</f>
        <v>3.2394610984861627E-3</v>
      </c>
      <c r="GU85" s="8">
        <f ca="1">_xll.RiskLogistic(0.0032402,0.086856,_xll.RiskTruncate(-0.99,0.99),_xll.RiskCorrmat(NewMatrix2,3,"12/1/2031"))</f>
        <v>3.2394610984861627E-3</v>
      </c>
      <c r="GV85" s="8">
        <f ca="1">_xll.RiskLogistic(0.0032402,0.086856,_xll.RiskTruncate(-0.99,0.99),_xll.RiskCorrmat(NewMatrix2,3,"1/1/2032"))</f>
        <v>3.2394610984861627E-3</v>
      </c>
      <c r="GW85" s="8">
        <f ca="1">_xll.RiskLogistic(0.0032402,0.086856,_xll.RiskTruncate(-0.99,0.99),_xll.RiskCorrmat(NewMatrix2,3,"2/1/2032"))</f>
        <v>3.2394610984861627E-3</v>
      </c>
      <c r="GX85" s="8">
        <f ca="1">_xll.RiskLogistic(0.0032402,0.086856,_xll.RiskTruncate(-0.99,0.99),_xll.RiskCorrmat(NewMatrix2,3,"3/1/2032"))</f>
        <v>3.2394610984861627E-3</v>
      </c>
      <c r="GY85" s="8">
        <f ca="1">_xll.RiskLogistic(0.0032402,0.086856,_xll.RiskTruncate(-0.99,0.99),_xll.RiskCorrmat(NewMatrix2,3,"4/1/2032"))</f>
        <v>3.2394610984861627E-3</v>
      </c>
      <c r="GZ85" s="8">
        <f ca="1">_xll.RiskLogistic(0.0032402,0.086856,_xll.RiskTruncate(-0.99,0.99),_xll.RiskCorrmat(NewMatrix2,3,"5/1/2032"))</f>
        <v>3.2394610984861627E-3</v>
      </c>
      <c r="HA85" s="8">
        <f ca="1">_xll.RiskLogistic(0.0032402,0.086856,_xll.RiskTruncate(-0.99,0.99),_xll.RiskCorrmat(NewMatrix2,3,"6/1/2032"))</f>
        <v>3.2394610984861627E-3</v>
      </c>
      <c r="HB85" s="8">
        <f ca="1">_xll.RiskLogistic(0.0032402,0.086856,_xll.RiskTruncate(-0.99,0.99),_xll.RiskCorrmat(NewMatrix2,3,"7/1/2032"))</f>
        <v>3.2394610984861627E-3</v>
      </c>
      <c r="HC85" s="8">
        <f ca="1">_xll.RiskLogistic(0.0032402,0.086856,_xll.RiskTruncate(-0.99,0.99),_xll.RiskCorrmat(NewMatrix2,3,"8/1/2032"))</f>
        <v>3.2394610984861627E-3</v>
      </c>
      <c r="HD85" s="8">
        <f ca="1">_xll.RiskLogistic(0.0032402,0.086856,_xll.RiskTruncate(-0.99,0.99),_xll.RiskCorrmat(NewMatrix2,3,"9/1/2032"))</f>
        <v>3.2394610984861627E-3</v>
      </c>
      <c r="HE85" s="8">
        <f ca="1">_xll.RiskLogistic(0.0032402,0.086856,_xll.RiskTruncate(-0.99,0.99),_xll.RiskCorrmat(NewMatrix2,3,"10/1/2032"))</f>
        <v>3.2394610984861627E-3</v>
      </c>
      <c r="HF85" s="8">
        <f ca="1">_xll.RiskLogistic(0.0032402,0.086856,_xll.RiskTruncate(-0.99,0.99),_xll.RiskCorrmat(NewMatrix2,3,"11/1/2032"))</f>
        <v>3.2394610984861627E-3</v>
      </c>
      <c r="HG85" s="8">
        <f ca="1">_xll.RiskLogistic(0.0032402,0.086856,_xll.RiskTruncate(-0.99,0.99),_xll.RiskCorrmat(NewMatrix2,3,"12/1/2032"))</f>
        <v>3.2394610984861627E-3</v>
      </c>
      <c r="HH85" s="8">
        <f ca="1">_xll.RiskLogistic(0.0032402,0.086856,_xll.RiskTruncate(-0.99,0.99),_xll.RiskCorrmat(NewMatrix2,3,"1/1/2033"))</f>
        <v>3.2394610984861627E-3</v>
      </c>
      <c r="HI85" s="8">
        <f ca="1">_xll.RiskLogistic(0.0032402,0.086856,_xll.RiskTruncate(-0.99,0.99),_xll.RiskCorrmat(NewMatrix2,3,"2/1/2033"))</f>
        <v>3.2394610984861627E-3</v>
      </c>
      <c r="HJ85" s="8">
        <f ca="1">_xll.RiskLogistic(0.0032402,0.086856,_xll.RiskTruncate(-0.99,0.99),_xll.RiskCorrmat(NewMatrix2,3,"3/1/2033"))</f>
        <v>3.2394610984861627E-3</v>
      </c>
      <c r="HK85" s="8">
        <f ca="1">_xll.RiskLogistic(0.0032402,0.086856,_xll.RiskTruncate(-0.99,0.99),_xll.RiskCorrmat(NewMatrix2,3,"4/1/2033"))</f>
        <v>3.2394610984861627E-3</v>
      </c>
      <c r="HL85" s="8">
        <f ca="1">_xll.RiskLogistic(0.0032402,0.086856,_xll.RiskTruncate(-0.99,0.99),_xll.RiskCorrmat(NewMatrix2,3,"5/1/2033"))</f>
        <v>3.2394610984861627E-3</v>
      </c>
      <c r="HM85" s="8">
        <f ca="1">_xll.RiskLogistic(0.0032402,0.086856,_xll.RiskTruncate(-0.99,0.99),_xll.RiskCorrmat(NewMatrix2,3,"6/1/2033"))</f>
        <v>3.2394610984861627E-3</v>
      </c>
      <c r="HN85" s="8">
        <f ca="1">_xll.RiskLogistic(0.0032402,0.086856,_xll.RiskTruncate(-0.99,0.99),_xll.RiskCorrmat(NewMatrix2,3,"7/1/2033"))</f>
        <v>3.2394610984861627E-3</v>
      </c>
      <c r="HO85" s="8">
        <f ca="1">_xll.RiskLogistic(0.0032402,0.086856,_xll.RiskTruncate(-0.99,0.99),_xll.RiskCorrmat(NewMatrix2,3,"8/1/2033"))</f>
        <v>3.2394610984861627E-3</v>
      </c>
      <c r="HP85" s="8">
        <f ca="1">_xll.RiskLogistic(0.0032402,0.086856,_xll.RiskTruncate(-0.99,0.99),_xll.RiskCorrmat(NewMatrix2,3,"9/1/2033"))</f>
        <v>3.2394610984861627E-3</v>
      </c>
      <c r="HQ85" s="8">
        <f ca="1">_xll.RiskLogistic(0.0032402,0.086856,_xll.RiskTruncate(-0.99,0.99),_xll.RiskCorrmat(NewMatrix2,3,"10/1/2033"))</f>
        <v>3.2394610984861627E-3</v>
      </c>
      <c r="HR85" s="8">
        <f ca="1">_xll.RiskLogistic(0.0032402,0.086856,_xll.RiskTruncate(-0.99,0.99),_xll.RiskCorrmat(NewMatrix2,3,"11/1/2033"))</f>
        <v>3.2394610984861627E-3</v>
      </c>
      <c r="HS85" s="8">
        <f ca="1">_xll.RiskLogistic(0.0032402,0.086856,_xll.RiskTruncate(-0.99,0.99),_xll.RiskCorrmat(NewMatrix2,3,"12/1/2033"))</f>
        <v>3.2394610984861627E-3</v>
      </c>
      <c r="HT85" s="8">
        <f ca="1">_xll.RiskLogistic(0.0032402,0.086856,_xll.RiskTruncate(-0.99,0.99),_xll.RiskCorrmat(NewMatrix2,3,"1/1/2034"))</f>
        <v>3.2394610984861627E-3</v>
      </c>
      <c r="HU85" s="8">
        <f ca="1">_xll.RiskLogistic(0.0032402,0.086856,_xll.RiskTruncate(-0.99,0.99),_xll.RiskCorrmat(NewMatrix2,3,"2/1/2034"))</f>
        <v>3.2394610984861627E-3</v>
      </c>
      <c r="HV85" s="8">
        <f ca="1">_xll.RiskLogistic(0.0032402,0.086856,_xll.RiskTruncate(-0.99,0.99),_xll.RiskCorrmat(NewMatrix2,3,"3/1/2034"))</f>
        <v>3.2394610984861627E-3</v>
      </c>
      <c r="HW85" s="8">
        <f ca="1">_xll.RiskLogistic(0.0032402,0.086856,_xll.RiskTruncate(-0.99,0.99),_xll.RiskCorrmat(NewMatrix2,3,"4/1/2034"))</f>
        <v>3.2394610984861627E-3</v>
      </c>
      <c r="HX85" s="8">
        <f ca="1">_xll.RiskLogistic(0.0032402,0.086856,_xll.RiskTruncate(-0.99,0.99),_xll.RiskCorrmat(NewMatrix2,3,"5/1/2034"))</f>
        <v>3.2394610984861627E-3</v>
      </c>
      <c r="HY85" s="8">
        <f ca="1">_xll.RiskLogistic(0.0032402,0.086856,_xll.RiskTruncate(-0.99,0.99),_xll.RiskCorrmat(NewMatrix2,3,"6/1/2034"))</f>
        <v>3.2394610984861627E-3</v>
      </c>
      <c r="HZ85" s="8">
        <f ca="1">_xll.RiskLogistic(0.0032402,0.086856,_xll.RiskTruncate(-0.99,0.99),_xll.RiskCorrmat(NewMatrix2,3,"7/1/2034"))</f>
        <v>3.2394610984861627E-3</v>
      </c>
      <c r="IA85" s="8">
        <f ca="1">_xll.RiskLogistic(0.0032402,0.086856,_xll.RiskTruncate(-0.99,0.99),_xll.RiskCorrmat(NewMatrix2,3,"8/1/2034"))</f>
        <v>3.2394610984861627E-3</v>
      </c>
      <c r="IB85" s="8">
        <f ca="1">_xll.RiskLogistic(0.0032402,0.086856,_xll.RiskTruncate(-0.99,0.99),_xll.RiskCorrmat(NewMatrix2,3,"9/1/2034"))</f>
        <v>3.2394610984861627E-3</v>
      </c>
      <c r="IC85" s="8">
        <f ca="1">_xll.RiskLogistic(0.0032402,0.086856,_xll.RiskTruncate(-0.99,0.99),_xll.RiskCorrmat(NewMatrix2,3,"10/1/2034"))</f>
        <v>3.2394610984861627E-3</v>
      </c>
      <c r="ID85" s="8">
        <f ca="1">_xll.RiskLogistic(0.0032402,0.086856,_xll.RiskTruncate(-0.99,0.99),_xll.RiskCorrmat(NewMatrix2,3,"11/1/2034"))</f>
        <v>3.2394610984861627E-3</v>
      </c>
      <c r="IE85" s="8">
        <f ca="1">_xll.RiskLogistic(0.0032402,0.086856,_xll.RiskTruncate(-0.99,0.99),_xll.RiskCorrmat(NewMatrix2,3,"12/1/2034"))</f>
        <v>3.2394610984861627E-3</v>
      </c>
      <c r="IF85" s="8">
        <f ca="1">_xll.RiskLogistic(0.0032402,0.086856,_xll.RiskTruncate(-0.99,0.99),_xll.RiskCorrmat(NewMatrix2,3,"1/1/2035"))</f>
        <v>3.2394610984861627E-3</v>
      </c>
      <c r="IG85" s="8">
        <f ca="1">_xll.RiskLogistic(0.0032402,0.086856,_xll.RiskTruncate(-0.99,0.99),_xll.RiskCorrmat(NewMatrix2,3,"2/1/2035"))</f>
        <v>3.2394610984861627E-3</v>
      </c>
      <c r="IH85" s="8">
        <f ca="1">_xll.RiskLogistic(0.0032402,0.086856,_xll.RiskTruncate(-0.99,0.99),_xll.RiskCorrmat(NewMatrix2,3,"3/1/2035"))</f>
        <v>3.2394610984861627E-3</v>
      </c>
      <c r="II85" s="8">
        <f ca="1">_xll.RiskLogistic(0.0032402,0.086856,_xll.RiskTruncate(-0.99,0.99),_xll.RiskCorrmat(NewMatrix2,3,"4/1/2035"))</f>
        <v>3.2394610984861627E-3</v>
      </c>
      <c r="IJ85" s="8">
        <f ca="1">_xll.RiskLogistic(0.0032402,0.086856,_xll.RiskTruncate(-0.99,0.99),_xll.RiskCorrmat(NewMatrix2,3,"5/1/2035"))</f>
        <v>3.2394610984861627E-3</v>
      </c>
      <c r="IK85" s="8">
        <f ca="1">_xll.RiskLogistic(0.0032402,0.086856,_xll.RiskTruncate(-0.99,0.99),_xll.RiskCorrmat(NewMatrix2,3,"6/1/2035"))</f>
        <v>3.2394610984861627E-3</v>
      </c>
      <c r="IL85" s="8">
        <f ca="1">_xll.RiskLogistic(0.0032402,0.086856,_xll.RiskTruncate(-0.99,0.99),_xll.RiskCorrmat(NewMatrix2,3,"7/1/2035"))</f>
        <v>3.2394610984861627E-3</v>
      </c>
      <c r="IM85" s="8">
        <f ca="1">_xll.RiskLogistic(0.0032402,0.086856,_xll.RiskTruncate(-0.99,0.99),_xll.RiskCorrmat(NewMatrix2,3,"8/1/2035"))</f>
        <v>3.2394610984861627E-3</v>
      </c>
      <c r="IN85" s="8">
        <f ca="1">_xll.RiskLogistic(0.0032402,0.086856,_xll.RiskTruncate(-0.99,0.99),_xll.RiskCorrmat(NewMatrix2,3,"9/1/2035"))</f>
        <v>3.2394610984861627E-3</v>
      </c>
      <c r="IO85" s="8">
        <f ca="1">_xll.RiskLogistic(0.0032402,0.086856,_xll.RiskTruncate(-0.99,0.99),_xll.RiskCorrmat(NewMatrix2,3,"10/1/2035"))</f>
        <v>3.2394610984861627E-3</v>
      </c>
      <c r="IP85" s="8">
        <f ca="1">_xll.RiskLogistic(0.0032402,0.086856,_xll.RiskTruncate(-0.99,0.99),_xll.RiskCorrmat(NewMatrix2,3,"11/1/2035"))</f>
        <v>3.2394610984861627E-3</v>
      </c>
      <c r="IQ85" s="8">
        <f ca="1">_xll.RiskLogistic(0.0032402,0.086856,_xll.RiskTruncate(-0.99,0.99),_xll.RiskCorrmat(NewMatrix2,3,"12/1/2035"))</f>
        <v>3.2394610984861627E-3</v>
      </c>
      <c r="IR85" s="8">
        <f ca="1">_xll.RiskLogistic(0.0032402,0.086856,_xll.RiskTruncate(-0.99,0.99),_xll.RiskCorrmat(NewMatrix2,3,"1/1/2036"))</f>
        <v>3.2394610984861627E-3</v>
      </c>
      <c r="IS85" s="8">
        <f ca="1">_xll.RiskLogistic(0.0032402,0.086856,_xll.RiskTruncate(-0.99,0.99),_xll.RiskCorrmat(NewMatrix2,3,"2/1/2036"))</f>
        <v>3.2394610984861627E-3</v>
      </c>
      <c r="IT85" s="8">
        <f ca="1">_xll.RiskLogistic(0.0032402,0.086856,_xll.RiskTruncate(-0.99,0.99),_xll.RiskCorrmat(NewMatrix2,3,"3/1/2036"))</f>
        <v>3.2394610984861627E-3</v>
      </c>
      <c r="IU85" s="8">
        <f ca="1">_xll.RiskLogistic(0.0032402,0.086856,_xll.RiskTruncate(-0.99,0.99),_xll.RiskCorrmat(NewMatrix2,3,"4/1/2036"))</f>
        <v>3.2394610984861627E-3</v>
      </c>
      <c r="IV85" s="8">
        <f ca="1">_xll.RiskLogistic(0.0032402,0.086856,_xll.RiskTruncate(-0.99,0.99),_xll.RiskCorrmat(NewMatrix2,3,"5/1/2036"))</f>
        <v>3.2394610984861627E-3</v>
      </c>
      <c r="IW85" s="8">
        <f ca="1">_xll.RiskLogistic(0.0032402,0.086856,_xll.RiskTruncate(-0.99,0.99),_xll.RiskCorrmat(NewMatrix2,3,"6/1/2036"))</f>
        <v>3.2394610984861627E-3</v>
      </c>
      <c r="IX85" s="8">
        <f ca="1">_xll.RiskLogistic(0.0032402,0.086856,_xll.RiskTruncate(-0.99,0.99),_xll.RiskCorrmat(NewMatrix2,3,"7/1/2036"))</f>
        <v>3.2394610984861627E-3</v>
      </c>
      <c r="IY85" s="8">
        <f ca="1">_xll.RiskLogistic(0.0032402,0.086856,_xll.RiskTruncate(-0.99,0.99),_xll.RiskCorrmat(NewMatrix2,3,"8/1/2036"))</f>
        <v>3.2394610984861627E-3</v>
      </c>
      <c r="IZ85" s="8">
        <f ca="1">_xll.RiskLogistic(0.0032402,0.086856,_xll.RiskTruncate(-0.99,0.99),_xll.RiskCorrmat(NewMatrix2,3,"9/1/2036"))</f>
        <v>3.2394610984861627E-3</v>
      </c>
      <c r="JA85" s="8">
        <f ca="1">_xll.RiskLogistic(0.0032402,0.086856,_xll.RiskTruncate(-0.99,0.99),_xll.RiskCorrmat(NewMatrix2,3,"10/1/2036"))</f>
        <v>3.2394610984861627E-3</v>
      </c>
      <c r="JB85" s="8">
        <f ca="1">_xll.RiskLogistic(0.0032402,0.086856,_xll.RiskTruncate(-0.99,0.99),_xll.RiskCorrmat(NewMatrix2,3,"11/1/2036"))</f>
        <v>3.2394610984861627E-3</v>
      </c>
      <c r="JC85" s="8">
        <f ca="1">_xll.RiskLogistic(0.0032402,0.086856,_xll.RiskTruncate(-0.99,0.99),_xll.RiskCorrmat(NewMatrix2,3,"12/1/2036"))</f>
        <v>3.2394610984861627E-3</v>
      </c>
      <c r="JD85" s="8">
        <f ca="1">_xll.RiskLogistic(0.0032402,0.086856,_xll.RiskTruncate(-0.99,0.99),_xll.RiskCorrmat(NewMatrix2,3,"1/1/2037"))</f>
        <v>3.2394610984861627E-3</v>
      </c>
      <c r="JE85" s="8">
        <f ca="1">_xll.RiskLogistic(0.0032402,0.086856,_xll.RiskTruncate(-0.99,0.99),_xll.RiskCorrmat(NewMatrix2,3,"2/1/2037"))</f>
        <v>3.2394610984861627E-3</v>
      </c>
      <c r="JF85" s="8">
        <f ca="1">_xll.RiskLogistic(0.0032402,0.086856,_xll.RiskTruncate(-0.99,0.99),_xll.RiskCorrmat(NewMatrix2,3,"3/1/2037"))</f>
        <v>3.2394610984861627E-3</v>
      </c>
      <c r="JG85" s="8">
        <f ca="1">_xll.RiskLogistic(0.0032402,0.086856,_xll.RiskTruncate(-0.99,0.99),_xll.RiskCorrmat(NewMatrix2,3,"4/1/2037"))</f>
        <v>3.2394610984861627E-3</v>
      </c>
      <c r="JH85" s="8">
        <f ca="1">_xll.RiskLogistic(0.0032402,0.086856,_xll.RiskTruncate(-0.99,0.99),_xll.RiskCorrmat(NewMatrix2,3,"5/1/2037"))</f>
        <v>3.2394610984861627E-3</v>
      </c>
      <c r="JI85" s="8">
        <f ca="1">_xll.RiskLogistic(0.0032402,0.086856,_xll.RiskTruncate(-0.99,0.99),_xll.RiskCorrmat(NewMatrix2,3,"6/1/2037"))</f>
        <v>3.2394610984861627E-3</v>
      </c>
      <c r="JJ85" s="8">
        <f ca="1">_xll.RiskLogistic(0.0032402,0.086856,_xll.RiskTruncate(-0.99,0.99),_xll.RiskCorrmat(NewMatrix2,3,"7/1/2037"))</f>
        <v>3.2394610984861627E-3</v>
      </c>
      <c r="JK85" s="8">
        <f ca="1">_xll.RiskLogistic(0.0032402,0.086856,_xll.RiskTruncate(-0.99,0.99),_xll.RiskCorrmat(NewMatrix2,3,"8/1/2037"))</f>
        <v>3.2394610984861627E-3</v>
      </c>
      <c r="JL85" s="8">
        <f ca="1">_xll.RiskLogistic(0.0032402,0.086856,_xll.RiskTruncate(-0.99,0.99),_xll.RiskCorrmat(NewMatrix2,3,"9/1/2037"))</f>
        <v>3.2394610984861627E-3</v>
      </c>
      <c r="JM85" s="8">
        <f ca="1">_xll.RiskLogistic(0.0032402,0.086856,_xll.RiskTruncate(-0.99,0.99),_xll.RiskCorrmat(NewMatrix2,3,"10/1/2037"))</f>
        <v>3.2394610984861627E-3</v>
      </c>
      <c r="JN85" s="8">
        <f ca="1">_xll.RiskLogistic(0.0032402,0.086856,_xll.RiskTruncate(-0.99,0.99),_xll.RiskCorrmat(NewMatrix2,3,"11/1/2037"))</f>
        <v>3.2394610984861627E-3</v>
      </c>
      <c r="JO85" s="8">
        <f ca="1">_xll.RiskLogistic(0.0032402,0.086856,_xll.RiskTruncate(-0.99,0.99),_xll.RiskCorrmat(NewMatrix2,3,"12/1/2037"))</f>
        <v>3.2394610984861627E-3</v>
      </c>
      <c r="JP85" s="8">
        <f ca="1">_xll.RiskLogistic(0.0032402,0.086856,_xll.RiskTruncate(-0.99,0.99),_xll.RiskCorrmat(NewMatrix2,3,"1/1/2038"))</f>
        <v>3.2394610984861627E-3</v>
      </c>
      <c r="JQ85" s="8">
        <f ca="1">_xll.RiskLogistic(0.0032402,0.086856,_xll.RiskTruncate(-0.99,0.99),_xll.RiskCorrmat(NewMatrix2,3,"2/1/2038"))</f>
        <v>3.2394610984861627E-3</v>
      </c>
      <c r="JR85" s="8">
        <f ca="1">_xll.RiskLogistic(0.0032402,0.086856,_xll.RiskTruncate(-0.99,0.99),_xll.RiskCorrmat(NewMatrix2,3,"3/1/2038"))</f>
        <v>3.2394610984861627E-3</v>
      </c>
      <c r="JS85" s="8">
        <f ca="1">_xll.RiskLogistic(0.0032402,0.086856,_xll.RiskTruncate(-0.99,0.99),_xll.RiskCorrmat(NewMatrix2,3,"4/1/2038"))</f>
        <v>3.2394610984861627E-3</v>
      </c>
      <c r="JT85" s="8">
        <f ca="1">_xll.RiskLogistic(0.0032402,0.086856,_xll.RiskTruncate(-0.99,0.99),_xll.RiskCorrmat(NewMatrix2,3,"5/1/2038"))</f>
        <v>3.2394610984861627E-3</v>
      </c>
      <c r="JU85" s="8">
        <f ca="1">_xll.RiskLogistic(0.0032402,0.086856,_xll.RiskTruncate(-0.99,0.99),_xll.RiskCorrmat(NewMatrix2,3,"6/1/2038"))</f>
        <v>3.2394610984861627E-3</v>
      </c>
      <c r="JV85" s="8">
        <f ca="1">_xll.RiskLogistic(0.0032402,0.086856,_xll.RiskTruncate(-0.99,0.99),_xll.RiskCorrmat(NewMatrix2,3,"7/1/2038"))</f>
        <v>3.2394610984861627E-3</v>
      </c>
      <c r="JW85" s="8">
        <f ca="1">_xll.RiskLogistic(0.0032402,0.086856,_xll.RiskTruncate(-0.99,0.99),_xll.RiskCorrmat(NewMatrix2,3,"8/1/2038"))</f>
        <v>3.2394610984861627E-3</v>
      </c>
      <c r="JX85" s="8">
        <f ca="1">_xll.RiskLogistic(0.0032402,0.086856,_xll.RiskTruncate(-0.99,0.99),_xll.RiskCorrmat(NewMatrix2,3,"9/1/2038"))</f>
        <v>3.2394610984861627E-3</v>
      </c>
      <c r="JY85" s="8">
        <f ca="1">_xll.RiskLogistic(0.0032402,0.086856,_xll.RiskTruncate(-0.99,0.99),_xll.RiskCorrmat(NewMatrix2,3,"10/1/2038"))</f>
        <v>3.2394610984861627E-3</v>
      </c>
      <c r="JZ85" s="8">
        <f ca="1">_xll.RiskLogistic(0.0032402,0.086856,_xll.RiskTruncate(-0.99,0.99),_xll.RiskCorrmat(NewMatrix2,3,"11/1/2038"))</f>
        <v>3.2394610984861627E-3</v>
      </c>
      <c r="KA85" s="8">
        <f ca="1">_xll.RiskLogistic(0.0032402,0.086856,_xll.RiskTruncate(-0.99,0.99),_xll.RiskCorrmat(NewMatrix2,3,"12/1/2038"))</f>
        <v>3.2394610984861627E-3</v>
      </c>
      <c r="KB85" s="8">
        <f ca="1">_xll.RiskLogistic(0.0032402,0.086856,_xll.RiskTruncate(-0.99,0.99),_xll.RiskCorrmat(NewMatrix2,3,"1/1/2039"))</f>
        <v>3.2394610984861627E-3</v>
      </c>
      <c r="KC85" s="8">
        <f ca="1">_xll.RiskLogistic(0.0032402,0.086856,_xll.RiskTruncate(-0.99,0.99),_xll.RiskCorrmat(NewMatrix2,3,"2/1/2039"))</f>
        <v>3.2394610984861627E-3</v>
      </c>
      <c r="KD85" s="8">
        <f ca="1">_xll.RiskLogistic(0.0032402,0.086856,_xll.RiskTruncate(-0.99,0.99),_xll.RiskCorrmat(NewMatrix2,3,"3/1/2039"))</f>
        <v>3.2394610984861627E-3</v>
      </c>
      <c r="KE85" s="8">
        <f ca="1">_xll.RiskLogistic(0.0032402,0.086856,_xll.RiskTruncate(-0.99,0.99),_xll.RiskCorrmat(NewMatrix2,3,"4/1/2039"))</f>
        <v>3.2394610984861627E-3</v>
      </c>
      <c r="KF85" s="8">
        <f ca="1">_xll.RiskLogistic(0.0032402,0.086856,_xll.RiskTruncate(-0.99,0.99),_xll.RiskCorrmat(NewMatrix2,3,"5/1/2039"))</f>
        <v>3.2394610984861627E-3</v>
      </c>
      <c r="KG85" s="8">
        <f ca="1">_xll.RiskLogistic(0.0032402,0.086856,_xll.RiskTruncate(-0.99,0.99),_xll.RiskCorrmat(NewMatrix2,3,"6/1/2039"))</f>
        <v>3.2394610984861627E-3</v>
      </c>
      <c r="KH85" s="8">
        <f ca="1">_xll.RiskLogistic(0.0032402,0.086856,_xll.RiskTruncate(-0.99,0.99),_xll.RiskCorrmat(NewMatrix2,3,"7/1/2039"))</f>
        <v>3.2394610984861627E-3</v>
      </c>
      <c r="KI85" s="8">
        <f ca="1">_xll.RiskLogistic(0.0032402,0.086856,_xll.RiskTruncate(-0.99,0.99),_xll.RiskCorrmat(NewMatrix2,3,"8/1/2039"))</f>
        <v>3.2394610984861627E-3</v>
      </c>
      <c r="KJ85" s="8">
        <f ca="1">_xll.RiskLogistic(0.0032402,0.086856,_xll.RiskTruncate(-0.99,0.99),_xll.RiskCorrmat(NewMatrix2,3,"9/1/2039"))</f>
        <v>3.2394610984861627E-3</v>
      </c>
      <c r="KK85" s="8">
        <f ca="1">_xll.RiskLogistic(0.0032402,0.086856,_xll.RiskTruncate(-0.99,0.99),_xll.RiskCorrmat(NewMatrix2,3,"10/1/2039"))</f>
        <v>3.2394610984861627E-3</v>
      </c>
      <c r="KL85" s="8">
        <f ca="1">_xll.RiskLogistic(0.0032402,0.086856,_xll.RiskTruncate(-0.99,0.99),_xll.RiskCorrmat(NewMatrix2,3,"11/1/2039"))</f>
        <v>3.2394610984861627E-3</v>
      </c>
      <c r="KM85" s="8">
        <f ca="1">_xll.RiskLogistic(0.0032402,0.086856,_xll.RiskTruncate(-0.99,0.99),_xll.RiskCorrmat(NewMatrix2,3,"12/1/2039"))</f>
        <v>3.2394610984861627E-3</v>
      </c>
      <c r="KN85" s="8">
        <f ca="1">_xll.RiskLogistic(0.0032402,0.086856,_xll.RiskTruncate(-0.99,0.99),_xll.RiskCorrmat(NewMatrix2,3,"1/1/2040"))</f>
        <v>3.2394610984861627E-3</v>
      </c>
      <c r="KO85" s="8">
        <f ca="1">_xll.RiskLogistic(0.0032402,0.086856,_xll.RiskTruncate(-0.99,0.99),_xll.RiskCorrmat(NewMatrix2,3,"2/1/2040"))</f>
        <v>3.2394610984861627E-3</v>
      </c>
      <c r="KP85" s="8">
        <f ca="1">_xll.RiskLogistic(0.0032402,0.086856,_xll.RiskTruncate(-0.99,0.99),_xll.RiskCorrmat(NewMatrix2,3,"3/1/2040"))</f>
        <v>3.2394610984861627E-3</v>
      </c>
      <c r="KQ85" s="8">
        <f ca="1">_xll.RiskLogistic(0.0032402,0.086856,_xll.RiskTruncate(-0.99,0.99),_xll.RiskCorrmat(NewMatrix2,3,"4/1/2040"))</f>
        <v>3.2394610984861627E-3</v>
      </c>
      <c r="KR85" s="8">
        <f ca="1">_xll.RiskLogistic(0.0032402,0.086856,_xll.RiskTruncate(-0.99,0.99),_xll.RiskCorrmat(NewMatrix2,3,"5/1/2040"))</f>
        <v>3.2394610984861627E-3</v>
      </c>
      <c r="KS85" s="8">
        <f ca="1">_xll.RiskLogistic(0.0032402,0.086856,_xll.RiskTruncate(-0.99,0.99),_xll.RiskCorrmat(NewMatrix2,3,"6/1/2040"))</f>
        <v>3.2394610984861627E-3</v>
      </c>
      <c r="KT85" s="8">
        <f ca="1">_xll.RiskLogistic(0.0032402,0.086856,_xll.RiskTruncate(-0.99,0.99),_xll.RiskCorrmat(NewMatrix2,3,"7/1/2040"))</f>
        <v>3.2394610984861627E-3</v>
      </c>
      <c r="KU85" s="8">
        <f ca="1">_xll.RiskLogistic(0.0032402,0.086856,_xll.RiskTruncate(-0.99,0.99),_xll.RiskCorrmat(NewMatrix2,3,"8/1/2040"))</f>
        <v>3.2394610984861627E-3</v>
      </c>
      <c r="KV85" s="8">
        <f ca="1">_xll.RiskLogistic(0.0032402,0.086856,_xll.RiskTruncate(-0.99,0.99),_xll.RiskCorrmat(NewMatrix2,3,"9/1/2040"))</f>
        <v>3.2394610984861627E-3</v>
      </c>
      <c r="KW85" s="8">
        <f ca="1">_xll.RiskLogistic(0.0032402,0.086856,_xll.RiskTruncate(-0.99,0.99),_xll.RiskCorrmat(NewMatrix2,3,"10/1/2040"))</f>
        <v>3.2394610984861627E-3</v>
      </c>
      <c r="KX85" s="8">
        <f ca="1">_xll.RiskLogistic(0.0032402,0.086856,_xll.RiskTruncate(-0.99,0.99),_xll.RiskCorrmat(NewMatrix2,3,"11/1/2040"))</f>
        <v>3.2394610984861627E-3</v>
      </c>
      <c r="KY85" s="8">
        <f ca="1">_xll.RiskLogistic(0.0032402,0.086856,_xll.RiskTruncate(-0.99,0.99),_xll.RiskCorrmat(NewMatrix2,3,"12/1/2040"))</f>
        <v>3.2394610984861627E-3</v>
      </c>
      <c r="KZ85" s="8">
        <f ca="1">_xll.RiskLogistic(0.0032402,0.086856,_xll.RiskTruncate(-0.99,0.99),_xll.RiskCorrmat(NewMatrix2,3,"1/1/2041"))</f>
        <v>3.2394610984861627E-3</v>
      </c>
      <c r="LA85" s="8">
        <f ca="1">_xll.RiskLogistic(0.0032402,0.086856,_xll.RiskTruncate(-0.99,0.99),_xll.RiskCorrmat(NewMatrix2,3,"2/1/2041"))</f>
        <v>3.2394610984861627E-3</v>
      </c>
      <c r="LB85" s="8">
        <f ca="1">_xll.RiskLogistic(0.0032402,0.086856,_xll.RiskTruncate(-0.99,0.99),_xll.RiskCorrmat(NewMatrix2,3,"3/1/2041"))</f>
        <v>3.2394610984861627E-3</v>
      </c>
      <c r="LC85" s="8">
        <f ca="1">_xll.RiskLogistic(0.0032402,0.086856,_xll.RiskTruncate(-0.99,0.99),_xll.RiskCorrmat(NewMatrix2,3,"4/1/2041"))</f>
        <v>3.2394610984861627E-3</v>
      </c>
      <c r="LD85" s="8">
        <f ca="1">_xll.RiskLogistic(0.0032402,0.086856,_xll.RiskTruncate(-0.99,0.99),_xll.RiskCorrmat(NewMatrix2,3,"5/1/2041"))</f>
        <v>3.2394610984861627E-3</v>
      </c>
      <c r="LE85" s="8">
        <f ca="1">_xll.RiskLogistic(0.0032402,0.086856,_xll.RiskTruncate(-0.99,0.99),_xll.RiskCorrmat(NewMatrix2,3,"6/1/2041"))</f>
        <v>3.2394610984861627E-3</v>
      </c>
      <c r="LF85" s="8">
        <f ca="1">_xll.RiskLogistic(0.0032402,0.086856,_xll.RiskTruncate(-0.99,0.99),_xll.RiskCorrmat(NewMatrix2,3,"7/1/2041"))</f>
        <v>3.2394610984861627E-3</v>
      </c>
      <c r="LG85" s="8">
        <f ca="1">_xll.RiskLogistic(0.0032402,0.086856,_xll.RiskTruncate(-0.99,0.99),_xll.RiskCorrmat(NewMatrix2,3,"8/1/2041"))</f>
        <v>3.2394610984861627E-3</v>
      </c>
      <c r="LH85" s="8">
        <f ca="1">_xll.RiskLogistic(0.0032402,0.086856,_xll.RiskTruncate(-0.99,0.99),_xll.RiskCorrmat(NewMatrix2,3,"9/1/2041"))</f>
        <v>3.2394610984861627E-3</v>
      </c>
      <c r="LI85" s="8">
        <f ca="1">_xll.RiskLogistic(0.0032402,0.086856,_xll.RiskTruncate(-0.99,0.99),_xll.RiskCorrmat(NewMatrix2,3,"10/1/2041"))</f>
        <v>3.2394610984861627E-3</v>
      </c>
      <c r="LJ85" s="8">
        <f ca="1">_xll.RiskLogistic(0.0032402,0.086856,_xll.RiskTruncate(-0.99,0.99),_xll.RiskCorrmat(NewMatrix2,3,"11/1/2041"))</f>
        <v>3.2394610984861627E-3</v>
      </c>
      <c r="LK85" s="8">
        <f ca="1">_xll.RiskLogistic(0.0032402,0.086856,_xll.RiskTruncate(-0.99,0.99),_xll.RiskCorrmat(NewMatrix2,3,"12/1/2041"))</f>
        <v>3.2394610984861627E-3</v>
      </c>
      <c r="LL85" s="8">
        <f ca="1">_xll.RiskLogistic(0.0032402,0.086856,_xll.RiskTruncate(-0.99,0.99),_xll.RiskCorrmat(NewMatrix2,3,"1/1/2042"))</f>
        <v>3.2394610984861627E-3</v>
      </c>
      <c r="LM85" s="8">
        <f ca="1">_xll.RiskLogistic(0.0032402,0.086856,_xll.RiskTruncate(-0.99,0.99),_xll.RiskCorrmat(NewMatrix2,3,"2/1/2042"))</f>
        <v>3.2394610984861627E-3</v>
      </c>
      <c r="LN85" s="8">
        <f ca="1">_xll.RiskLogistic(0.0032402,0.086856,_xll.RiskTruncate(-0.99,0.99),_xll.RiskCorrmat(NewMatrix2,3,"3/1/2042"))</f>
        <v>3.2394610984861627E-3</v>
      </c>
      <c r="LO85" s="8">
        <f ca="1">_xll.RiskLogistic(0.0032402,0.086856,_xll.RiskTruncate(-0.99,0.99),_xll.RiskCorrmat(NewMatrix2,3,"4/1/2042"))</f>
        <v>3.2394610984861627E-3</v>
      </c>
      <c r="LP85" s="8">
        <f ca="1">_xll.RiskLogistic(0.0032402,0.086856,_xll.RiskTruncate(-0.99,0.99),_xll.RiskCorrmat(NewMatrix2,3,"5/1/2042"))</f>
        <v>3.2394610984861627E-3</v>
      </c>
      <c r="LQ85" s="8">
        <f ca="1">_xll.RiskLogistic(0.0032402,0.086856,_xll.RiskTruncate(-0.99,0.99),_xll.RiskCorrmat(NewMatrix2,3,"6/1/2042"))</f>
        <v>3.2394610984861627E-3</v>
      </c>
      <c r="LR85" s="8">
        <f ca="1">_xll.RiskLogistic(0.0032402,0.086856,_xll.RiskTruncate(-0.99,0.99),_xll.RiskCorrmat(NewMatrix2,3,"7/1/2042"))</f>
        <v>3.2394610984861627E-3</v>
      </c>
      <c r="LS85" s="8">
        <f ca="1">_xll.RiskLogistic(0.0032402,0.086856,_xll.RiskTruncate(-0.99,0.99),_xll.RiskCorrmat(NewMatrix2,3,"8/1/2042"))</f>
        <v>3.2394610984861627E-3</v>
      </c>
      <c r="LT85" s="8">
        <f ca="1">_xll.RiskLogistic(0.0032402,0.086856,_xll.RiskTruncate(-0.99,0.99),_xll.RiskCorrmat(NewMatrix2,3,"9/1/2042"))</f>
        <v>3.2394610984861627E-3</v>
      </c>
      <c r="LU85" s="8">
        <f ca="1">_xll.RiskLogistic(0.0032402,0.086856,_xll.RiskTruncate(-0.99,0.99),_xll.RiskCorrmat(NewMatrix2,3,"10/1/2042"))</f>
        <v>3.2394610984861627E-3</v>
      </c>
      <c r="LV85" s="8">
        <f ca="1">_xll.RiskLogistic(0.0032402,0.086856,_xll.RiskTruncate(-0.99,0.99),_xll.RiskCorrmat(NewMatrix2,3,"11/1/2042"))</f>
        <v>3.2394610984861627E-3</v>
      </c>
      <c r="LW85" s="8">
        <f ca="1">_xll.RiskLogistic(0.0032402,0.086856,_xll.RiskTruncate(-0.99,0.99),_xll.RiskCorrmat(NewMatrix2,3,"12/1/2042"))</f>
        <v>3.2394610984861627E-3</v>
      </c>
      <c r="LX85" s="8">
        <f ca="1">_xll.RiskLogistic(0.0032402,0.086856,_xll.RiskTruncate(-0.99,0.99),_xll.RiskCorrmat(NewMatrix2,3,"1/1/2043"))</f>
        <v>3.2394610984861627E-3</v>
      </c>
      <c r="LY85" s="8">
        <f ca="1">_xll.RiskLogistic(0.0032402,0.086856,_xll.RiskTruncate(-0.99,0.99),_xll.RiskCorrmat(NewMatrix2,3,"2/1/2043"))</f>
        <v>3.2394610984861627E-3</v>
      </c>
      <c r="LZ85" s="8">
        <f ca="1">_xll.RiskLogistic(0.0032402,0.086856,_xll.RiskTruncate(-0.99,0.99),_xll.RiskCorrmat(NewMatrix2,3,"3/1/2043"))</f>
        <v>3.2394610984861627E-3</v>
      </c>
      <c r="MA85" s="8">
        <f ca="1">_xll.RiskLogistic(0.0032402,0.086856,_xll.RiskTruncate(-0.99,0.99),_xll.RiskCorrmat(NewMatrix2,3,"4/1/2043"))</f>
        <v>3.2394610984861627E-3</v>
      </c>
      <c r="MB85" s="8">
        <f ca="1">_xll.RiskLogistic(0.0032402,0.086856,_xll.RiskTruncate(-0.99,0.99),_xll.RiskCorrmat(NewMatrix2,3,"5/1/2043"))</f>
        <v>3.2394610984861627E-3</v>
      </c>
      <c r="MC85" s="8">
        <f ca="1">_xll.RiskLogistic(0.0032402,0.086856,_xll.RiskTruncate(-0.99,0.99),_xll.RiskCorrmat(NewMatrix2,3,"6/1/2043"))</f>
        <v>3.2394610984861627E-3</v>
      </c>
      <c r="MD85" s="8">
        <f ca="1">_xll.RiskLogistic(0.0032402,0.086856,_xll.RiskTruncate(-0.99,0.99),_xll.RiskCorrmat(NewMatrix2,3,"7/1/2043"))</f>
        <v>3.2394610984861627E-3</v>
      </c>
      <c r="ME85" s="8">
        <f ca="1">_xll.RiskLogistic(0.0032402,0.086856,_xll.RiskTruncate(-0.99,0.99),_xll.RiskCorrmat(NewMatrix2,3,"8/1/2043"))</f>
        <v>3.2394610984861627E-3</v>
      </c>
      <c r="MF85" s="8">
        <f ca="1">_xll.RiskLogistic(0.0032402,0.086856,_xll.RiskTruncate(-0.99,0.99),_xll.RiskCorrmat(NewMatrix2,3,"9/1/2043"))</f>
        <v>3.2394610984861627E-3</v>
      </c>
      <c r="MG85" s="8">
        <f ca="1">_xll.RiskLogistic(0.0032402,0.086856,_xll.RiskTruncate(-0.99,0.99),_xll.RiskCorrmat(NewMatrix2,3,"10/1/2043"))</f>
        <v>3.2394610984861627E-3</v>
      </c>
      <c r="MH85" s="8">
        <f ca="1">_xll.RiskLogistic(0.0032402,0.086856,_xll.RiskTruncate(-0.99,0.99),_xll.RiskCorrmat(NewMatrix2,3,"11/1/2043"))</f>
        <v>3.2394610984861627E-3</v>
      </c>
      <c r="MI85" s="8">
        <f ca="1">_xll.RiskLogistic(0.0032402,0.086856,_xll.RiskTruncate(-0.99,0.99),_xll.RiskCorrmat(NewMatrix2,3,"12/1/2043"))</f>
        <v>3.2394610984861627E-3</v>
      </c>
      <c r="MJ85" s="8">
        <f ca="1">_xll.RiskLogistic(0.0032402,0.086856,_xll.RiskTruncate(-0.99,0.99),_xll.RiskCorrmat(NewMatrix2,3,"1/1/2044"))</f>
        <v>3.2394610984861627E-3</v>
      </c>
      <c r="MK85" s="8">
        <f ca="1">_xll.RiskLogistic(0.0032402,0.086856,_xll.RiskTruncate(-0.99,0.99),_xll.RiskCorrmat(NewMatrix2,3,"2/1/2044"))</f>
        <v>3.2394610984861627E-3</v>
      </c>
      <c r="ML85" s="8">
        <f ca="1">_xll.RiskLogistic(0.0032402,0.086856,_xll.RiskTruncate(-0.99,0.99),_xll.RiskCorrmat(NewMatrix2,3,"3/1/2044"))</f>
        <v>3.2394610984861627E-3</v>
      </c>
      <c r="MM85" s="8">
        <f ca="1">_xll.RiskLogistic(0.0032402,0.086856,_xll.RiskTruncate(-0.99,0.99),_xll.RiskCorrmat(NewMatrix2,3,"4/1/2044"))</f>
        <v>3.2394610984861627E-3</v>
      </c>
      <c r="MN85" s="8">
        <f ca="1">_xll.RiskLogistic(0.0032402,0.086856,_xll.RiskTruncate(-0.99,0.99),_xll.RiskCorrmat(NewMatrix2,3,"5/1/2044"))</f>
        <v>3.2394610984861627E-3</v>
      </c>
      <c r="MO85" s="8">
        <f ca="1">_xll.RiskLogistic(0.0032402,0.086856,_xll.RiskTruncate(-0.99,0.99),_xll.RiskCorrmat(NewMatrix2,3,"6/1/2044"))</f>
        <v>3.2394610984861627E-3</v>
      </c>
      <c r="MP85" s="8">
        <f ca="1">_xll.RiskLogistic(0.0032402,0.086856,_xll.RiskTruncate(-0.99,0.99),_xll.RiskCorrmat(NewMatrix2,3,"7/1/2044"))</f>
        <v>3.2394610984861627E-3</v>
      </c>
      <c r="MQ85" s="8">
        <f ca="1">_xll.RiskLogistic(0.0032402,0.086856,_xll.RiskTruncate(-0.99,0.99),_xll.RiskCorrmat(NewMatrix2,3,"8/1/2044"))</f>
        <v>3.2394610984861627E-3</v>
      </c>
      <c r="MR85" s="8">
        <f ca="1">_xll.RiskLogistic(0.0032402,0.086856,_xll.RiskTruncate(-0.99,0.99),_xll.RiskCorrmat(NewMatrix2,3,"9/1/2044"))</f>
        <v>3.2394610984861627E-3</v>
      </c>
      <c r="MS85" s="8">
        <f ca="1">_xll.RiskLogistic(0.0032402,0.086856,_xll.RiskTruncate(-0.99,0.99),_xll.RiskCorrmat(NewMatrix2,3,"10/1/2044"))</f>
        <v>3.2394610984861627E-3</v>
      </c>
      <c r="MT85" s="8">
        <f ca="1">_xll.RiskLogistic(0.0032402,0.086856,_xll.RiskTruncate(-0.99,0.99),_xll.RiskCorrmat(NewMatrix2,3,"11/1/2044"))</f>
        <v>3.2394610984861627E-3</v>
      </c>
      <c r="MU85" s="8">
        <f ca="1">_xll.RiskLogistic(0.0032402,0.086856,_xll.RiskTruncate(-0.99,0.99),_xll.RiskCorrmat(NewMatrix2,3,"12/1/2044"))</f>
        <v>3.2394610984861627E-3</v>
      </c>
      <c r="MV85" s="8">
        <f ca="1">_xll.RiskLogistic(0.0032402,0.086856,_xll.RiskTruncate(-0.99,0.99),_xll.RiskCorrmat(NewMatrix2,3,"1/1/2045"))</f>
        <v>3.2394610984861627E-3</v>
      </c>
      <c r="MW85" s="8">
        <f ca="1">_xll.RiskLogistic(0.0032402,0.086856,_xll.RiskTruncate(-0.99,0.99),_xll.RiskCorrmat(NewMatrix2,3,"2/1/2045"))</f>
        <v>3.2394610984861627E-3</v>
      </c>
      <c r="MX85" s="8">
        <f ca="1">_xll.RiskLogistic(0.0032402,0.086856,_xll.RiskTruncate(-0.99,0.99),_xll.RiskCorrmat(NewMatrix2,3,"3/1/2045"))</f>
        <v>3.2394610984861627E-3</v>
      </c>
      <c r="MY85" s="8">
        <f ca="1">_xll.RiskLogistic(0.0032402,0.086856,_xll.RiskTruncate(-0.99,0.99),_xll.RiskCorrmat(NewMatrix2,3,"4/1/2045"))</f>
        <v>3.2394610984861627E-3</v>
      </c>
      <c r="MZ85" s="8">
        <f ca="1">_xll.RiskLogistic(0.0032402,0.086856,_xll.RiskTruncate(-0.99,0.99),_xll.RiskCorrmat(NewMatrix2,3,"5/1/2045"))</f>
        <v>3.2394610984861627E-3</v>
      </c>
      <c r="NA85" s="8">
        <f ca="1">_xll.RiskLogistic(0.0032402,0.086856,_xll.RiskTruncate(-0.99,0.99),_xll.RiskCorrmat(NewMatrix2,3,"6/1/2045"))</f>
        <v>3.2394610984861627E-3</v>
      </c>
      <c r="NB85" s="8">
        <f ca="1">_xll.RiskLogistic(0.0032402,0.086856,_xll.RiskTruncate(-0.99,0.99),_xll.RiskCorrmat(NewMatrix2,3,"7/1/2045"))</f>
        <v>3.2394610984861627E-3</v>
      </c>
      <c r="NC85" s="8">
        <f ca="1">_xll.RiskLogistic(0.0032402,0.086856,_xll.RiskTruncate(-0.99,0.99),_xll.RiskCorrmat(NewMatrix2,3,"8/1/2045"))</f>
        <v>3.2394610984861627E-3</v>
      </c>
      <c r="ND85" s="8">
        <f ca="1">_xll.RiskLogistic(0.0032402,0.086856,_xll.RiskTruncate(-0.99,0.99),_xll.RiskCorrmat(NewMatrix2,3,"9/1/2045"))</f>
        <v>3.2394610984861627E-3</v>
      </c>
      <c r="NE85" s="8">
        <f ca="1">_xll.RiskLogistic(0.0032402,0.086856,_xll.RiskTruncate(-0.99,0.99),_xll.RiskCorrmat(NewMatrix2,3,"10/1/2045"))</f>
        <v>3.2394610984861627E-3</v>
      </c>
      <c r="NF85" s="8">
        <f ca="1">_xll.RiskLogistic(0.0032402,0.086856,_xll.RiskTruncate(-0.99,0.99),_xll.RiskCorrmat(NewMatrix2,3,"11/1/2045"))</f>
        <v>3.2394610984861627E-3</v>
      </c>
      <c r="NG85" s="8">
        <f ca="1">_xll.RiskLogistic(0.0032402,0.086856,_xll.RiskTruncate(-0.99,0.99),_xll.RiskCorrmat(NewMatrix2,3,"12/1/2045"))</f>
        <v>3.2394610984861627E-3</v>
      </c>
      <c r="NH85" s="8">
        <f ca="1">_xll.RiskLogistic(0.0032402,0.086856,_xll.RiskTruncate(-0.99,0.99),_xll.RiskCorrmat(NewMatrix2,3,"1/1/2046"))</f>
        <v>3.2394610984861627E-3</v>
      </c>
      <c r="NI85" s="8">
        <f ca="1">_xll.RiskLogistic(0.0032402,0.086856,_xll.RiskTruncate(-0.99,0.99),_xll.RiskCorrmat(NewMatrix2,3,"2/1/2046"))</f>
        <v>3.2394610984861627E-3</v>
      </c>
      <c r="NJ85" s="8">
        <f ca="1">_xll.RiskLogistic(0.0032402,0.086856,_xll.RiskTruncate(-0.99,0.99),_xll.RiskCorrmat(NewMatrix2,3,"3/1/2046"))</f>
        <v>3.2394610984861627E-3</v>
      </c>
      <c r="NK85" s="8">
        <f ca="1">_xll.RiskLogistic(0.0032402,0.086856,_xll.RiskTruncate(-0.99,0.99),_xll.RiskCorrmat(NewMatrix2,3,"4/1/2046"))</f>
        <v>3.2394610984861627E-3</v>
      </c>
      <c r="NL85" s="8">
        <f ca="1">_xll.RiskLogistic(0.0032402,0.086856,_xll.RiskTruncate(-0.99,0.99),_xll.RiskCorrmat(NewMatrix2,3,"5/1/2046"))</f>
        <v>3.2394610984861627E-3</v>
      </c>
      <c r="NM85" s="8">
        <f ca="1">_xll.RiskLogistic(0.0032402,0.086856,_xll.RiskTruncate(-0.99,0.99),_xll.RiskCorrmat(NewMatrix2,3,"6/1/2046"))</f>
        <v>3.2394610984861627E-3</v>
      </c>
      <c r="NN85" s="8">
        <f ca="1">_xll.RiskLogistic(0.0032402,0.086856,_xll.RiskTruncate(-0.99,0.99),_xll.RiskCorrmat(NewMatrix2,3,"7/1/2046"))</f>
        <v>3.2394610984861627E-3</v>
      </c>
      <c r="NO85" s="8">
        <f ca="1">_xll.RiskLogistic(0.0032402,0.086856,_xll.RiskTruncate(-0.99,0.99),_xll.RiskCorrmat(NewMatrix2,3,"8/1/2046"))</f>
        <v>3.2394610984861627E-3</v>
      </c>
      <c r="NP85" s="8">
        <f ca="1">_xll.RiskLogistic(0.0032402,0.086856,_xll.RiskTruncate(-0.99,0.99),_xll.RiskCorrmat(NewMatrix2,3,"9/1/2046"))</f>
        <v>3.2394610984861627E-3</v>
      </c>
      <c r="NQ85" s="8">
        <f ca="1">_xll.RiskLogistic(0.0032402,0.086856,_xll.RiskTruncate(-0.99,0.99),_xll.RiskCorrmat(NewMatrix2,3,"10/1/2046"))</f>
        <v>3.2394610984861627E-3</v>
      </c>
      <c r="NR85" s="8">
        <f ca="1">_xll.RiskLogistic(0.0032402,0.086856,_xll.RiskTruncate(-0.99,0.99),_xll.RiskCorrmat(NewMatrix2,3,"11/1/2046"))</f>
        <v>3.2394610984861627E-3</v>
      </c>
      <c r="NS85" s="8">
        <f ca="1">_xll.RiskLogistic(0.0032402,0.086856,_xll.RiskTruncate(-0.99,0.99),_xll.RiskCorrmat(NewMatrix2,3,"12/1/2046"))</f>
        <v>3.2394610984861627E-3</v>
      </c>
      <c r="NT85" s="8">
        <f ca="1">_xll.RiskLogistic(0.0032402,0.086856,_xll.RiskTruncate(-0.99,0.99),_xll.RiskCorrmat(NewMatrix2,3,"1/1/2047"))</f>
        <v>3.2394610984861627E-3</v>
      </c>
      <c r="NU85" s="8">
        <f ca="1">_xll.RiskLogistic(0.0032402,0.086856,_xll.RiskTruncate(-0.99,0.99),_xll.RiskCorrmat(NewMatrix2,3,"2/1/2047"))</f>
        <v>3.2394610984861627E-3</v>
      </c>
      <c r="NV85" s="8">
        <f ca="1">_xll.RiskLogistic(0.0032402,0.086856,_xll.RiskTruncate(-0.99,0.99),_xll.RiskCorrmat(NewMatrix2,3,"3/1/2047"))</f>
        <v>3.2394610984861627E-3</v>
      </c>
      <c r="NW85" s="8">
        <f ca="1">_xll.RiskLogistic(0.0032402,0.086856,_xll.RiskTruncate(-0.99,0.99),_xll.RiskCorrmat(NewMatrix2,3,"4/1/2047"))</f>
        <v>3.2394610984861627E-3</v>
      </c>
      <c r="NX85" s="8">
        <f ca="1">_xll.RiskLogistic(0.0032402,0.086856,_xll.RiskTruncate(-0.99,0.99),_xll.RiskCorrmat(NewMatrix2,3,"5/1/2047"))</f>
        <v>3.2394610984861627E-3</v>
      </c>
      <c r="NY85" s="8">
        <f ca="1">_xll.RiskLogistic(0.0032402,0.086856,_xll.RiskTruncate(-0.99,0.99),_xll.RiskCorrmat(NewMatrix2,3,"6/1/2047"))</f>
        <v>3.2394610984861627E-3</v>
      </c>
      <c r="NZ85" s="8">
        <f ca="1">_xll.RiskLogistic(0.0032402,0.086856,_xll.RiskTruncate(-0.99,0.99),_xll.RiskCorrmat(NewMatrix2,3,"7/1/2047"))</f>
        <v>3.2394610984861627E-3</v>
      </c>
      <c r="OA85" s="8">
        <f ca="1">_xll.RiskLogistic(0.0032402,0.086856,_xll.RiskTruncate(-0.99,0.99),_xll.RiskCorrmat(NewMatrix2,3,"8/1/2047"))</f>
        <v>3.2394610984861627E-3</v>
      </c>
      <c r="OB85" s="8">
        <f ca="1">_xll.RiskLogistic(0.0032402,0.086856,_xll.RiskTruncate(-0.99,0.99),_xll.RiskCorrmat(NewMatrix2,3,"9/1/2047"))</f>
        <v>3.2394610984861627E-3</v>
      </c>
      <c r="OC85" s="8">
        <f ca="1">_xll.RiskLogistic(0.0032402,0.086856,_xll.RiskTruncate(-0.99,0.99),_xll.RiskCorrmat(NewMatrix2,3,"10/1/2047"))</f>
        <v>3.2394610984861627E-3</v>
      </c>
      <c r="OD85" s="8">
        <f ca="1">_xll.RiskLogistic(0.0032402,0.086856,_xll.RiskTruncate(-0.99,0.99),_xll.RiskCorrmat(NewMatrix2,3,"11/1/2047"))</f>
        <v>3.2394610984861627E-3</v>
      </c>
      <c r="OE85" s="8">
        <f ca="1">_xll.RiskLogistic(0.0032402,0.086856,_xll.RiskTruncate(-0.99,0.99),_xll.RiskCorrmat(NewMatrix2,3,"12/1/2047"))</f>
        <v>3.2394610984861627E-3</v>
      </c>
      <c r="OF85" s="8">
        <f ca="1">_xll.RiskLogistic(0.0032402,0.086856,_xll.RiskTruncate(-0.99,0.99),_xll.RiskCorrmat(NewMatrix2,3,"1/1/2048"))</f>
        <v>3.2394610984861627E-3</v>
      </c>
      <c r="OG85" s="8">
        <f ca="1">_xll.RiskLogistic(0.0032402,0.086856,_xll.RiskTruncate(-0.99,0.99),_xll.RiskCorrmat(NewMatrix2,3,"2/1/2048"))</f>
        <v>3.2394610984861627E-3</v>
      </c>
      <c r="OH85" s="8">
        <f ca="1">_xll.RiskLogistic(0.0032402,0.086856,_xll.RiskTruncate(-0.99,0.99),_xll.RiskCorrmat(NewMatrix2,3,"3/1/2048"))</f>
        <v>3.2394610984861627E-3</v>
      </c>
      <c r="OI85" s="8">
        <f ca="1">_xll.RiskLogistic(0.0032402,0.086856,_xll.RiskTruncate(-0.99,0.99),_xll.RiskCorrmat(NewMatrix2,3,"4/1/2048"))</f>
        <v>3.2394610984861627E-3</v>
      </c>
      <c r="OJ85" s="8">
        <f ca="1">_xll.RiskLogistic(0.0032402,0.086856,_xll.RiskTruncate(-0.99,0.99),_xll.RiskCorrmat(NewMatrix2,3,"5/1/2048"))</f>
        <v>3.2394610984861627E-3</v>
      </c>
      <c r="OK85" s="8">
        <f ca="1">_xll.RiskLogistic(0.0032402,0.086856,_xll.RiskTruncate(-0.99,0.99),_xll.RiskCorrmat(NewMatrix2,3,"6/1/2048"))</f>
        <v>3.2394610984861627E-3</v>
      </c>
      <c r="OL85" s="8">
        <f ca="1">_xll.RiskLogistic(0.0032402,0.086856,_xll.RiskTruncate(-0.99,0.99),_xll.RiskCorrmat(NewMatrix2,3,"7/1/2048"))</f>
        <v>3.2394610984861627E-3</v>
      </c>
      <c r="OM85" s="8">
        <f ca="1">_xll.RiskLogistic(0.0032402,0.086856,_xll.RiskTruncate(-0.99,0.99),_xll.RiskCorrmat(NewMatrix2,3,"8/1/2048"))</f>
        <v>3.2394610984861627E-3</v>
      </c>
      <c r="ON85" s="8">
        <f ca="1">_xll.RiskLogistic(0.0032402,0.086856,_xll.RiskTruncate(-0.99,0.99),_xll.RiskCorrmat(NewMatrix2,3,"9/1/2048"))</f>
        <v>3.2394610984861627E-3</v>
      </c>
      <c r="OO85" s="8">
        <f ca="1">_xll.RiskLogistic(0.0032402,0.086856,_xll.RiskTruncate(-0.99,0.99),_xll.RiskCorrmat(NewMatrix2,3,"10/1/2048"))</f>
        <v>3.2394610984861627E-3</v>
      </c>
      <c r="OP85" s="8">
        <f ca="1">_xll.RiskLogistic(0.0032402,0.086856,_xll.RiskTruncate(-0.99,0.99),_xll.RiskCorrmat(NewMatrix2,3,"11/1/2048"))</f>
        <v>3.2394610984861627E-3</v>
      </c>
      <c r="OQ85" s="8">
        <f ca="1">_xll.RiskLogistic(0.0032402,0.086856,_xll.RiskTruncate(-0.99,0.99),_xll.RiskCorrmat(NewMatrix2,3,"12/1/2048"))</f>
        <v>3.2394610984861627E-3</v>
      </c>
      <c r="OR85" s="8">
        <f ca="1">_xll.RiskLogistic(0.0032402,0.086856,_xll.RiskTruncate(-0.99,0.99),_xll.RiskCorrmat(NewMatrix2,3,"1/1/2049"))</f>
        <v>3.2394610984861627E-3</v>
      </c>
      <c r="OS85" s="8">
        <f ca="1">_xll.RiskLogistic(0.0032402,0.086856,_xll.RiskTruncate(-0.99,0.99),_xll.RiskCorrmat(NewMatrix2,3,"2/1/2049"))</f>
        <v>3.2394610984861627E-3</v>
      </c>
      <c r="OT85" s="8">
        <f ca="1">_xll.RiskLogistic(0.0032402,0.086856,_xll.RiskTruncate(-0.99,0.99),_xll.RiskCorrmat(NewMatrix2,3,"3/1/2049"))</f>
        <v>3.2394610984861627E-3</v>
      </c>
      <c r="OU85" s="8">
        <f ca="1">_xll.RiskLogistic(0.0032402,0.086856,_xll.RiskTruncate(-0.99,0.99),_xll.RiskCorrmat(NewMatrix2,3,"4/1/2049"))</f>
        <v>3.2394610984861627E-3</v>
      </c>
      <c r="OV85" s="8">
        <f ca="1">_xll.RiskLogistic(0.0032402,0.086856,_xll.RiskTruncate(-0.99,0.99),_xll.RiskCorrmat(NewMatrix2,3,"5/1/2049"))</f>
        <v>3.2394610984861627E-3</v>
      </c>
      <c r="OW85" s="8">
        <f ca="1">_xll.RiskLogistic(0.0032402,0.086856,_xll.RiskTruncate(-0.99,0.99),_xll.RiskCorrmat(NewMatrix2,3,"6/1/2049"))</f>
        <v>3.2394610984861627E-3</v>
      </c>
      <c r="OX85" s="8">
        <f ca="1">_xll.RiskLogistic(0.0032402,0.086856,_xll.RiskTruncate(-0.99,0.99),_xll.RiskCorrmat(NewMatrix2,3,"7/1/2049"))</f>
        <v>3.2394610984861627E-3</v>
      </c>
      <c r="OY85" s="8">
        <f ca="1">_xll.RiskLogistic(0.0032402,0.086856,_xll.RiskTruncate(-0.99,0.99),_xll.RiskCorrmat(NewMatrix2,3,"8/1/2049"))</f>
        <v>3.2394610984861627E-3</v>
      </c>
      <c r="OZ85" s="8">
        <f ca="1">_xll.RiskLogistic(0.0032402,0.086856,_xll.RiskTruncate(-0.99,0.99),_xll.RiskCorrmat(NewMatrix2,3,"9/1/2049"))</f>
        <v>3.2394610984861627E-3</v>
      </c>
      <c r="PA85" s="8">
        <f ca="1">_xll.RiskLogistic(0.0032402,0.086856,_xll.RiskTruncate(-0.99,0.99),_xll.RiskCorrmat(NewMatrix2,3,"10/1/2049"))</f>
        <v>3.2394610984861627E-3</v>
      </c>
      <c r="PB85" s="8">
        <f ca="1">_xll.RiskLogistic(0.0032402,0.086856,_xll.RiskTruncate(-0.99,0.99),_xll.RiskCorrmat(NewMatrix2,3,"11/1/2049"))</f>
        <v>3.2394610984861627E-3</v>
      </c>
      <c r="PC85" s="8">
        <f ca="1">_xll.RiskLogistic(0.0032402,0.086856,_xll.RiskTruncate(-0.99,0.99),_xll.RiskCorrmat(NewMatrix2,3,"12/1/2049"))</f>
        <v>3.2394610984861627E-3</v>
      </c>
      <c r="PD85" s="8">
        <f ca="1">_xll.RiskLogistic(0.0032402,0.086856,_xll.RiskTruncate(-0.99,0.99),_xll.RiskCorrmat(NewMatrix2,3,"1/1/2050"))</f>
        <v>3.2394610984861627E-3</v>
      </c>
      <c r="PE85" s="8">
        <f ca="1">_xll.RiskLogistic(0.0032402,0.086856,_xll.RiskTruncate(-0.99,0.99),_xll.RiskCorrmat(NewMatrix2,3,"2/1/2050"))</f>
        <v>3.2394610984861627E-3</v>
      </c>
      <c r="PF85" s="8">
        <f ca="1">_xll.RiskLogistic(0.0032402,0.086856,_xll.RiskTruncate(-0.99,0.99),_xll.RiskCorrmat(NewMatrix2,3,"3/1/2050"))</f>
        <v>3.2394610984861627E-3</v>
      </c>
      <c r="PG85" s="8">
        <f ca="1">_xll.RiskLogistic(0.0032402,0.086856,_xll.RiskTruncate(-0.99,0.99),_xll.RiskCorrmat(NewMatrix2,3,"4/1/2050"))</f>
        <v>3.2394610984861627E-3</v>
      </c>
      <c r="PH85" s="8">
        <f ca="1">_xll.RiskLogistic(0.0032402,0.086856,_xll.RiskTruncate(-0.99,0.99),_xll.RiskCorrmat(NewMatrix2,3,"5/1/2050"))</f>
        <v>3.2394610984861627E-3</v>
      </c>
      <c r="PI85" s="8">
        <f ca="1">_xll.RiskLogistic(0.0032402,0.086856,_xll.RiskTruncate(-0.99,0.99),_xll.RiskCorrmat(NewMatrix2,3,"6/1/2050"))</f>
        <v>3.2394610984861627E-3</v>
      </c>
      <c r="PJ85" s="8">
        <f ca="1">_xll.RiskLogistic(0.0032402,0.086856,_xll.RiskTruncate(-0.99,0.99),_xll.RiskCorrmat(NewMatrix2,3,"7/1/2050"))</f>
        <v>3.2394610984861627E-3</v>
      </c>
      <c r="PK85" s="8">
        <f ca="1">_xll.RiskLogistic(0.0032402,0.086856,_xll.RiskTruncate(-0.99,0.99),_xll.RiskCorrmat(NewMatrix2,3,"8/1/2050"))</f>
        <v>3.2394610984861627E-3</v>
      </c>
      <c r="PL85" s="8">
        <f ca="1">_xll.RiskLogistic(0.0032402,0.086856,_xll.RiskTruncate(-0.99,0.99),_xll.RiskCorrmat(NewMatrix2,3,"9/1/2050"))</f>
        <v>3.2394610984861627E-3</v>
      </c>
      <c r="PM85" s="8">
        <f ca="1">_xll.RiskLogistic(0.0032402,0.086856,_xll.RiskTruncate(-0.99,0.99),_xll.RiskCorrmat(NewMatrix2,3,"10/1/2050"))</f>
        <v>3.2394610984861627E-3</v>
      </c>
      <c r="PN85" s="8">
        <f ca="1">_xll.RiskLogistic(0.0032402,0.086856,_xll.RiskTruncate(-0.99,0.99),_xll.RiskCorrmat(NewMatrix2,3,"11/1/2050"))</f>
        <v>3.2394610984861627E-3</v>
      </c>
      <c r="PO85" s="8">
        <f ca="1">_xll.RiskLogistic(0.0032402,0.086856,_xll.RiskTruncate(-0.99,0.99),_xll.RiskCorrmat(NewMatrix2,3,"12/1/2050"))</f>
        <v>3.2394610984861627E-3</v>
      </c>
      <c r="PP85" s="8">
        <f ca="1">_xll.RiskLogistic(0.0032402,0.086856,_xll.RiskTruncate(-0.99,0.99),_xll.RiskCorrmat(NewMatrix2,3,"1/1/2051"))</f>
        <v>3.2394610984861627E-3</v>
      </c>
      <c r="PQ85" s="8">
        <f ca="1">_xll.RiskLogistic(0.0032402,0.086856,_xll.RiskTruncate(-0.99,0.99),_xll.RiskCorrmat(NewMatrix2,3,"2/1/2051"))</f>
        <v>3.2394610984861627E-3</v>
      </c>
      <c r="PR85" s="8">
        <f ca="1">_xll.RiskLogistic(0.0032402,0.086856,_xll.RiskTruncate(-0.99,0.99),_xll.RiskCorrmat(NewMatrix2,3,"3/1/2051"))</f>
        <v>3.2394610984861627E-3</v>
      </c>
      <c r="PS85" s="8">
        <f ca="1">_xll.RiskLogistic(0.0032402,0.086856,_xll.RiskTruncate(-0.99,0.99),_xll.RiskCorrmat(NewMatrix2,3,"4/1/2051"))</f>
        <v>3.2394610984861627E-3</v>
      </c>
      <c r="PT85" s="8">
        <f ca="1">_xll.RiskLogistic(0.0032402,0.086856,_xll.RiskTruncate(-0.99,0.99),_xll.RiskCorrmat(NewMatrix2,3,"5/1/2051"))</f>
        <v>3.2394610984861627E-3</v>
      </c>
      <c r="PU85" s="8">
        <f ca="1">_xll.RiskLogistic(0.0032402,0.086856,_xll.RiskTruncate(-0.99,0.99),_xll.RiskCorrmat(NewMatrix2,3,"6/1/2051"))</f>
        <v>3.2394610984861627E-3</v>
      </c>
      <c r="PV85" s="8">
        <f ca="1">_xll.RiskLogistic(0.0032402,0.086856,_xll.RiskTruncate(-0.99,0.99),_xll.RiskCorrmat(NewMatrix2,3,"7/1/2051"))</f>
        <v>3.2394610984861627E-3</v>
      </c>
      <c r="PW85" s="8">
        <f ca="1">_xll.RiskLogistic(0.0032402,0.086856,_xll.RiskTruncate(-0.99,0.99),_xll.RiskCorrmat(NewMatrix2,3,"8/1/2051"))</f>
        <v>3.2394610984861627E-3</v>
      </c>
      <c r="PX85" s="8">
        <f ca="1">_xll.RiskLogistic(0.0032402,0.086856,_xll.RiskTruncate(-0.99,0.99),_xll.RiskCorrmat(NewMatrix2,3,"9/1/2051"))</f>
        <v>3.2394610984861627E-3</v>
      </c>
      <c r="PY85" s="8">
        <f ca="1">_xll.RiskLogistic(0.0032402,0.086856,_xll.RiskTruncate(-0.99,0.99),_xll.RiskCorrmat(NewMatrix2,3,"10/1/2051"))</f>
        <v>3.2394610984861627E-3</v>
      </c>
      <c r="PZ85" s="8">
        <f ca="1">_xll.RiskLogistic(0.0032402,0.086856,_xll.RiskTruncate(-0.99,0.99),_xll.RiskCorrmat(NewMatrix2,3,"11/1/2051"))</f>
        <v>3.2394610984861627E-3</v>
      </c>
      <c r="QA85" s="8">
        <f ca="1">_xll.RiskLogistic(0.0032402,0.086856,_xll.RiskTruncate(-0.99,0.99),_xll.RiskCorrmat(NewMatrix2,3,"12/1/2051"))</f>
        <v>3.2394610984861627E-3</v>
      </c>
      <c r="QB85" s="8">
        <f ca="1">_xll.RiskLogistic(0.0032402,0.086856,_xll.RiskTruncate(-0.99,0.99),_xll.RiskCorrmat(NewMatrix2,3,"1/1/2052"))</f>
        <v>3.2394610984861627E-3</v>
      </c>
      <c r="QC85" s="8">
        <f ca="1">_xll.RiskLogistic(0.0032402,0.086856,_xll.RiskTruncate(-0.99,0.99),_xll.RiskCorrmat(NewMatrix2,3,"2/1/2052"))</f>
        <v>3.2394610984861627E-3</v>
      </c>
      <c r="QD85" s="8">
        <f ca="1">_xll.RiskLogistic(0.0032402,0.086856,_xll.RiskTruncate(-0.99,0.99),_xll.RiskCorrmat(NewMatrix2,3,"3/1/2052"))</f>
        <v>3.2394610984861627E-3</v>
      </c>
      <c r="QE85" s="8">
        <f ca="1">_xll.RiskLogistic(0.0032402,0.086856,_xll.RiskTruncate(-0.99,0.99),_xll.RiskCorrmat(NewMatrix2,3,"4/1/2052"))</f>
        <v>3.2394610984861627E-3</v>
      </c>
      <c r="QF85" s="8">
        <f ca="1">_xll.RiskLogistic(0.0032402,0.086856,_xll.RiskTruncate(-0.99,0.99),_xll.RiskCorrmat(NewMatrix2,3,"5/1/2052"))</f>
        <v>3.2394610984861627E-3</v>
      </c>
      <c r="QG85" s="8">
        <f ca="1">_xll.RiskLogistic(0.0032402,0.086856,_xll.RiskTruncate(-0.99,0.99),_xll.RiskCorrmat(NewMatrix2,3,"6/1/2052"))</f>
        <v>3.2394610984861627E-3</v>
      </c>
      <c r="QH85" s="8">
        <f ca="1">_xll.RiskLogistic(0.0032402,0.086856,_xll.RiskTruncate(-0.99,0.99),_xll.RiskCorrmat(NewMatrix2,3,"7/1/2052"))</f>
        <v>3.2394610984861627E-3</v>
      </c>
      <c r="QI85" s="8">
        <f ca="1">_xll.RiskLogistic(0.0032402,0.086856,_xll.RiskTruncate(-0.99,0.99),_xll.RiskCorrmat(NewMatrix2,3,"8/1/2052"))</f>
        <v>3.2394610984861627E-3</v>
      </c>
      <c r="QJ85" s="8">
        <f ca="1">_xll.RiskLogistic(0.0032402,0.086856,_xll.RiskTruncate(-0.99,0.99),_xll.RiskCorrmat(NewMatrix2,3,"9/1/2052"))</f>
        <v>3.2394610984861627E-3</v>
      </c>
      <c r="QK85" s="8">
        <f ca="1">_xll.RiskLogistic(0.0032402,0.086856,_xll.RiskTruncate(-0.99,0.99),_xll.RiskCorrmat(NewMatrix2,3,"10/1/2052"))</f>
        <v>3.2394610984861627E-3</v>
      </c>
      <c r="QL85" s="8">
        <f ca="1">_xll.RiskLogistic(0.0032402,0.086856,_xll.RiskTruncate(-0.99,0.99),_xll.RiskCorrmat(NewMatrix2,3,"11/1/2052"))</f>
        <v>3.2394610984861627E-3</v>
      </c>
      <c r="QM85" s="8">
        <f ca="1">_xll.RiskLogistic(0.0032402,0.086856,_xll.RiskTruncate(-0.99,0.99),_xll.RiskCorrmat(NewMatrix2,3,"12/1/2052"))</f>
        <v>3.2394610984861627E-3</v>
      </c>
      <c r="QN85" s="8">
        <f ca="1">_xll.RiskLogistic(0.0032402,0.086856,_xll.RiskTruncate(-0.99,0.99),_xll.RiskCorrmat(NewMatrix2,3,"1/1/2053"))</f>
        <v>3.2394610984861627E-3</v>
      </c>
      <c r="QO85" s="8">
        <f ca="1">_xll.RiskLogistic(0.0032402,0.086856,_xll.RiskTruncate(-0.99,0.99),_xll.RiskCorrmat(NewMatrix2,3,"2/1/2053"))</f>
        <v>3.2394610984861627E-3</v>
      </c>
      <c r="QP85" s="8">
        <f ca="1">_xll.RiskLogistic(0.0032402,0.086856,_xll.RiskTruncate(-0.99,0.99),_xll.RiskCorrmat(NewMatrix2,3,"3/1/2053"))</f>
        <v>3.2394610984861627E-3</v>
      </c>
      <c r="QQ85" s="8">
        <f ca="1">_xll.RiskLogistic(0.0032402,0.086856,_xll.RiskTruncate(-0.99,0.99),_xll.RiskCorrmat(NewMatrix2,3,"4/1/2053"))</f>
        <v>3.2394610984861627E-3</v>
      </c>
      <c r="QR85" s="8">
        <f ca="1">_xll.RiskLogistic(0.0032402,0.086856,_xll.RiskTruncate(-0.99,0.99),_xll.RiskCorrmat(NewMatrix2,3,"5/1/2053"))</f>
        <v>3.2394610984861627E-3</v>
      </c>
      <c r="QS85" s="8">
        <f ca="1">_xll.RiskLogistic(0.0032402,0.086856,_xll.RiskTruncate(-0.99,0.99),_xll.RiskCorrmat(NewMatrix2,3,"6/1/2053"))</f>
        <v>3.2394610984861627E-3</v>
      </c>
      <c r="QT85" s="8">
        <f ca="1">_xll.RiskLogistic(0.0032402,0.086856,_xll.RiskTruncate(-0.99,0.99),_xll.RiskCorrmat(NewMatrix2,3,"7/1/2053"))</f>
        <v>3.2394610984861627E-3</v>
      </c>
      <c r="QU85" s="8">
        <f ca="1">_xll.RiskLogistic(0.0032402,0.086856,_xll.RiskTruncate(-0.99,0.99),_xll.RiskCorrmat(NewMatrix2,3,"8/1/2053"))</f>
        <v>3.2394610984861627E-3</v>
      </c>
      <c r="QV85" s="8">
        <f ca="1">_xll.RiskLogistic(0.0032402,0.086856,_xll.RiskTruncate(-0.99,0.99),_xll.RiskCorrmat(NewMatrix2,3,"9/1/2053"))</f>
        <v>3.2394610984861627E-3</v>
      </c>
      <c r="QW85" s="8">
        <f ca="1">_xll.RiskLogistic(0.0032402,0.086856,_xll.RiskTruncate(-0.99,0.99),_xll.RiskCorrmat(NewMatrix2,3,"10/1/2053"))</f>
        <v>3.2394610984861627E-3</v>
      </c>
      <c r="QX85" s="8">
        <f ca="1">_xll.RiskLogistic(0.0032402,0.086856,_xll.RiskTruncate(-0.99,0.99),_xll.RiskCorrmat(NewMatrix2,3,"11/1/2053"))</f>
        <v>3.2394610984861627E-3</v>
      </c>
      <c r="QY85" s="8">
        <f ca="1">_xll.RiskLogistic(0.0032402,0.086856,_xll.RiskTruncate(-0.99,0.99),_xll.RiskCorrmat(NewMatrix2,3,"12/1/2053"))</f>
        <v>3.2394610984861627E-3</v>
      </c>
      <c r="QZ85" s="8">
        <f ca="1">_xll.RiskLogistic(0.0032402,0.086856,_xll.RiskTruncate(-0.99,0.99),_xll.RiskCorrmat(NewMatrix2,3,"1/1/2054"))</f>
        <v>3.2394610984861627E-3</v>
      </c>
      <c r="RA85" s="8">
        <f ca="1">_xll.RiskLogistic(0.0032402,0.086856,_xll.RiskTruncate(-0.99,0.99),_xll.RiskCorrmat(NewMatrix2,3,"2/1/2054"))</f>
        <v>3.2394610984861627E-3</v>
      </c>
      <c r="RB85" s="8">
        <f ca="1">_xll.RiskLogistic(0.0032402,0.086856,_xll.RiskTruncate(-0.99,0.99),_xll.RiskCorrmat(NewMatrix2,3,"3/1/2054"))</f>
        <v>3.2394610984861627E-3</v>
      </c>
      <c r="RC85" s="8">
        <f ca="1">_xll.RiskLogistic(0.0032402,0.086856,_xll.RiskTruncate(-0.99,0.99),_xll.RiskCorrmat(NewMatrix2,3,"4/1/2054"))</f>
        <v>3.2394610984861627E-3</v>
      </c>
      <c r="RD85" s="8">
        <f ca="1">_xll.RiskLogistic(0.0032402,0.086856,_xll.RiskTruncate(-0.99,0.99),_xll.RiskCorrmat(NewMatrix2,3,"5/1/2054"))</f>
        <v>3.2394610984861627E-3</v>
      </c>
      <c r="RE85" s="8">
        <f ca="1">_xll.RiskLogistic(0.0032402,0.086856,_xll.RiskTruncate(-0.99,0.99),_xll.RiskCorrmat(NewMatrix2,3,"6/1/2054"))</f>
        <v>3.2394610984861627E-3</v>
      </c>
      <c r="RF85" s="8">
        <f ca="1">_xll.RiskLogistic(0.0032402,0.086856,_xll.RiskTruncate(-0.99,0.99),_xll.RiskCorrmat(NewMatrix2,3,"7/1/2054"))</f>
        <v>3.2394610984861627E-3</v>
      </c>
      <c r="RG85" s="8">
        <f ca="1">_xll.RiskLogistic(0.0032402,0.086856,_xll.RiskTruncate(-0.99,0.99),_xll.RiskCorrmat(NewMatrix2,3,"8/1/2054"))</f>
        <v>3.2394610984861627E-3</v>
      </c>
      <c r="RH85" s="8">
        <f ca="1">_xll.RiskLogistic(0.0032402,0.086856,_xll.RiskTruncate(-0.99,0.99),_xll.RiskCorrmat(NewMatrix2,3,"9/1/2054"))</f>
        <v>3.2394610984861627E-3</v>
      </c>
      <c r="RI85" s="8">
        <f ca="1">_xll.RiskLogistic(0.0032402,0.086856,_xll.RiskTruncate(-0.99,0.99),_xll.RiskCorrmat(NewMatrix2,3,"10/1/2054"))</f>
        <v>3.2394610984861627E-3</v>
      </c>
      <c r="RJ85" s="8">
        <f ca="1">_xll.RiskLogistic(0.0032402,0.086856,_xll.RiskTruncate(-0.99,0.99),_xll.RiskCorrmat(NewMatrix2,3,"11/1/2054"))</f>
        <v>3.2394610984861627E-3</v>
      </c>
      <c r="RK85" s="8">
        <f ca="1">_xll.RiskLogistic(0.0032402,0.086856,_xll.RiskTruncate(-0.99,0.99),_xll.RiskCorrmat(NewMatrix2,3,"12/1/2054"))</f>
        <v>3.2394610984861627E-3</v>
      </c>
      <c r="RL85" s="8">
        <f ca="1">_xll.RiskLogistic(0.0032402,0.086856,_xll.RiskTruncate(-0.99,0.99),_xll.RiskCorrmat(NewMatrix2,3,"1/1/2055"))</f>
        <v>3.2394610984861627E-3</v>
      </c>
      <c r="RM85" s="8">
        <f ca="1">_xll.RiskLogistic(0.0032402,0.086856,_xll.RiskTruncate(-0.99,0.99),_xll.RiskCorrmat(NewMatrix2,3,"2/1/2055"))</f>
        <v>3.2394610984861627E-3</v>
      </c>
      <c r="RN85" s="8">
        <f ca="1">_xll.RiskLogistic(0.0032402,0.086856,_xll.RiskTruncate(-0.99,0.99),_xll.RiskCorrmat(NewMatrix2,3,"3/1/2055"))</f>
        <v>3.2394610984861627E-3</v>
      </c>
      <c r="RO85" s="8">
        <f ca="1">_xll.RiskLogistic(0.0032402,0.086856,_xll.RiskTruncate(-0.99,0.99),_xll.RiskCorrmat(NewMatrix2,3,"4/1/2055"))</f>
        <v>3.2394610984861627E-3</v>
      </c>
      <c r="RP85" s="8">
        <f ca="1">_xll.RiskLogistic(0.0032402,0.086856,_xll.RiskTruncate(-0.99,0.99),_xll.RiskCorrmat(NewMatrix2,3,"5/1/2055"))</f>
        <v>3.2394610984861627E-3</v>
      </c>
      <c r="RQ85" s="8">
        <f ca="1">_xll.RiskLogistic(0.0032402,0.086856,_xll.RiskTruncate(-0.99,0.99),_xll.RiskCorrmat(NewMatrix2,3,"6/1/2055"))</f>
        <v>3.2394610984861627E-3</v>
      </c>
      <c r="RR85" s="8">
        <f ca="1">_xll.RiskLogistic(0.0032402,0.086856,_xll.RiskTruncate(-0.99,0.99),_xll.RiskCorrmat(NewMatrix2,3,"7/1/2055"))</f>
        <v>3.2394610984861627E-3</v>
      </c>
    </row>
    <row r="86" spans="1:486" s="9" customFormat="1">
      <c r="A86" s="289"/>
      <c r="B86" s="66" t="s">
        <v>235</v>
      </c>
      <c r="E86" s="1">
        <f>C45</f>
        <v>77.650000000000006</v>
      </c>
      <c r="F86" s="1">
        <f ca="1">IF($C$61=1,(1+F82)*E86,(1+F83)*E86)</f>
        <v>77.901586098220918</v>
      </c>
      <c r="G86" s="1">
        <f ca="1">IF($C$61=1,(1+G82)*F86,(1+G83)*F86)</f>
        <v>78.153987335718298</v>
      </c>
      <c r="H86" s="1">
        <f t="shared" ref="H86:BS86" ca="1" si="29">IF($C$61=1,(1+H82)*G86,(1+H83)*G86)</f>
        <v>78.407206353544439</v>
      </c>
      <c r="I86" s="1">
        <f t="shared" ca="1" si="29"/>
        <v>78.661245801308638</v>
      </c>
      <c r="J86" s="1">
        <f t="shared" ca="1" si="29"/>
        <v>78.916108337204932</v>
      </c>
      <c r="K86" s="1">
        <f t="shared" ca="1" si="29"/>
        <v>79.1717966280399</v>
      </c>
      <c r="L86" s="1">
        <f t="shared" ca="1" si="29"/>
        <v>79.428313349260605</v>
      </c>
      <c r="M86" s="1">
        <f t="shared" ca="1" si="29"/>
        <v>79.685661184982536</v>
      </c>
      <c r="N86" s="1">
        <f t="shared" ca="1" si="29"/>
        <v>79.943842828017736</v>
      </c>
      <c r="O86" s="1">
        <f t="shared" ca="1" si="29"/>
        <v>80.202860979902937</v>
      </c>
      <c r="P86" s="1">
        <f t="shared" ca="1" si="29"/>
        <v>80.462718350927886</v>
      </c>
      <c r="Q86" s="1">
        <f t="shared" ca="1" si="29"/>
        <v>80.723417660163662</v>
      </c>
      <c r="R86" s="1">
        <f t="shared" ca="1" si="29"/>
        <v>80.984961635491118</v>
      </c>
      <c r="S86" s="1">
        <f t="shared" ca="1" si="29"/>
        <v>81.247353013629464</v>
      </c>
      <c r="T86" s="1">
        <f t="shared" ca="1" si="29"/>
        <v>81.510594540164888</v>
      </c>
      <c r="U86" s="1">
        <f t="shared" ca="1" si="29"/>
        <v>81.774688969579259</v>
      </c>
      <c r="V86" s="1">
        <f t="shared" ca="1" si="29"/>
        <v>82.03963906527899</v>
      </c>
      <c r="W86" s="1">
        <f t="shared" ca="1" si="29"/>
        <v>82.305447599623932</v>
      </c>
      <c r="X86" s="1">
        <f t="shared" ca="1" si="29"/>
        <v>82.572117353956386</v>
      </c>
      <c r="Y86" s="1">
        <f t="shared" ca="1" si="29"/>
        <v>82.839651118630186</v>
      </c>
      <c r="Z86" s="1">
        <f t="shared" ca="1" si="29"/>
        <v>83.10805169303994</v>
      </c>
      <c r="AA86" s="1">
        <f t="shared" ca="1" si="29"/>
        <v>83.377321885650289</v>
      </c>
      <c r="AB86" s="1">
        <f t="shared" ca="1" si="29"/>
        <v>83.647464514025302</v>
      </c>
      <c r="AC86" s="1">
        <f t="shared" ca="1" si="29"/>
        <v>83.918482404857954</v>
      </c>
      <c r="AD86" s="1">
        <f t="shared" ca="1" si="29"/>
        <v>84.190378393999723</v>
      </c>
      <c r="AE86" s="1">
        <f t="shared" ca="1" si="29"/>
        <v>84.463155326490238</v>
      </c>
      <c r="AF86" s="1">
        <f t="shared" ca="1" si="29"/>
        <v>84.73681605658706</v>
      </c>
      <c r="AG86" s="1">
        <f t="shared" ca="1" si="29"/>
        <v>85.011363447795546</v>
      </c>
      <c r="AH86" s="1">
        <f t="shared" ca="1" si="29"/>
        <v>85.286800372898838</v>
      </c>
      <c r="AI86" s="1">
        <f t="shared" ca="1" si="29"/>
        <v>85.563129713987863</v>
      </c>
      <c r="AJ86" s="1">
        <f t="shared" ca="1" si="29"/>
        <v>85.840354362491553</v>
      </c>
      <c r="AK86" s="1">
        <f t="shared" ca="1" si="29"/>
        <v>86.118477219207065</v>
      </c>
      <c r="AL86" s="1">
        <f t="shared" ca="1" si="29"/>
        <v>86.397501194330133</v>
      </c>
      <c r="AM86" s="1">
        <f t="shared" ca="1" si="29"/>
        <v>86.677429207485545</v>
      </c>
      <c r="AN86" s="1">
        <f t="shared" ca="1" si="29"/>
        <v>86.958264187757663</v>
      </c>
      <c r="AO86" s="1">
        <f t="shared" ca="1" si="29"/>
        <v>87.240009073721097</v>
      </c>
      <c r="AP86" s="1">
        <f t="shared" ca="1" si="29"/>
        <v>87.522666813471432</v>
      </c>
      <c r="AQ86" s="1">
        <f t="shared" ca="1" si="29"/>
        <v>87.806240364656105</v>
      </c>
      <c r="AR86" s="1">
        <f t="shared" ca="1" si="29"/>
        <v>88.090732694505306</v>
      </c>
      <c r="AS86" s="1">
        <f t="shared" ca="1" si="29"/>
        <v>88.376146779863078</v>
      </c>
      <c r="AT86" s="1">
        <f t="shared" ca="1" si="29"/>
        <v>88.662485607218443</v>
      </c>
      <c r="AU86" s="1">
        <f t="shared" ca="1" si="29"/>
        <v>88.949752172736638</v>
      </c>
      <c r="AV86" s="1">
        <f t="shared" ca="1" si="29"/>
        <v>89.237949482290475</v>
      </c>
      <c r="AW86" s="1">
        <f t="shared" ca="1" si="29"/>
        <v>89.527080551491807</v>
      </c>
      <c r="AX86" s="1">
        <f t="shared" ca="1" si="29"/>
        <v>89.817148405723088</v>
      </c>
      <c r="AY86" s="1">
        <f t="shared" ca="1" si="29"/>
        <v>90.108156080168982</v>
      </c>
      <c r="AZ86" s="1">
        <f t="shared" ca="1" si="29"/>
        <v>90.400106619848188</v>
      </c>
      <c r="BA86" s="1">
        <f t="shared" ca="1" si="29"/>
        <v>90.693003079645251</v>
      </c>
      <c r="BB86" s="1">
        <f t="shared" ca="1" si="29"/>
        <v>90.986848524342548</v>
      </c>
      <c r="BC86" s="1">
        <f t="shared" ca="1" si="29"/>
        <v>91.281646028652347</v>
      </c>
      <c r="BD86" s="1">
        <f t="shared" ca="1" si="29"/>
        <v>91.577398677249008</v>
      </c>
      <c r="BE86" s="1">
        <f t="shared" ca="1" si="29"/>
        <v>91.874109564801216</v>
      </c>
      <c r="BF86" s="1">
        <f t="shared" ca="1" si="29"/>
        <v>92.17178179600441</v>
      </c>
      <c r="BG86" s="1">
        <f t="shared" ca="1" si="29"/>
        <v>92.470418485613237</v>
      </c>
      <c r="BH86" s="1">
        <f t="shared" ca="1" si="29"/>
        <v>92.770022758474155</v>
      </c>
      <c r="BI86" s="1">
        <f t="shared" ca="1" si="29"/>
        <v>93.070597749558118</v>
      </c>
      <c r="BJ86" s="1">
        <f t="shared" ca="1" si="29"/>
        <v>93.372146603993386</v>
      </c>
      <c r="BK86" s="1">
        <f t="shared" ca="1" si="29"/>
        <v>93.674672477098468</v>
      </c>
      <c r="BL86" s="1">
        <f t="shared" ca="1" si="29"/>
        <v>93.978178534415079</v>
      </c>
      <c r="BM86" s="1">
        <f t="shared" ca="1" si="29"/>
        <v>94.282667951741303</v>
      </c>
      <c r="BN86" s="1">
        <f t="shared" ca="1" si="29"/>
        <v>94.588143915164821</v>
      </c>
      <c r="BO86" s="1">
        <f t="shared" ca="1" si="29"/>
        <v>94.894609621096222</v>
      </c>
      <c r="BP86" s="1">
        <f t="shared" ca="1" si="29"/>
        <v>95.202068276302498</v>
      </c>
      <c r="BQ86" s="1">
        <f t="shared" ca="1" si="29"/>
        <v>95.510523097940563</v>
      </c>
      <c r="BR86" s="1">
        <f t="shared" ca="1" si="29"/>
        <v>95.819977313590897</v>
      </c>
      <c r="BS86" s="1">
        <f t="shared" ca="1" si="29"/>
        <v>96.130434161291376</v>
      </c>
      <c r="BT86" s="1">
        <f t="shared" ref="BT86:EE86" ca="1" si="30">IF($C$61=1,(1+BT82)*BS86,(1+BT83)*BS86)</f>
        <v>96.441896889571112</v>
      </c>
      <c r="BU86" s="1">
        <f t="shared" ca="1" si="30"/>
        <v>96.754368757484443</v>
      </c>
      <c r="BV86" s="1">
        <f t="shared" ca="1" si="30"/>
        <v>97.067853034645069</v>
      </c>
      <c r="BW86" s="1">
        <f t="shared" ca="1" si="30"/>
        <v>97.382353001260228</v>
      </c>
      <c r="BX86" s="1">
        <f t="shared" ca="1" si="30"/>
        <v>97.69787194816503</v>
      </c>
      <c r="BY86" s="1">
        <f t="shared" ca="1" si="30"/>
        <v>98.014413176856905</v>
      </c>
      <c r="BZ86" s="1">
        <f t="shared" ca="1" si="30"/>
        <v>98.331979999530148</v>
      </c>
      <c r="CA86" s="1">
        <f t="shared" ca="1" si="30"/>
        <v>98.65057573911055</v>
      </c>
      <c r="CB86" s="1">
        <f t="shared" ca="1" si="30"/>
        <v>98.970203729290191</v>
      </c>
      <c r="CC86" s="1">
        <f t="shared" ca="1" si="30"/>
        <v>99.29086731456232</v>
      </c>
      <c r="CD86" s="1">
        <f t="shared" ca="1" si="30"/>
        <v>99.612569850256335</v>
      </c>
      <c r="CE86" s="1">
        <f t="shared" ca="1" si="30"/>
        <v>99.935314702572924</v>
      </c>
      <c r="CF86" s="1">
        <f t="shared" ca="1" si="30"/>
        <v>100.25910524861926</v>
      </c>
      <c r="CG86" s="1">
        <f t="shared" ca="1" si="30"/>
        <v>100.58394487644436</v>
      </c>
      <c r="CH86" s="1">
        <f t="shared" ca="1" si="30"/>
        <v>100.90983698507452</v>
      </c>
      <c r="CI86" s="1">
        <f t="shared" ca="1" si="30"/>
        <v>101.23678498454886</v>
      </c>
      <c r="CJ86" s="1">
        <f t="shared" ca="1" si="30"/>
        <v>101.56479229595506</v>
      </c>
      <c r="CK86" s="1">
        <f t="shared" ca="1" si="30"/>
        <v>101.89386235146512</v>
      </c>
      <c r="CL86" s="1">
        <f t="shared" ca="1" si="30"/>
        <v>102.22399859437128</v>
      </c>
      <c r="CM86" s="1">
        <f t="shared" ca="1" si="30"/>
        <v>102.55520447912205</v>
      </c>
      <c r="CN86" s="1">
        <f t="shared" ca="1" si="30"/>
        <v>102.88748347135837</v>
      </c>
      <c r="CO86" s="1">
        <f t="shared" ca="1" si="30"/>
        <v>103.22083904794982</v>
      </c>
      <c r="CP86" s="1">
        <f t="shared" ca="1" si="30"/>
        <v>103.55527469703111</v>
      </c>
      <c r="CQ86" s="1">
        <f t="shared" ca="1" si="30"/>
        <v>103.89079391803845</v>
      </c>
      <c r="CR86" s="1">
        <f t="shared" ca="1" si="30"/>
        <v>104.22740022174627</v>
      </c>
      <c r="CS86" s="1">
        <f t="shared" ca="1" si="30"/>
        <v>104.56509713030387</v>
      </c>
      <c r="CT86" s="1">
        <f t="shared" ca="1" si="30"/>
        <v>104.90388817727236</v>
      </c>
      <c r="CU86" s="1">
        <f t="shared" ca="1" si="30"/>
        <v>105.24377690766157</v>
      </c>
      <c r="CV86" s="1">
        <f t="shared" ca="1" si="30"/>
        <v>105.58476687796717</v>
      </c>
      <c r="CW86" s="1">
        <f t="shared" ca="1" si="30"/>
        <v>105.92686165620789</v>
      </c>
      <c r="CX86" s="1">
        <f t="shared" ca="1" si="30"/>
        <v>106.27006482196283</v>
      </c>
      <c r="CY86" s="1">
        <f t="shared" ca="1" si="30"/>
        <v>106.61437996640895</v>
      </c>
      <c r="CZ86" s="1">
        <f t="shared" ca="1" si="30"/>
        <v>106.95981069235859</v>
      </c>
      <c r="DA86" s="1">
        <f t="shared" ca="1" si="30"/>
        <v>107.30636061429725</v>
      </c>
      <c r="DB86" s="1">
        <f t="shared" ca="1" si="30"/>
        <v>107.65403335842134</v>
      </c>
      <c r="DC86" s="1">
        <f t="shared" ca="1" si="30"/>
        <v>108.00283256267619</v>
      </c>
      <c r="DD86" s="1">
        <f t="shared" ca="1" si="30"/>
        <v>108.35276187679402</v>
      </c>
      <c r="DE86" s="1">
        <f t="shared" ca="1" si="30"/>
        <v>108.70382496233222</v>
      </c>
      <c r="DF86" s="1">
        <f t="shared" ca="1" si="30"/>
        <v>109.05602549271164</v>
      </c>
      <c r="DG86" s="1">
        <f t="shared" ca="1" si="30"/>
        <v>109.40936715325499</v>
      </c>
      <c r="DH86" s="1">
        <f t="shared" ca="1" si="30"/>
        <v>109.76385364122545</v>
      </c>
      <c r="DI86" s="1">
        <f t="shared" ca="1" si="30"/>
        <v>110.11948866586533</v>
      </c>
      <c r="DJ86" s="1">
        <f t="shared" ca="1" si="30"/>
        <v>110.47627594843489</v>
      </c>
      <c r="DK86" s="1">
        <f t="shared" ca="1" si="30"/>
        <v>110.83421922225128</v>
      </c>
      <c r="DL86" s="1">
        <f t="shared" ca="1" si="30"/>
        <v>111.19332223272761</v>
      </c>
      <c r="DM86" s="1">
        <f t="shared" ca="1" si="30"/>
        <v>111.55358873741211</v>
      </c>
      <c r="DN86" s="1">
        <f t="shared" ca="1" si="30"/>
        <v>111.9150225060275</v>
      </c>
      <c r="DO86" s="1">
        <f t="shared" ca="1" si="30"/>
        <v>112.27762732051039</v>
      </c>
      <c r="DP86" s="1">
        <f t="shared" ca="1" si="30"/>
        <v>112.64140697505087</v>
      </c>
      <c r="DQ86" s="1">
        <f t="shared" ca="1" si="30"/>
        <v>113.00636527613221</v>
      </c>
      <c r="DR86" s="1">
        <f t="shared" ca="1" si="30"/>
        <v>113.37250604257071</v>
      </c>
      <c r="DS86" s="1">
        <f t="shared" ca="1" si="30"/>
        <v>113.73983310555559</v>
      </c>
      <c r="DT86" s="1">
        <f t="shared" ca="1" si="30"/>
        <v>114.10835030868918</v>
      </c>
      <c r="DU86" s="1">
        <f t="shared" ca="1" si="30"/>
        <v>114.47806150802708</v>
      </c>
      <c r="DV86" s="1">
        <f t="shared" ca="1" si="30"/>
        <v>114.84897057211849</v>
      </c>
      <c r="DW86" s="1">
        <f t="shared" ca="1" si="30"/>
        <v>115.22108138204672</v>
      </c>
      <c r="DX86" s="1">
        <f t="shared" ca="1" si="30"/>
        <v>115.59439783146981</v>
      </c>
      <c r="DY86" s="1">
        <f t="shared" ca="1" si="30"/>
        <v>115.96892382666124</v>
      </c>
      <c r="DZ86" s="1">
        <f t="shared" ca="1" si="30"/>
        <v>116.34466328655084</v>
      </c>
      <c r="EA86" s="1">
        <f t="shared" ca="1" si="30"/>
        <v>116.72162014276576</v>
      </c>
      <c r="EB86" s="1">
        <f t="shared" ca="1" si="30"/>
        <v>117.09979833967164</v>
      </c>
      <c r="EC86" s="1">
        <f t="shared" ca="1" si="30"/>
        <v>117.47920183441386</v>
      </c>
      <c r="ED86" s="1">
        <f t="shared" ca="1" si="30"/>
        <v>117.85983459695895</v>
      </c>
      <c r="EE86" s="1">
        <f t="shared" ca="1" si="30"/>
        <v>118.24170061013615</v>
      </c>
      <c r="EF86" s="1">
        <f t="shared" ref="EF86:GQ86" ca="1" si="31">IF($C$61=1,(1+EF82)*EE86,(1+EF83)*EE86)</f>
        <v>118.62480386967908</v>
      </c>
      <c r="EG86" s="1">
        <f t="shared" ca="1" si="31"/>
        <v>119.00914838426753</v>
      </c>
      <c r="EH86" s="1">
        <f t="shared" ca="1" si="31"/>
        <v>119.39473817556942</v>
      </c>
      <c r="EI86" s="1">
        <f t="shared" ca="1" si="31"/>
        <v>119.78157727828285</v>
      </c>
      <c r="EJ86" s="1">
        <f t="shared" ca="1" si="31"/>
        <v>120.16966974017839</v>
      </c>
      <c r="EK86" s="1">
        <f t="shared" ca="1" si="31"/>
        <v>120.55901962214138</v>
      </c>
      <c r="EL86" s="1">
        <f t="shared" ca="1" si="31"/>
        <v>120.94963099821443</v>
      </c>
      <c r="EM86" s="1">
        <f t="shared" ca="1" si="31"/>
        <v>121.34150795564005</v>
      </c>
      <c r="EN86" s="1">
        <f t="shared" ca="1" si="31"/>
        <v>121.73465459490342</v>
      </c>
      <c r="EO86" s="1">
        <f t="shared" ca="1" si="31"/>
        <v>122.12907502977529</v>
      </c>
      <c r="EP86" s="1">
        <f t="shared" ca="1" si="31"/>
        <v>122.52477338735507</v>
      </c>
      <c r="EQ86" s="1">
        <f t="shared" ca="1" si="31"/>
        <v>122.92175380811393</v>
      </c>
      <c r="ER86" s="1">
        <f t="shared" ca="1" si="31"/>
        <v>123.3200204459382</v>
      </c>
      <c r="ES86" s="1">
        <f t="shared" ca="1" si="31"/>
        <v>123.71957746817279</v>
      </c>
      <c r="ET86" s="1">
        <f t="shared" ca="1" si="31"/>
        <v>124.12042905566483</v>
      </c>
      <c r="EU86" s="1">
        <f t="shared" ca="1" si="31"/>
        <v>124.52257940280738</v>
      </c>
      <c r="EV86" s="1">
        <f t="shared" ca="1" si="31"/>
        <v>124.92603271758337</v>
      </c>
      <c r="EW86" s="1">
        <f t="shared" ca="1" si="31"/>
        <v>125.33079322160957</v>
      </c>
      <c r="EX86" s="1">
        <f t="shared" ca="1" si="31"/>
        <v>125.73686515018079</v>
      </c>
      <c r="EY86" s="1">
        <f t="shared" ca="1" si="31"/>
        <v>126.14425275231424</v>
      </c>
      <c r="EZ86" s="1">
        <f t="shared" ca="1" si="31"/>
        <v>126.55296029079392</v>
      </c>
      <c r="FA86" s="1">
        <f t="shared" ca="1" si="31"/>
        <v>126.96299204221525</v>
      </c>
      <c r="FB86" s="1">
        <f t="shared" ca="1" si="31"/>
        <v>127.37435229702984</v>
      </c>
      <c r="FC86" s="1">
        <f t="shared" ca="1" si="31"/>
        <v>127.78704535959037</v>
      </c>
      <c r="FD86" s="1">
        <f t="shared" ca="1" si="31"/>
        <v>128.2010755481956</v>
      </c>
      <c r="FE86" s="1">
        <f t="shared" ca="1" si="31"/>
        <v>128.61644719513563</v>
      </c>
      <c r="FF86" s="1">
        <f t="shared" ca="1" si="31"/>
        <v>129.03316464673716</v>
      </c>
      <c r="FG86" s="1">
        <f t="shared" ca="1" si="31"/>
        <v>129.451232263409</v>
      </c>
      <c r="FH86" s="1">
        <f t="shared" ca="1" si="31"/>
        <v>129.87065441968767</v>
      </c>
      <c r="FI86" s="1">
        <f t="shared" ca="1" si="31"/>
        <v>130.29143550428321</v>
      </c>
      <c r="FJ86" s="1">
        <f t="shared" ca="1" si="31"/>
        <v>130.71357992012511</v>
      </c>
      <c r="FK86" s="1">
        <f t="shared" ca="1" si="31"/>
        <v>131.13709208440832</v>
      </c>
      <c r="FL86" s="1">
        <f t="shared" ca="1" si="31"/>
        <v>131.56197642863953</v>
      </c>
      <c r="FM86" s="1">
        <f t="shared" ca="1" si="31"/>
        <v>131.98823739868348</v>
      </c>
      <c r="FN86" s="1">
        <f t="shared" ca="1" si="31"/>
        <v>132.41587945480956</v>
      </c>
      <c r="FO86" s="1">
        <f t="shared" ca="1" si="31"/>
        <v>132.84490707173842</v>
      </c>
      <c r="FP86" s="1">
        <f t="shared" ca="1" si="31"/>
        <v>133.27532473868879</v>
      </c>
      <c r="FQ86" s="1">
        <f t="shared" ca="1" si="31"/>
        <v>133.70713695942453</v>
      </c>
      <c r="FR86" s="1">
        <f t="shared" ca="1" si="31"/>
        <v>134.14034825230166</v>
      </c>
      <c r="FS86" s="1">
        <f t="shared" ca="1" si="31"/>
        <v>134.57496315031571</v>
      </c>
      <c r="FT86" s="1">
        <f t="shared" ca="1" si="31"/>
        <v>135.01098620114908</v>
      </c>
      <c r="FU86" s="1">
        <f t="shared" ca="1" si="31"/>
        <v>135.44842196721868</v>
      </c>
      <c r="FV86" s="1">
        <f t="shared" ca="1" si="31"/>
        <v>135.88727502572365</v>
      </c>
      <c r="FW86" s="1">
        <f t="shared" ca="1" si="31"/>
        <v>136.32754996869329</v>
      </c>
      <c r="FX86" s="1">
        <f t="shared" ca="1" si="31"/>
        <v>136.76925140303507</v>
      </c>
      <c r="FY86" s="1">
        <f t="shared" ca="1" si="31"/>
        <v>137.21238395058285</v>
      </c>
      <c r="FZ86" s="1">
        <f t="shared" ca="1" si="31"/>
        <v>137.65695224814519</v>
      </c>
      <c r="GA86" s="1">
        <f t="shared" ca="1" si="31"/>
        <v>138.10296094755398</v>
      </c>
      <c r="GB86" s="1">
        <f t="shared" ca="1" si="31"/>
        <v>138.55041471571303</v>
      </c>
      <c r="GC86" s="1">
        <f t="shared" ca="1" si="31"/>
        <v>138.99931823464689</v>
      </c>
      <c r="GD86" s="1">
        <f t="shared" ca="1" si="31"/>
        <v>139.44967620154992</v>
      </c>
      <c r="GE86" s="1">
        <f t="shared" ca="1" si="31"/>
        <v>139.90149332883539</v>
      </c>
      <c r="GF86" s="1">
        <f t="shared" ca="1" si="31"/>
        <v>140.35477434418476</v>
      </c>
      <c r="GG86" s="1">
        <f t="shared" ca="1" si="31"/>
        <v>140.80952399059726</v>
      </c>
      <c r="GH86" s="1">
        <f t="shared" ca="1" si="31"/>
        <v>141.26574702643933</v>
      </c>
      <c r="GI86" s="1">
        <f t="shared" ca="1" si="31"/>
        <v>141.72344822549462</v>
      </c>
      <c r="GJ86" s="1">
        <f t="shared" ca="1" si="31"/>
        <v>142.18263237701382</v>
      </c>
      <c r="GK86" s="1">
        <f t="shared" ca="1" si="31"/>
        <v>142.64330428576474</v>
      </c>
      <c r="GL86" s="1">
        <f t="shared" ca="1" si="31"/>
        <v>143.10546877208276</v>
      </c>
      <c r="GM86" s="1">
        <f t="shared" ca="1" si="31"/>
        <v>143.56913067192104</v>
      </c>
      <c r="GN86" s="1">
        <f t="shared" ca="1" si="31"/>
        <v>144.0342948369013</v>
      </c>
      <c r="GO86" s="1">
        <f t="shared" ca="1" si="31"/>
        <v>144.50096613436446</v>
      </c>
      <c r="GP86" s="1">
        <f t="shared" ca="1" si="31"/>
        <v>144.96914944742173</v>
      </c>
      <c r="GQ86" s="1">
        <f t="shared" ca="1" si="31"/>
        <v>145.43884967500551</v>
      </c>
      <c r="GR86" s="1">
        <f t="shared" ref="GR86:JC86" ca="1" si="32">IF($C$61=1,(1+GR82)*GQ86,(1+GR83)*GQ86)</f>
        <v>145.91007173192079</v>
      </c>
      <c r="GS86" s="1">
        <f t="shared" ca="1" si="32"/>
        <v>146.38282054889655</v>
      </c>
      <c r="GT86" s="1">
        <f t="shared" ca="1" si="32"/>
        <v>146.85710107263728</v>
      </c>
      <c r="GU86" s="1">
        <f t="shared" ca="1" si="32"/>
        <v>147.33291826587487</v>
      </c>
      <c r="GV86" s="1">
        <f t="shared" ca="1" si="32"/>
        <v>147.8102771074204</v>
      </c>
      <c r="GW86" s="1">
        <f t="shared" ca="1" si="32"/>
        <v>148.28918259221638</v>
      </c>
      <c r="GX86" s="1">
        <f t="shared" ca="1" si="32"/>
        <v>148.76963973138885</v>
      </c>
      <c r="GY86" s="1">
        <f t="shared" ca="1" si="32"/>
        <v>149.25165355229998</v>
      </c>
      <c r="GZ86" s="1">
        <f t="shared" ca="1" si="32"/>
        <v>149.7352290986006</v>
      </c>
      <c r="HA86" s="1">
        <f t="shared" ca="1" si="32"/>
        <v>150.22037143028291</v>
      </c>
      <c r="HB86" s="1">
        <f t="shared" ca="1" si="32"/>
        <v>150.70708562373352</v>
      </c>
      <c r="HC86" s="1">
        <f t="shared" ca="1" si="32"/>
        <v>151.19537677178656</v>
      </c>
      <c r="HD86" s="1">
        <f t="shared" ca="1" si="32"/>
        <v>151.68524998377694</v>
      </c>
      <c r="HE86" s="1">
        <f t="shared" ca="1" si="32"/>
        <v>152.17671038559382</v>
      </c>
      <c r="HF86" s="1">
        <f t="shared" ca="1" si="32"/>
        <v>152.66976311973426</v>
      </c>
      <c r="HG86" s="1">
        <f t="shared" ca="1" si="32"/>
        <v>153.16441334535696</v>
      </c>
      <c r="HH86" s="1">
        <f t="shared" ca="1" si="32"/>
        <v>153.66066623833638</v>
      </c>
      <c r="HI86" s="1">
        <f t="shared" ca="1" si="32"/>
        <v>154.15852699131676</v>
      </c>
      <c r="HJ86" s="1">
        <f t="shared" ca="1" si="32"/>
        <v>154.65800081376656</v>
      </c>
      <c r="HK86" s="1">
        <f t="shared" ca="1" si="32"/>
        <v>155.15909293203291</v>
      </c>
      <c r="HL86" s="1">
        <f t="shared" ca="1" si="32"/>
        <v>155.66180858939626</v>
      </c>
      <c r="HM86" s="1">
        <f t="shared" ca="1" si="32"/>
        <v>156.16615304612537</v>
      </c>
      <c r="HN86" s="1">
        <f t="shared" ca="1" si="32"/>
        <v>156.67213157953225</v>
      </c>
      <c r="HO86" s="1">
        <f t="shared" ca="1" si="32"/>
        <v>157.17974948402738</v>
      </c>
      <c r="HP86" s="1">
        <f t="shared" ca="1" si="32"/>
        <v>157.68901207117517</v>
      </c>
      <c r="HQ86" s="1">
        <f t="shared" ca="1" si="32"/>
        <v>158.19992466974949</v>
      </c>
      <c r="HR86" s="1">
        <f t="shared" ca="1" si="32"/>
        <v>158.71249262578945</v>
      </c>
      <c r="HS86" s="1">
        <f t="shared" ca="1" si="32"/>
        <v>159.22672130265533</v>
      </c>
      <c r="HT86" s="1">
        <f t="shared" ca="1" si="32"/>
        <v>159.74261608108472</v>
      </c>
      <c r="HU86" s="1">
        <f t="shared" ca="1" si="32"/>
        <v>160.2601823592488</v>
      </c>
      <c r="HV86" s="1">
        <f t="shared" ca="1" si="32"/>
        <v>160.77942555280882</v>
      </c>
      <c r="HW86" s="1">
        <f t="shared" ca="1" si="32"/>
        <v>161.30035109497277</v>
      </c>
      <c r="HX86" s="1">
        <f t="shared" ca="1" si="32"/>
        <v>161.82296443655224</v>
      </c>
      <c r="HY86" s="1">
        <f t="shared" ca="1" si="32"/>
        <v>162.3472710460195</v>
      </c>
      <c r="HZ86" s="1">
        <f t="shared" ca="1" si="32"/>
        <v>162.87327640956462</v>
      </c>
      <c r="IA86" s="1">
        <f t="shared" ca="1" si="32"/>
        <v>163.400986031153</v>
      </c>
      <c r="IB86" s="1">
        <f t="shared" ca="1" si="32"/>
        <v>163.93040543258283</v>
      </c>
      <c r="IC86" s="1">
        <f t="shared" ca="1" si="32"/>
        <v>164.46154015354296</v>
      </c>
      <c r="ID86" s="1">
        <f t="shared" ca="1" si="32"/>
        <v>164.99439575167085</v>
      </c>
      <c r="IE86" s="1">
        <f t="shared" ca="1" si="32"/>
        <v>165.52897780261068</v>
      </c>
      <c r="IF86" s="1">
        <f t="shared" ca="1" si="32"/>
        <v>166.06529190007177</v>
      </c>
      <c r="IG86" s="1">
        <f t="shared" ca="1" si="32"/>
        <v>166.60334365588702</v>
      </c>
      <c r="IH86" s="1">
        <f t="shared" ca="1" si="32"/>
        <v>167.14313870007172</v>
      </c>
      <c r="II86" s="1">
        <f t="shared" ca="1" si="32"/>
        <v>167.68468268088236</v>
      </c>
      <c r="IJ86" s="1">
        <f t="shared" ca="1" si="32"/>
        <v>168.22798126487584</v>
      </c>
      <c r="IK86" s="1">
        <f t="shared" ca="1" si="32"/>
        <v>168.77304013696869</v>
      </c>
      <c r="IL86" s="1">
        <f t="shared" ca="1" si="32"/>
        <v>169.31986500049658</v>
      </c>
      <c r="IM86" s="1">
        <f t="shared" ca="1" si="32"/>
        <v>169.86846157727399</v>
      </c>
      <c r="IN86" s="1">
        <f t="shared" ca="1" si="32"/>
        <v>170.41883560765407</v>
      </c>
      <c r="IO86" s="1">
        <f t="shared" ca="1" si="32"/>
        <v>170.97099285058877</v>
      </c>
      <c r="IP86" s="1">
        <f t="shared" ca="1" si="32"/>
        <v>171.52493908368902</v>
      </c>
      <c r="IQ86" s="1">
        <f t="shared" ca="1" si="32"/>
        <v>172.0806801032852</v>
      </c>
      <c r="IR86" s="1">
        <f t="shared" ca="1" si="32"/>
        <v>172.63822172448786</v>
      </c>
      <c r="IS86" s="1">
        <f t="shared" ca="1" si="32"/>
        <v>173.19756978124846</v>
      </c>
      <c r="IT86" s="1">
        <f t="shared" ca="1" si="32"/>
        <v>173.75873012642049</v>
      </c>
      <c r="IU86" s="1">
        <f t="shared" ca="1" si="32"/>
        <v>174.32170863182068</v>
      </c>
      <c r="IV86" s="1">
        <f t="shared" ca="1" si="32"/>
        <v>174.88651118829051</v>
      </c>
      <c r="IW86" s="1">
        <f t="shared" ca="1" si="32"/>
        <v>175.45314370575773</v>
      </c>
      <c r="IX86" s="1">
        <f t="shared" ca="1" si="32"/>
        <v>176.02161211329826</v>
      </c>
      <c r="IY86" s="1">
        <f t="shared" ca="1" si="32"/>
        <v>176.59192235919829</v>
      </c>
      <c r="IZ86" s="1">
        <f t="shared" ca="1" si="32"/>
        <v>177.16408041101644</v>
      </c>
      <c r="JA86" s="1">
        <f t="shared" ca="1" si="32"/>
        <v>177.73809225564622</v>
      </c>
      <c r="JB86" s="1">
        <f t="shared" ca="1" si="32"/>
        <v>178.31396389937868</v>
      </c>
      <c r="JC86" s="1">
        <f t="shared" ca="1" si="32"/>
        <v>178.89170136796525</v>
      </c>
      <c r="JD86" s="1">
        <f t="shared" ref="JD86:LO86" ca="1" si="33">IF($C$61=1,(1+JD82)*JC86,(1+JD83)*JC86)</f>
        <v>179.47131070668084</v>
      </c>
      <c r="JE86" s="1">
        <f t="shared" ca="1" si="33"/>
        <v>180.05279798038703</v>
      </c>
      <c r="JF86" s="1">
        <f t="shared" ca="1" si="33"/>
        <v>180.63616927359556</v>
      </c>
      <c r="JG86" s="1">
        <f t="shared" ca="1" si="33"/>
        <v>181.221430690532</v>
      </c>
      <c r="JH86" s="1">
        <f t="shared" ca="1" si="33"/>
        <v>181.80858835519962</v>
      </c>
      <c r="JI86" s="1">
        <f t="shared" ca="1" si="33"/>
        <v>182.39764841144347</v>
      </c>
      <c r="JJ86" s="1">
        <f t="shared" ca="1" si="33"/>
        <v>182.98861702301468</v>
      </c>
      <c r="JK86" s="1">
        <f t="shared" ca="1" si="33"/>
        <v>183.5815003736349</v>
      </c>
      <c r="JL86" s="1">
        <f t="shared" ca="1" si="33"/>
        <v>184.17630466706106</v>
      </c>
      <c r="JM86" s="1">
        <f t="shared" ca="1" si="33"/>
        <v>184.77303612715031</v>
      </c>
      <c r="JN86" s="1">
        <f t="shared" ca="1" si="33"/>
        <v>185.37170099792507</v>
      </c>
      <c r="JO86" s="1">
        <f t="shared" ca="1" si="33"/>
        <v>185.97230554363841</v>
      </c>
      <c r="JP86" s="1">
        <f t="shared" ca="1" si="33"/>
        <v>186.57485604883956</v>
      </c>
      <c r="JQ86" s="1">
        <f t="shared" ca="1" si="33"/>
        <v>187.17935881843977</v>
      </c>
      <c r="JR86" s="1">
        <f t="shared" ca="1" si="33"/>
        <v>187.78582017777811</v>
      </c>
      <c r="JS86" s="1">
        <f t="shared" ca="1" si="33"/>
        <v>188.39424647268783</v>
      </c>
      <c r="JT86" s="1">
        <f t="shared" ca="1" si="33"/>
        <v>189.00464406956266</v>
      </c>
      <c r="JU86" s="1">
        <f t="shared" ca="1" si="33"/>
        <v>189.61701935542348</v>
      </c>
      <c r="JV86" s="1">
        <f t="shared" ca="1" si="33"/>
        <v>190.2313787379851</v>
      </c>
      <c r="JW86" s="1">
        <f t="shared" ca="1" si="33"/>
        <v>190.84772864572332</v>
      </c>
      <c r="JX86" s="1">
        <f t="shared" ca="1" si="33"/>
        <v>191.46607552794225</v>
      </c>
      <c r="JY86" s="1">
        <f t="shared" ca="1" si="33"/>
        <v>192.08642585484174</v>
      </c>
      <c r="JZ86" s="1">
        <f t="shared" ca="1" si="33"/>
        <v>192.70878611758505</v>
      </c>
      <c r="KA86" s="1">
        <f t="shared" ca="1" si="33"/>
        <v>193.33316282836691</v>
      </c>
      <c r="KB86" s="1">
        <f t="shared" ca="1" si="33"/>
        <v>193.95956252048148</v>
      </c>
      <c r="KC86" s="1">
        <f t="shared" ca="1" si="33"/>
        <v>194.58799174839083</v>
      </c>
      <c r="KD86" s="1">
        <f t="shared" ca="1" si="33"/>
        <v>195.21845708779352</v>
      </c>
      <c r="KE86" s="1">
        <f t="shared" ca="1" si="33"/>
        <v>195.85096513569337</v>
      </c>
      <c r="KF86" s="1">
        <f t="shared" ca="1" si="33"/>
        <v>196.48552251046848</v>
      </c>
      <c r="KG86" s="1">
        <f t="shared" ca="1" si="33"/>
        <v>197.12213585194053</v>
      </c>
      <c r="KH86" s="1">
        <f t="shared" ca="1" si="33"/>
        <v>197.76081182144421</v>
      </c>
      <c r="KI86" s="1">
        <f t="shared" ca="1" si="33"/>
        <v>198.40155710189697</v>
      </c>
      <c r="KJ86" s="1">
        <f t="shared" ca="1" si="33"/>
        <v>199.04437839786888</v>
      </c>
      <c r="KK86" s="1">
        <f t="shared" ca="1" si="33"/>
        <v>199.68928243565284</v>
      </c>
      <c r="KL86" s="1">
        <f t="shared" ca="1" si="33"/>
        <v>200.336275963335</v>
      </c>
      <c r="KM86" s="1">
        <f t="shared" ca="1" si="33"/>
        <v>200.98536575086521</v>
      </c>
      <c r="KN86" s="1">
        <f t="shared" ca="1" si="33"/>
        <v>201.63655859012809</v>
      </c>
      <c r="KO86" s="1">
        <f t="shared" ca="1" si="33"/>
        <v>202.28986129501388</v>
      </c>
      <c r="KP86" s="1">
        <f t="shared" ca="1" si="33"/>
        <v>202.94528070148988</v>
      </c>
      <c r="KQ86" s="1">
        <f t="shared" ca="1" si="33"/>
        <v>203.60282366767191</v>
      </c>
      <c r="KR86" s="1">
        <f t="shared" ca="1" si="33"/>
        <v>204.2624970738961</v>
      </c>
      <c r="KS86" s="1">
        <f t="shared" ca="1" si="33"/>
        <v>204.92430782279089</v>
      </c>
      <c r="KT86" s="1">
        <f t="shared" ca="1" si="33"/>
        <v>205.58826283934926</v>
      </c>
      <c r="KU86" s="1">
        <f t="shared" ca="1" si="33"/>
        <v>206.25436907100109</v>
      </c>
      <c r="KV86" s="1">
        <f t="shared" ca="1" si="33"/>
        <v>206.92263348768606</v>
      </c>
      <c r="KW86" s="1">
        <f t="shared" ca="1" si="33"/>
        <v>207.59306308192637</v>
      </c>
      <c r="KX86" s="1">
        <f t="shared" ca="1" si="33"/>
        <v>208.26566486890007</v>
      </c>
      <c r="KY86" s="1">
        <f t="shared" ca="1" si="33"/>
        <v>208.94044588651437</v>
      </c>
      <c r="KZ86" s="1">
        <f t="shared" ca="1" si="33"/>
        <v>209.61741319547926</v>
      </c>
      <c r="LA86" s="1">
        <f t="shared" ca="1" si="33"/>
        <v>210.29657387938153</v>
      </c>
      <c r="LB86" s="1">
        <f t="shared" ca="1" si="33"/>
        <v>210.97793504475871</v>
      </c>
      <c r="LC86" s="1">
        <f t="shared" ca="1" si="33"/>
        <v>211.66150382117357</v>
      </c>
      <c r="LD86" s="1">
        <f t="shared" ca="1" si="33"/>
        <v>212.34728736128869</v>
      </c>
      <c r="LE86" s="1">
        <f t="shared" ca="1" si="33"/>
        <v>213.03529284094122</v>
      </c>
      <c r="LF86" s="1">
        <f t="shared" ca="1" si="33"/>
        <v>213.72552745921811</v>
      </c>
      <c r="LG86" s="1">
        <f t="shared" ca="1" si="33"/>
        <v>214.4179984385313</v>
      </c>
      <c r="LH86" s="1">
        <f t="shared" ca="1" si="33"/>
        <v>215.11271302469339</v>
      </c>
      <c r="LI86" s="1">
        <f t="shared" ca="1" si="33"/>
        <v>215.80967848699342</v>
      </c>
      <c r="LJ86" s="1">
        <f t="shared" ca="1" si="33"/>
        <v>216.50890211827289</v>
      </c>
      <c r="LK86" s="1">
        <f t="shared" ca="1" si="33"/>
        <v>217.21039123500216</v>
      </c>
      <c r="LL86" s="1">
        <f t="shared" ca="1" si="33"/>
        <v>217.91415317735698</v>
      </c>
      <c r="LM86" s="1">
        <f t="shared" ca="1" si="33"/>
        <v>218.62019530929521</v>
      </c>
      <c r="LN86" s="1">
        <f t="shared" ca="1" si="33"/>
        <v>219.32852501863402</v>
      </c>
      <c r="LO86" s="1">
        <f t="shared" ca="1" si="33"/>
        <v>220.03914971712706</v>
      </c>
      <c r="LP86" s="1">
        <f t="shared" ref="LP86:OA86" ca="1" si="34">IF($C$61=1,(1+LP82)*LO86,(1+LP83)*LO86)</f>
        <v>220.75207684054209</v>
      </c>
      <c r="LQ86" s="1">
        <f t="shared" ca="1" si="34"/>
        <v>221.4673138487388</v>
      </c>
      <c r="LR86" s="1">
        <f t="shared" ca="1" si="34"/>
        <v>222.18486822574678</v>
      </c>
      <c r="LS86" s="1">
        <f t="shared" ca="1" si="34"/>
        <v>222.90474747984391</v>
      </c>
      <c r="LT86" s="1">
        <f t="shared" ca="1" si="34"/>
        <v>223.62695914363491</v>
      </c>
      <c r="LU86" s="1">
        <f t="shared" ca="1" si="34"/>
        <v>224.35151077413011</v>
      </c>
      <c r="LV86" s="1">
        <f t="shared" ca="1" si="34"/>
        <v>225.07840995282461</v>
      </c>
      <c r="LW86" s="1">
        <f t="shared" ca="1" si="34"/>
        <v>225.80766428577758</v>
      </c>
      <c r="LX86" s="1">
        <f t="shared" ca="1" si="34"/>
        <v>226.53928140369175</v>
      </c>
      <c r="LY86" s="1">
        <f t="shared" ca="1" si="34"/>
        <v>227.27326896199338</v>
      </c>
      <c r="LZ86" s="1">
        <f t="shared" ca="1" si="34"/>
        <v>228.00963464091237</v>
      </c>
      <c r="MA86" s="1">
        <f t="shared" ca="1" si="34"/>
        <v>228.74838614556248</v>
      </c>
      <c r="MB86" s="1">
        <f t="shared" ca="1" si="34"/>
        <v>229.48953120602212</v>
      </c>
      <c r="MC86" s="1">
        <f t="shared" ca="1" si="34"/>
        <v>230.23307757741514</v>
      </c>
      <c r="MD86" s="1">
        <f t="shared" ca="1" si="34"/>
        <v>230.979033039992</v>
      </c>
      <c r="ME86" s="1">
        <f t="shared" ca="1" si="34"/>
        <v>231.72740539921119</v>
      </c>
      <c r="MF86" s="1">
        <f t="shared" ca="1" si="34"/>
        <v>232.47820248582087</v>
      </c>
      <c r="MG86" s="1">
        <f t="shared" ca="1" si="34"/>
        <v>233.23143215594087</v>
      </c>
      <c r="MH86" s="1">
        <f t="shared" ca="1" si="34"/>
        <v>233.98710229114482</v>
      </c>
      <c r="MI86" s="1">
        <f t="shared" ca="1" si="34"/>
        <v>234.7452207985427</v>
      </c>
      <c r="MJ86" s="1">
        <f t="shared" ca="1" si="34"/>
        <v>235.50579561086352</v>
      </c>
      <c r="MK86" s="1">
        <f t="shared" ca="1" si="34"/>
        <v>236.2688346865383</v>
      </c>
      <c r="ML86" s="1">
        <f t="shared" ca="1" si="34"/>
        <v>237.03434600978346</v>
      </c>
      <c r="MM86" s="1">
        <f t="shared" ca="1" si="34"/>
        <v>237.80233759068423</v>
      </c>
      <c r="MN86" s="1">
        <f t="shared" ca="1" si="34"/>
        <v>238.57281746527858</v>
      </c>
      <c r="MO86" s="1">
        <f t="shared" ca="1" si="34"/>
        <v>239.34579369564119</v>
      </c>
      <c r="MP86" s="1">
        <f t="shared" ca="1" si="34"/>
        <v>240.12127436996795</v>
      </c>
      <c r="MQ86" s="1">
        <f t="shared" ca="1" si="34"/>
        <v>240.89926760266044</v>
      </c>
      <c r="MR86" s="1">
        <f t="shared" ca="1" si="34"/>
        <v>241.67978153441095</v>
      </c>
      <c r="MS86" s="1">
        <f t="shared" ca="1" si="34"/>
        <v>242.46282433228762</v>
      </c>
      <c r="MT86" s="1">
        <f t="shared" ca="1" si="34"/>
        <v>243.24840418981989</v>
      </c>
      <c r="MU86" s="1">
        <f t="shared" ca="1" si="34"/>
        <v>244.03652932708428</v>
      </c>
      <c r="MV86" s="1">
        <f t="shared" ca="1" si="34"/>
        <v>244.8272079907903</v>
      </c>
      <c r="MW86" s="1">
        <f t="shared" ca="1" si="34"/>
        <v>245.62044845436688</v>
      </c>
      <c r="MX86" s="1">
        <f t="shared" ca="1" si="34"/>
        <v>246.41625901804883</v>
      </c>
      <c r="MY86" s="1">
        <f t="shared" ca="1" si="34"/>
        <v>247.21464800896374</v>
      </c>
      <c r="MZ86" s="1">
        <f t="shared" ca="1" si="34"/>
        <v>248.01562378121912</v>
      </c>
      <c r="NA86" s="1">
        <f t="shared" ca="1" si="34"/>
        <v>248.81919471598977</v>
      </c>
      <c r="NB86" s="1">
        <f t="shared" ca="1" si="34"/>
        <v>249.62536922160552</v>
      </c>
      <c r="NC86" s="1">
        <f t="shared" ca="1" si="34"/>
        <v>250.43415573363922</v>
      </c>
      <c r="ND86" s="1">
        <f t="shared" ca="1" si="34"/>
        <v>251.24556271499495</v>
      </c>
      <c r="NE86" s="1">
        <f t="shared" ca="1" si="34"/>
        <v>252.05959865599664</v>
      </c>
      <c r="NF86" s="1">
        <f t="shared" ca="1" si="34"/>
        <v>252.87627207447687</v>
      </c>
      <c r="NG86" s="1">
        <f t="shared" ca="1" si="34"/>
        <v>253.695591515866</v>
      </c>
      <c r="NH86" s="1">
        <f t="shared" ca="1" si="34"/>
        <v>254.5175655532816</v>
      </c>
      <c r="NI86" s="1">
        <f t="shared" ca="1" si="34"/>
        <v>255.34220278761816</v>
      </c>
      <c r="NJ86" s="1">
        <f t="shared" ca="1" si="34"/>
        <v>256.16951184763707</v>
      </c>
      <c r="NK86" s="1">
        <f t="shared" ca="1" si="34"/>
        <v>256.99950139005693</v>
      </c>
      <c r="NL86" s="1">
        <f t="shared" ca="1" si="34"/>
        <v>257.83218009964412</v>
      </c>
      <c r="NM86" s="1">
        <f t="shared" ca="1" si="34"/>
        <v>258.66755668930364</v>
      </c>
      <c r="NN86" s="1">
        <f t="shared" ca="1" si="34"/>
        <v>259.50563990017031</v>
      </c>
      <c r="NO86" s="1">
        <f t="shared" ca="1" si="34"/>
        <v>260.34643850170028</v>
      </c>
      <c r="NP86" s="1">
        <f t="shared" ca="1" si="34"/>
        <v>261.18996129176276</v>
      </c>
      <c r="NQ86" s="1">
        <f t="shared" ca="1" si="34"/>
        <v>262.036217096732</v>
      </c>
      <c r="NR86" s="1">
        <f t="shared" ca="1" si="34"/>
        <v>262.8852147715798</v>
      </c>
      <c r="NS86" s="1">
        <f t="shared" ca="1" si="34"/>
        <v>263.73696319996805</v>
      </c>
      <c r="NT86" s="1">
        <f t="shared" ca="1" si="34"/>
        <v>264.59147129434166</v>
      </c>
      <c r="NU86" s="1">
        <f t="shared" ca="1" si="34"/>
        <v>265.44874799602189</v>
      </c>
      <c r="NV86" s="1">
        <f t="shared" ca="1" si="34"/>
        <v>266.30880227529997</v>
      </c>
      <c r="NW86" s="1">
        <f t="shared" ca="1" si="34"/>
        <v>267.1716431315308</v>
      </c>
      <c r="NX86" s="1">
        <f t="shared" ca="1" si="34"/>
        <v>268.03727959322725</v>
      </c>
      <c r="NY86" s="1">
        <f t="shared" ca="1" si="34"/>
        <v>268.90572071815456</v>
      </c>
      <c r="NZ86" s="1">
        <f t="shared" ca="1" si="34"/>
        <v>269.77697559342516</v>
      </c>
      <c r="OA86" s="1">
        <f t="shared" ca="1" si="34"/>
        <v>270.6510533355937</v>
      </c>
      <c r="OB86" s="1">
        <f t="shared" ref="OB86:QM86" ca="1" si="35">IF($C$61=1,(1+OB82)*OA86,(1+OB83)*OA86)</f>
        <v>271.52796309075251</v>
      </c>
      <c r="OC86" s="1">
        <f t="shared" ca="1" si="35"/>
        <v>272.40771403462725</v>
      </c>
      <c r="OD86" s="1">
        <f t="shared" ca="1" si="35"/>
        <v>273.29031537267292</v>
      </c>
      <c r="OE86" s="1">
        <f t="shared" ca="1" si="35"/>
        <v>274.17577634017033</v>
      </c>
      <c r="OF86" s="1">
        <f t="shared" ca="1" si="35"/>
        <v>275.06410620232242</v>
      </c>
      <c r="OG86" s="1">
        <f t="shared" ca="1" si="35"/>
        <v>275.95531425435155</v>
      </c>
      <c r="OH86" s="1">
        <f t="shared" ca="1" si="35"/>
        <v>276.84940982159657</v>
      </c>
      <c r="OI86" s="1">
        <f t="shared" ca="1" si="35"/>
        <v>277.74640225961042</v>
      </c>
      <c r="OJ86" s="1">
        <f t="shared" ca="1" si="35"/>
        <v>278.64630095425804</v>
      </c>
      <c r="OK86" s="1">
        <f t="shared" ca="1" si="35"/>
        <v>279.54911532181467</v>
      </c>
      <c r="OL86" s="1">
        <f t="shared" ca="1" si="35"/>
        <v>280.45485480906416</v>
      </c>
      <c r="OM86" s="1">
        <f t="shared" ca="1" si="35"/>
        <v>281.36352889339798</v>
      </c>
      <c r="ON86" s="1">
        <f t="shared" ca="1" si="35"/>
        <v>282.27514708291449</v>
      </c>
      <c r="OO86" s="1">
        <f t="shared" ca="1" si="35"/>
        <v>283.18971891651813</v>
      </c>
      <c r="OP86" s="1">
        <f t="shared" ca="1" si="35"/>
        <v>284.10725396401949</v>
      </c>
      <c r="OQ86" s="1">
        <f t="shared" ca="1" si="35"/>
        <v>285.02776182623541</v>
      </c>
      <c r="OR86" s="1">
        <f t="shared" ca="1" si="35"/>
        <v>285.95125213508925</v>
      </c>
      <c r="OS86" s="1">
        <f t="shared" ca="1" si="35"/>
        <v>286.87773455371189</v>
      </c>
      <c r="OT86" s="1">
        <f t="shared" ca="1" si="35"/>
        <v>287.80721877654281</v>
      </c>
      <c r="OU86" s="1">
        <f t="shared" ca="1" si="35"/>
        <v>288.73971452943141</v>
      </c>
      <c r="OV86" s="1">
        <f t="shared" ca="1" si="35"/>
        <v>289.67523156973891</v>
      </c>
      <c r="OW86" s="1">
        <f t="shared" ca="1" si="35"/>
        <v>290.61377968644035</v>
      </c>
      <c r="OX86" s="1">
        <f t="shared" ca="1" si="35"/>
        <v>291.55536870022712</v>
      </c>
      <c r="OY86" s="1">
        <f t="shared" ca="1" si="35"/>
        <v>292.50000846360956</v>
      </c>
      <c r="OZ86" s="1">
        <f t="shared" ca="1" si="35"/>
        <v>293.44770886102026</v>
      </c>
      <c r="PA86" s="1">
        <f t="shared" ca="1" si="35"/>
        <v>294.39847980891733</v>
      </c>
      <c r="PB86" s="1">
        <f t="shared" ca="1" si="35"/>
        <v>295.35233125588826</v>
      </c>
      <c r="PC86" s="1">
        <f t="shared" ca="1" si="35"/>
        <v>296.30927318275388</v>
      </c>
      <c r="PD86" s="1">
        <f t="shared" ca="1" si="35"/>
        <v>297.26931560267303</v>
      </c>
      <c r="PE86" s="1">
        <f t="shared" ca="1" si="35"/>
        <v>298.23246856124712</v>
      </c>
      <c r="PF86" s="1">
        <f t="shared" ca="1" si="35"/>
        <v>299.19874213662524</v>
      </c>
      <c r="PG86" s="1">
        <f t="shared" ca="1" si="35"/>
        <v>300.16814643960987</v>
      </c>
      <c r="PH86" s="1">
        <f t="shared" ca="1" si="35"/>
        <v>301.14069161376239</v>
      </c>
      <c r="PI86" s="1">
        <f t="shared" ca="1" si="35"/>
        <v>302.11638783550933</v>
      </c>
      <c r="PJ86" s="1">
        <f t="shared" ca="1" si="35"/>
        <v>303.09524531424893</v>
      </c>
      <c r="PK86" s="1">
        <f t="shared" ca="1" si="35"/>
        <v>304.07727429245784</v>
      </c>
      <c r="PL86" s="1">
        <f t="shared" ca="1" si="35"/>
        <v>305.06248504579833</v>
      </c>
      <c r="PM86" s="1">
        <f t="shared" ca="1" si="35"/>
        <v>306.05088788322581</v>
      </c>
      <c r="PN86" s="1">
        <f t="shared" ca="1" si="35"/>
        <v>307.04249314709682</v>
      </c>
      <c r="PO86" s="1">
        <f t="shared" ca="1" si="35"/>
        <v>308.03731121327706</v>
      </c>
      <c r="PP86" s="1">
        <f t="shared" ca="1" si="35"/>
        <v>309.03535249125014</v>
      </c>
      <c r="PQ86" s="1">
        <f t="shared" ca="1" si="35"/>
        <v>310.03662742422625</v>
      </c>
      <c r="PR86" s="1">
        <f t="shared" ca="1" si="35"/>
        <v>311.04114648925173</v>
      </c>
      <c r="PS86" s="1">
        <f t="shared" ca="1" si="35"/>
        <v>312.04892019731852</v>
      </c>
      <c r="PT86" s="1">
        <f t="shared" ca="1" si="35"/>
        <v>313.05995909347422</v>
      </c>
      <c r="PU86" s="1">
        <f t="shared" ca="1" si="35"/>
        <v>314.07427375693237</v>
      </c>
      <c r="PV86" s="1">
        <f t="shared" ca="1" si="35"/>
        <v>315.09187480118311</v>
      </c>
      <c r="PW86" s="1">
        <f t="shared" ca="1" si="35"/>
        <v>316.11277287410445</v>
      </c>
      <c r="PX86" s="1">
        <f t="shared" ca="1" si="35"/>
        <v>317.13697865807336</v>
      </c>
      <c r="PY86" s="1">
        <f t="shared" ca="1" si="35"/>
        <v>318.16450287007791</v>
      </c>
      <c r="PZ86" s="1">
        <f t="shared" ca="1" si="35"/>
        <v>319.19535626182909</v>
      </c>
      <c r="QA86" s="1">
        <f t="shared" ca="1" si="35"/>
        <v>320.22954961987347</v>
      </c>
      <c r="QB86" s="1">
        <f t="shared" ca="1" si="35"/>
        <v>321.26709376570608</v>
      </c>
      <c r="QC86" s="1">
        <f t="shared" ca="1" si="35"/>
        <v>322.30799955588361</v>
      </c>
      <c r="QD86" s="1">
        <f t="shared" ca="1" si="35"/>
        <v>323.35227788213797</v>
      </c>
      <c r="QE86" s="1">
        <f t="shared" ca="1" si="35"/>
        <v>324.3999396714903</v>
      </c>
      <c r="QF86" s="1">
        <f t="shared" ca="1" si="35"/>
        <v>325.45099588636538</v>
      </c>
      <c r="QG86" s="1">
        <f t="shared" ca="1" si="35"/>
        <v>326.50545752470612</v>
      </c>
      <c r="QH86" s="1">
        <f t="shared" ca="1" si="35"/>
        <v>327.56333562008888</v>
      </c>
      <c r="QI86" s="1">
        <f t="shared" ca="1" si="35"/>
        <v>328.62464124183884</v>
      </c>
      <c r="QJ86" s="1">
        <f t="shared" ca="1" si="35"/>
        <v>329.6893854951457</v>
      </c>
      <c r="QK86" s="1">
        <f t="shared" ca="1" si="35"/>
        <v>330.75757952118011</v>
      </c>
      <c r="QL86" s="1">
        <f t="shared" ca="1" si="35"/>
        <v>331.82923449721005</v>
      </c>
      <c r="QM86" s="1">
        <f t="shared" ca="1" si="35"/>
        <v>332.90436163671791</v>
      </c>
      <c r="QN86" s="1">
        <f t="shared" ref="QN86:RR86" ca="1" si="36">IF($C$61=1,(1+QN82)*QM86,(1+QN83)*QM86)</f>
        <v>333.98297218951768</v>
      </c>
      <c r="QO86" s="1">
        <f t="shared" ca="1" si="36"/>
        <v>335.06507744187292</v>
      </c>
      <c r="QP86" s="1">
        <f t="shared" ca="1" si="36"/>
        <v>336.15068871661452</v>
      </c>
      <c r="QQ86" s="1">
        <f t="shared" ca="1" si="36"/>
        <v>337.23981737325954</v>
      </c>
      <c r="QR86" s="1">
        <f t="shared" ca="1" si="36"/>
        <v>338.33247480812975</v>
      </c>
      <c r="QS86" s="1">
        <f t="shared" ca="1" si="36"/>
        <v>339.42867245447104</v>
      </c>
      <c r="QT86" s="1">
        <f t="shared" ca="1" si="36"/>
        <v>340.52842178257305</v>
      </c>
      <c r="QU86" s="1">
        <f t="shared" ca="1" si="36"/>
        <v>341.63173429988922</v>
      </c>
      <c r="QV86" s="1">
        <f t="shared" ca="1" si="36"/>
        <v>342.73862155115711</v>
      </c>
      <c r="QW86" s="1">
        <f t="shared" ca="1" si="36"/>
        <v>343.84909511851919</v>
      </c>
      <c r="QX86" s="1">
        <f t="shared" ca="1" si="36"/>
        <v>344.96316662164418</v>
      </c>
      <c r="QY86" s="1">
        <f t="shared" ca="1" si="36"/>
        <v>346.08084771784854</v>
      </c>
      <c r="QZ86" s="1">
        <f t="shared" ca="1" si="36"/>
        <v>347.20215010221835</v>
      </c>
      <c r="RA86" s="1">
        <f t="shared" ca="1" si="36"/>
        <v>348.32708550773191</v>
      </c>
      <c r="RB86" s="1">
        <f t="shared" ca="1" si="36"/>
        <v>349.45566570538227</v>
      </c>
      <c r="RC86" s="1">
        <f t="shared" ca="1" si="36"/>
        <v>350.58790250430059</v>
      </c>
      <c r="RD86" s="1">
        <f t="shared" ca="1" si="36"/>
        <v>351.72380775187958</v>
      </c>
      <c r="RE86" s="1">
        <f t="shared" ca="1" si="36"/>
        <v>352.86339333389753</v>
      </c>
      <c r="RF86" s="1">
        <f t="shared" ca="1" si="36"/>
        <v>354.00667117464275</v>
      </c>
      <c r="RG86" s="1">
        <f t="shared" ca="1" si="36"/>
        <v>355.1536532370381</v>
      </c>
      <c r="RH86" s="1">
        <f t="shared" ca="1" si="36"/>
        <v>356.30435152276647</v>
      </c>
      <c r="RI86" s="1">
        <f t="shared" ca="1" si="36"/>
        <v>357.45877807239611</v>
      </c>
      <c r="RJ86" s="1">
        <f t="shared" ca="1" si="36"/>
        <v>358.61694496550683</v>
      </c>
      <c r="RK86" s="1">
        <f t="shared" ca="1" si="36"/>
        <v>359.77886432081618</v>
      </c>
      <c r="RL86" s="1">
        <f t="shared" ca="1" si="36"/>
        <v>360.94454829630649</v>
      </c>
      <c r="RM86" s="1">
        <f t="shared" ca="1" si="36"/>
        <v>362.1140090893519</v>
      </c>
      <c r="RN86" s="1">
        <f t="shared" ca="1" si="36"/>
        <v>363.28725893684606</v>
      </c>
      <c r="RO86" s="1">
        <f t="shared" ca="1" si="36"/>
        <v>364.46431011533014</v>
      </c>
      <c r="RP86" s="1">
        <f t="shared" ca="1" si="36"/>
        <v>365.64517494112135</v>
      </c>
      <c r="RQ86" s="1">
        <f t="shared" ca="1" si="36"/>
        <v>366.82986577044187</v>
      </c>
      <c r="RR86" s="1">
        <f t="shared" ca="1" si="36"/>
        <v>368.01839499954792</v>
      </c>
    </row>
    <row r="87" spans="1:486" s="9" customFormat="1">
      <c r="A87" s="289"/>
      <c r="B87" s="66" t="s">
        <v>236</v>
      </c>
      <c r="E87" s="1">
        <f>$C$45*(1-$C$42)/$I$45</f>
        <v>10.793540474243663</v>
      </c>
      <c r="F87" s="1">
        <f t="shared" ref="F87:BQ87" ca="1" si="37">F86*(1-$C$42)/$I$45</f>
        <v>10.828511559033162</v>
      </c>
      <c r="G87" s="1">
        <f t="shared" ca="1" si="37"/>
        <v>10.863595950181612</v>
      </c>
      <c r="H87" s="1">
        <f t="shared" ca="1" si="37"/>
        <v>10.898794014801762</v>
      </c>
      <c r="I87" s="1">
        <f t="shared" ca="1" si="37"/>
        <v>10.934106121195803</v>
      </c>
      <c r="J87" s="1">
        <f t="shared" ca="1" si="37"/>
        <v>10.96953263885923</v>
      </c>
      <c r="K87" s="1">
        <f t="shared" ca="1" si="37"/>
        <v>11.005073938484696</v>
      </c>
      <c r="L87" s="1">
        <f t="shared" ca="1" si="37"/>
        <v>11.040730391965905</v>
      </c>
      <c r="M87" s="1">
        <f t="shared" ca="1" si="37"/>
        <v>11.076502372401496</v>
      </c>
      <c r="N87" s="1">
        <f t="shared" ca="1" si="37"/>
        <v>11.112390254098949</v>
      </c>
      <c r="O87" s="1">
        <f t="shared" ca="1" si="37"/>
        <v>11.148394412578494</v>
      </c>
      <c r="P87" s="1">
        <f t="shared" ca="1" si="37"/>
        <v>11.184515224577057</v>
      </c>
      <c r="Q87" s="1">
        <f t="shared" ca="1" si="37"/>
        <v>11.220753068052185</v>
      </c>
      <c r="R87" s="1">
        <f t="shared" ca="1" si="37"/>
        <v>11.25710832218601</v>
      </c>
      <c r="S87" s="1">
        <f t="shared" ca="1" si="37"/>
        <v>11.293581367389212</v>
      </c>
      <c r="T87" s="1">
        <f t="shared" ca="1" si="37"/>
        <v>11.330172585305013</v>
      </c>
      <c r="U87" s="1">
        <f t="shared" ca="1" si="37"/>
        <v>11.366882358813141</v>
      </c>
      <c r="V87" s="1">
        <f t="shared" ca="1" si="37"/>
        <v>11.403711072033873</v>
      </c>
      <c r="W87" s="1">
        <f t="shared" ca="1" si="37"/>
        <v>11.440659110332026</v>
      </c>
      <c r="X87" s="1">
        <f t="shared" ca="1" si="37"/>
        <v>11.477726860321003</v>
      </c>
      <c r="Y87" s="1">
        <f t="shared" ca="1" si="37"/>
        <v>11.514914709866828</v>
      </c>
      <c r="Z87" s="1">
        <f t="shared" ca="1" si="37"/>
        <v>11.552223048092221</v>
      </c>
      <c r="AA87" s="1">
        <f t="shared" ca="1" si="37"/>
        <v>11.589652265380661</v>
      </c>
      <c r="AB87" s="1">
        <f t="shared" ca="1" si="37"/>
        <v>11.627202753380459</v>
      </c>
      <c r="AC87" s="1">
        <f t="shared" ca="1" si="37"/>
        <v>11.664874905008872</v>
      </c>
      <c r="AD87" s="1">
        <f t="shared" ca="1" si="37"/>
        <v>11.702669114456215</v>
      </c>
      <c r="AE87" s="1">
        <f t="shared" ca="1" si="37"/>
        <v>11.740585777189974</v>
      </c>
      <c r="AF87" s="1">
        <f t="shared" ca="1" si="37"/>
        <v>11.778625289958953</v>
      </c>
      <c r="AG87" s="1">
        <f t="shared" ca="1" si="37"/>
        <v>11.816788050797419</v>
      </c>
      <c r="AH87" s="1">
        <f t="shared" ca="1" si="37"/>
        <v>11.855074459029273</v>
      </c>
      <c r="AI87" s="1">
        <f t="shared" ca="1" si="37"/>
        <v>11.893484915272229</v>
      </c>
      <c r="AJ87" s="1">
        <f t="shared" ca="1" si="37"/>
        <v>11.932019821441997</v>
      </c>
      <c r="AK87" s="1">
        <f t="shared" ca="1" si="37"/>
        <v>11.970679580756501</v>
      </c>
      <c r="AL87" s="1">
        <f t="shared" ca="1" si="37"/>
        <v>12.009464597740083</v>
      </c>
      <c r="AM87" s="1">
        <f t="shared" ca="1" si="37"/>
        <v>12.048375278227752</v>
      </c>
      <c r="AN87" s="1">
        <f t="shared" ca="1" si="37"/>
        <v>12.087412029369421</v>
      </c>
      <c r="AO87" s="1">
        <f t="shared" ca="1" si="37"/>
        <v>12.126575259634167</v>
      </c>
      <c r="AP87" s="1">
        <f t="shared" ca="1" si="37"/>
        <v>12.165865378814507</v>
      </c>
      <c r="AQ87" s="1">
        <f t="shared" ca="1" si="37"/>
        <v>12.205282798030693</v>
      </c>
      <c r="AR87" s="1">
        <f t="shared" ca="1" si="37"/>
        <v>12.244827929734997</v>
      </c>
      <c r="AS87" s="1">
        <f t="shared" ca="1" si="37"/>
        <v>12.284501187716046</v>
      </c>
      <c r="AT87" s="1">
        <f t="shared" ca="1" si="37"/>
        <v>12.324302987103135</v>
      </c>
      <c r="AU87" s="1">
        <f t="shared" ca="1" si="37"/>
        <v>12.364233744370585</v>
      </c>
      <c r="AV87" s="1">
        <f t="shared" ca="1" si="37"/>
        <v>12.404293877342093</v>
      </c>
      <c r="AW87" s="1">
        <f t="shared" ca="1" si="37"/>
        <v>12.444483805195098</v>
      </c>
      <c r="AX87" s="1">
        <f t="shared" ca="1" si="37"/>
        <v>12.484803948465187</v>
      </c>
      <c r="AY87" s="1">
        <f t="shared" ca="1" si="37"/>
        <v>12.52525472905047</v>
      </c>
      <c r="AZ87" s="1">
        <f t="shared" ca="1" si="37"/>
        <v>12.565836570216019</v>
      </c>
      <c r="BA87" s="1">
        <f t="shared" ca="1" si="37"/>
        <v>12.606549896598276</v>
      </c>
      <c r="BB87" s="1">
        <f t="shared" ca="1" si="37"/>
        <v>12.647395134209511</v>
      </c>
      <c r="BC87" s="1">
        <f t="shared" ca="1" si="37"/>
        <v>12.68837271044227</v>
      </c>
      <c r="BD87" s="1">
        <f t="shared" ca="1" si="37"/>
        <v>12.72948305407386</v>
      </c>
      <c r="BE87" s="1">
        <f t="shared" ca="1" si="37"/>
        <v>12.770726595270814</v>
      </c>
      <c r="BF87" s="1">
        <f t="shared" ca="1" si="37"/>
        <v>12.812103765593418</v>
      </c>
      <c r="BG87" s="1">
        <f t="shared" ca="1" si="37"/>
        <v>12.853614998000204</v>
      </c>
      <c r="BH87" s="1">
        <f t="shared" ca="1" si="37"/>
        <v>12.895260726852499</v>
      </c>
      <c r="BI87" s="1">
        <f t="shared" ca="1" si="37"/>
        <v>12.937041387918953</v>
      </c>
      <c r="BJ87" s="1">
        <f t="shared" ca="1" si="37"/>
        <v>12.97895741838011</v>
      </c>
      <c r="BK87" s="1">
        <f t="shared" ca="1" si="37"/>
        <v>13.021009256832983</v>
      </c>
      <c r="BL87" s="1">
        <f t="shared" ca="1" si="37"/>
        <v>13.063197343295636</v>
      </c>
      <c r="BM87" s="1">
        <f t="shared" ca="1" si="37"/>
        <v>13.105522119211791</v>
      </c>
      <c r="BN87" s="1">
        <f t="shared" ca="1" si="37"/>
        <v>13.147984027455452</v>
      </c>
      <c r="BO87" s="1">
        <f t="shared" ca="1" si="37"/>
        <v>13.190583512335532</v>
      </c>
      <c r="BP87" s="1">
        <f t="shared" ca="1" si="37"/>
        <v>13.23332101960051</v>
      </c>
      <c r="BQ87" s="1">
        <f t="shared" ca="1" si="37"/>
        <v>13.276196996443087</v>
      </c>
      <c r="BR87" s="1">
        <f t="shared" ref="BR87:EC87" ca="1" si="38">BR86*(1-$C$42)/$I$45</f>
        <v>13.319211891504866</v>
      </c>
      <c r="BS87" s="1">
        <f t="shared" ca="1" si="38"/>
        <v>13.362366154881057</v>
      </c>
      <c r="BT87" s="1">
        <f t="shared" ca="1" si="38"/>
        <v>13.405660238125174</v>
      </c>
      <c r="BU87" s="1">
        <f t="shared" ca="1" si="38"/>
        <v>13.449094594253763</v>
      </c>
      <c r="BV87" s="1">
        <f t="shared" ca="1" si="38"/>
        <v>13.492669677751152</v>
      </c>
      <c r="BW87" s="1">
        <f t="shared" ca="1" si="38"/>
        <v>13.536385944574192</v>
      </c>
      <c r="BX87" s="1">
        <f t="shared" ca="1" si="38"/>
        <v>13.580243852157036</v>
      </c>
      <c r="BY87" s="1">
        <f t="shared" ca="1" si="38"/>
        <v>13.624243859415921</v>
      </c>
      <c r="BZ87" s="1">
        <f t="shared" ca="1" si="38"/>
        <v>13.668386426753985</v>
      </c>
      <c r="CA87" s="1">
        <f t="shared" ca="1" si="38"/>
        <v>13.71267201606606</v>
      </c>
      <c r="CB87" s="1">
        <f t="shared" ca="1" si="38"/>
        <v>13.757101090743523</v>
      </c>
      <c r="CC87" s="1">
        <f t="shared" ca="1" si="38"/>
        <v>13.801674115679143</v>
      </c>
      <c r="CD87" s="1">
        <f t="shared" ca="1" si="38"/>
        <v>13.846391557271936</v>
      </c>
      <c r="CE87" s="1">
        <f t="shared" ca="1" si="38"/>
        <v>13.891253883432048</v>
      </c>
      <c r="CF87" s="1">
        <f t="shared" ca="1" si="38"/>
        <v>13.936261563585669</v>
      </c>
      <c r="CG87" s="1">
        <f t="shared" ca="1" si="38"/>
        <v>13.981415068679919</v>
      </c>
      <c r="CH87" s="1">
        <f t="shared" ca="1" si="38"/>
        <v>14.02671487118779</v>
      </c>
      <c r="CI87" s="1">
        <f t="shared" ca="1" si="38"/>
        <v>14.072161445113087</v>
      </c>
      <c r="CJ87" s="1">
        <f t="shared" ca="1" si="38"/>
        <v>14.117755265995388</v>
      </c>
      <c r="CK87" s="1">
        <f t="shared" ca="1" si="38"/>
        <v>14.163496810915019</v>
      </c>
      <c r="CL87" s="1">
        <f t="shared" ca="1" si="38"/>
        <v>14.20938655849805</v>
      </c>
      <c r="CM87" s="1">
        <f t="shared" ca="1" si="38"/>
        <v>14.2554249889213</v>
      </c>
      <c r="CN87" s="1">
        <f t="shared" ca="1" si="38"/>
        <v>14.30161258391735</v>
      </c>
      <c r="CO87" s="1">
        <f t="shared" ca="1" si="38"/>
        <v>14.347949826779615</v>
      </c>
      <c r="CP87" s="1">
        <f t="shared" ca="1" si="38"/>
        <v>14.394437202367364</v>
      </c>
      <c r="CQ87" s="1">
        <f t="shared" ca="1" si="38"/>
        <v>14.441075197110823</v>
      </c>
      <c r="CR87" s="1">
        <f t="shared" ca="1" si="38"/>
        <v>14.487864299016241</v>
      </c>
      <c r="CS87" s="1">
        <f t="shared" ca="1" si="38"/>
        <v>14.534804997671021</v>
      </c>
      <c r="CT87" s="1">
        <f t="shared" ca="1" si="38"/>
        <v>14.581897784248815</v>
      </c>
      <c r="CU87" s="1">
        <f t="shared" ca="1" si="38"/>
        <v>14.62914315151469</v>
      </c>
      <c r="CV87" s="1">
        <f t="shared" ca="1" si="38"/>
        <v>14.676541593830267</v>
      </c>
      <c r="CW87" s="1">
        <f t="shared" ca="1" si="38"/>
        <v>14.724093607158904</v>
      </c>
      <c r="CX87" s="1">
        <f t="shared" ca="1" si="38"/>
        <v>14.771799689070876</v>
      </c>
      <c r="CY87" s="1">
        <f t="shared" ca="1" si="38"/>
        <v>14.819660338748585</v>
      </c>
      <c r="CZ87" s="1">
        <f t="shared" ca="1" si="38"/>
        <v>14.86767605699179</v>
      </c>
      <c r="DA87" s="1">
        <f t="shared" ca="1" si="38"/>
        <v>14.915847346222836</v>
      </c>
      <c r="DB87" s="1">
        <f t="shared" ca="1" si="38"/>
        <v>14.964174710491926</v>
      </c>
      <c r="DC87" s="1">
        <f t="shared" ca="1" si="38"/>
        <v>15.012658655482381</v>
      </c>
      <c r="DD87" s="1">
        <f t="shared" ca="1" si="38"/>
        <v>15.061299688515929</v>
      </c>
      <c r="DE87" s="1">
        <f t="shared" ca="1" si="38"/>
        <v>15.110098318558036</v>
      </c>
      <c r="DF87" s="1">
        <f t="shared" ca="1" si="38"/>
        <v>15.159055056223202</v>
      </c>
      <c r="DG87" s="1">
        <f t="shared" ca="1" si="38"/>
        <v>15.208170413780334</v>
      </c>
      <c r="DH87" s="1">
        <f t="shared" ca="1" si="38"/>
        <v>15.257444905158076</v>
      </c>
      <c r="DI87" s="1">
        <f t="shared" ca="1" si="38"/>
        <v>15.306879045950209</v>
      </c>
      <c r="DJ87" s="1">
        <f t="shared" ca="1" si="38"/>
        <v>15.356473353421038</v>
      </c>
      <c r="DK87" s="1">
        <f t="shared" ca="1" si="38"/>
        <v>15.406228346510806</v>
      </c>
      <c r="DL87" s="1">
        <f t="shared" ca="1" si="38"/>
        <v>15.456144545841124</v>
      </c>
      <c r="DM87" s="1">
        <f t="shared" ca="1" si="38"/>
        <v>15.506222473720408</v>
      </c>
      <c r="DN87" s="1">
        <f t="shared" ca="1" si="38"/>
        <v>15.556462654149366</v>
      </c>
      <c r="DO87" s="1">
        <f t="shared" ca="1" si="38"/>
        <v>15.606865612826464</v>
      </c>
      <c r="DP87" s="1">
        <f t="shared" ca="1" si="38"/>
        <v>15.657431877153432</v>
      </c>
      <c r="DQ87" s="1">
        <f t="shared" ca="1" si="38"/>
        <v>15.708161976240781</v>
      </c>
      <c r="DR87" s="1">
        <f t="shared" ca="1" si="38"/>
        <v>15.759056440913342</v>
      </c>
      <c r="DS87" s="1">
        <f t="shared" ca="1" si="38"/>
        <v>15.810115803715821</v>
      </c>
      <c r="DT87" s="1">
        <f t="shared" ca="1" si="38"/>
        <v>15.861340598918364</v>
      </c>
      <c r="DU87" s="1">
        <f t="shared" ca="1" si="38"/>
        <v>15.912731362522162</v>
      </c>
      <c r="DV87" s="1">
        <f t="shared" ca="1" si="38"/>
        <v>15.964288632265038</v>
      </c>
      <c r="DW87" s="1">
        <f t="shared" ca="1" si="38"/>
        <v>16.016012947627097</v>
      </c>
      <c r="DX87" s="1">
        <f t="shared" ca="1" si="38"/>
        <v>16.067904849836356</v>
      </c>
      <c r="DY87" s="1">
        <f t="shared" ca="1" si="38"/>
        <v>16.119964881874417</v>
      </c>
      <c r="DZ87" s="1">
        <f t="shared" ca="1" si="38"/>
        <v>16.172193588482127</v>
      </c>
      <c r="EA87" s="1">
        <f t="shared" ca="1" si="38"/>
        <v>16.224591516165312</v>
      </c>
      <c r="EB87" s="1">
        <f t="shared" ca="1" si="38"/>
        <v>16.27715921320047</v>
      </c>
      <c r="EC87" s="1">
        <f t="shared" ca="1" si="38"/>
        <v>16.329897229640519</v>
      </c>
      <c r="ED87" s="1">
        <f t="shared" ref="ED87:GO87" ca="1" si="39">ED86*(1-$C$42)/$I$45</f>
        <v>16.382806117320538</v>
      </c>
      <c r="EE87" s="1">
        <f t="shared" ca="1" si="39"/>
        <v>16.435886429863569</v>
      </c>
      <c r="EF87" s="1">
        <f t="shared" ca="1" si="39"/>
        <v>16.489138722686381</v>
      </c>
      <c r="EG87" s="1">
        <f t="shared" ca="1" si="39"/>
        <v>16.542563553005298</v>
      </c>
      <c r="EH87" s="1">
        <f t="shared" ca="1" si="39"/>
        <v>16.596161479842028</v>
      </c>
      <c r="EI87" s="1">
        <f t="shared" ca="1" si="39"/>
        <v>16.649933064029504</v>
      </c>
      <c r="EJ87" s="1">
        <f t="shared" ca="1" si="39"/>
        <v>16.703878868217764</v>
      </c>
      <c r="EK87" s="1">
        <f t="shared" ca="1" si="39"/>
        <v>16.75799945687983</v>
      </c>
      <c r="EL87" s="1">
        <f t="shared" ca="1" si="39"/>
        <v>16.812295396317623</v>
      </c>
      <c r="EM87" s="1">
        <f t="shared" ca="1" si="39"/>
        <v>16.86676725466787</v>
      </c>
      <c r="EN87" s="1">
        <f t="shared" ca="1" si="39"/>
        <v>16.92141560190808</v>
      </c>
      <c r="EO87" s="1">
        <f t="shared" ca="1" si="39"/>
        <v>16.976241009862466</v>
      </c>
      <c r="EP87" s="1">
        <f t="shared" ca="1" si="39"/>
        <v>17.031244052207981</v>
      </c>
      <c r="EQ87" s="1">
        <f t="shared" ca="1" si="39"/>
        <v>17.086425304480269</v>
      </c>
      <c r="ER87" s="1">
        <f t="shared" ca="1" si="39"/>
        <v>17.141785344079715</v>
      </c>
      <c r="ES87" s="1">
        <f t="shared" ca="1" si="39"/>
        <v>17.197324750277492</v>
      </c>
      <c r="ET87" s="1">
        <f t="shared" ca="1" si="39"/>
        <v>17.253044104221601</v>
      </c>
      <c r="EU87" s="1">
        <f t="shared" ca="1" si="39"/>
        <v>17.308943988942971</v>
      </c>
      <c r="EV87" s="1">
        <f t="shared" ca="1" si="39"/>
        <v>17.365024989361547</v>
      </c>
      <c r="EW87" s="1">
        <f t="shared" ca="1" si="39"/>
        <v>17.421287692292417</v>
      </c>
      <c r="EX87" s="1">
        <f t="shared" ca="1" si="39"/>
        <v>17.477732686451951</v>
      </c>
      <c r="EY87" s="1">
        <f t="shared" ca="1" si="39"/>
        <v>17.534360562463956</v>
      </c>
      <c r="EZ87" s="1">
        <f t="shared" ca="1" si="39"/>
        <v>17.591171912865875</v>
      </c>
      <c r="FA87" s="1">
        <f t="shared" ca="1" si="39"/>
        <v>17.648167332114955</v>
      </c>
      <c r="FB87" s="1">
        <f t="shared" ca="1" si="39"/>
        <v>17.705347416594499</v>
      </c>
      <c r="FC87" s="1">
        <f t="shared" ca="1" si="39"/>
        <v>17.762712764620083</v>
      </c>
      <c r="FD87" s="1">
        <f t="shared" ca="1" si="39"/>
        <v>17.82026397644583</v>
      </c>
      <c r="FE87" s="1">
        <f t="shared" ca="1" si="39"/>
        <v>17.87800165427069</v>
      </c>
      <c r="FF87" s="1">
        <f t="shared" ca="1" si="39"/>
        <v>17.935926402244739</v>
      </c>
      <c r="FG87" s="1">
        <f t="shared" ca="1" si="39"/>
        <v>17.994038826475492</v>
      </c>
      <c r="FH87" s="1">
        <f t="shared" ca="1" si="39"/>
        <v>18.05233953503426</v>
      </c>
      <c r="FI87" s="1">
        <f t="shared" ca="1" si="39"/>
        <v>18.110829137962508</v>
      </c>
      <c r="FJ87" s="1">
        <f t="shared" ca="1" si="39"/>
        <v>18.169508247278223</v>
      </c>
      <c r="FK87" s="1">
        <f t="shared" ca="1" si="39"/>
        <v>18.228377476982349</v>
      </c>
      <c r="FL87" s="1">
        <f t="shared" ca="1" si="39"/>
        <v>18.28743744306518</v>
      </c>
      <c r="FM87" s="1">
        <f t="shared" ca="1" si="39"/>
        <v>18.346688763512827</v>
      </c>
      <c r="FN87" s="1">
        <f t="shared" ca="1" si="39"/>
        <v>18.406132058313673</v>
      </c>
      <c r="FO87" s="1">
        <f t="shared" ca="1" si="39"/>
        <v>18.465767949464865</v>
      </c>
      <c r="FP87" s="1">
        <f t="shared" ca="1" si="39"/>
        <v>18.525597060978818</v>
      </c>
      <c r="FQ87" s="1">
        <f t="shared" ca="1" si="39"/>
        <v>18.585620018889756</v>
      </c>
      <c r="FR87" s="1">
        <f t="shared" ca="1" si="39"/>
        <v>18.645837451260245</v>
      </c>
      <c r="FS87" s="1">
        <f t="shared" ca="1" si="39"/>
        <v>18.706249988187793</v>
      </c>
      <c r="FT87" s="1">
        <f t="shared" ca="1" si="39"/>
        <v>18.7668582618114</v>
      </c>
      <c r="FU87" s="1">
        <f t="shared" ca="1" si="39"/>
        <v>18.82766290631821</v>
      </c>
      <c r="FV87" s="1">
        <f t="shared" ca="1" si="39"/>
        <v>18.88866455795014</v>
      </c>
      <c r="FW87" s="1">
        <f t="shared" ca="1" si="39"/>
        <v>18.949863855010513</v>
      </c>
      <c r="FX87" s="1">
        <f t="shared" ca="1" si="39"/>
        <v>19.011261437870779</v>
      </c>
      <c r="FY87" s="1">
        <f t="shared" ca="1" si="39"/>
        <v>19.072857948977173</v>
      </c>
      <c r="FZ87" s="1">
        <f t="shared" ca="1" si="39"/>
        <v>19.134654032857465</v>
      </c>
      <c r="GA87" s="1">
        <f t="shared" ca="1" si="39"/>
        <v>19.1966503361277</v>
      </c>
      <c r="GB87" s="1">
        <f t="shared" ca="1" si="39"/>
        <v>19.258847507498949</v>
      </c>
      <c r="GC87" s="1">
        <f t="shared" ca="1" si="39"/>
        <v>19.321246197784113</v>
      </c>
      <c r="GD87" s="1">
        <f t="shared" ca="1" si="39"/>
        <v>19.383847059904731</v>
      </c>
      <c r="GE87" s="1">
        <f t="shared" ca="1" si="39"/>
        <v>19.446650748897802</v>
      </c>
      <c r="GF87" s="1">
        <f t="shared" ca="1" si="39"/>
        <v>19.509657921922656</v>
      </c>
      <c r="GG87" s="1">
        <f t="shared" ca="1" si="39"/>
        <v>19.57286923826781</v>
      </c>
      <c r="GH87" s="1">
        <f t="shared" ca="1" si="39"/>
        <v>19.636285359357878</v>
      </c>
      <c r="GI87" s="1">
        <f t="shared" ca="1" si="39"/>
        <v>19.699906948760496</v>
      </c>
      <c r="GJ87" s="1">
        <f t="shared" ca="1" si="39"/>
        <v>19.763734672193252</v>
      </c>
      <c r="GK87" s="1">
        <f t="shared" ca="1" si="39"/>
        <v>19.827769197530664</v>
      </c>
      <c r="GL87" s="1">
        <f t="shared" ca="1" si="39"/>
        <v>19.892011194811175</v>
      </c>
      <c r="GM87" s="1">
        <f t="shared" ca="1" si="39"/>
        <v>19.956461336244136</v>
      </c>
      <c r="GN87" s="1">
        <f t="shared" ca="1" si="39"/>
        <v>20.021120296216861</v>
      </c>
      <c r="GO87" s="1">
        <f t="shared" ca="1" si="39"/>
        <v>20.085988751301681</v>
      </c>
      <c r="GP87" s="1">
        <f t="shared" ref="GP87:JA87" ca="1" si="40">GP86*(1-$C$42)/$I$45</f>
        <v>20.151067380263036</v>
      </c>
      <c r="GQ87" s="1">
        <f t="shared" ca="1" si="40"/>
        <v>20.216356864064544</v>
      </c>
      <c r="GR87" s="1">
        <f t="shared" ca="1" si="40"/>
        <v>20.28185788587615</v>
      </c>
      <c r="GS87" s="1">
        <f t="shared" ca="1" si="40"/>
        <v>20.347571131081285</v>
      </c>
      <c r="GT87" s="1">
        <f t="shared" ca="1" si="40"/>
        <v>20.413497287284002</v>
      </c>
      <c r="GU87" s="1">
        <f t="shared" ca="1" si="40"/>
        <v>20.479637044316213</v>
      </c>
      <c r="GV87" s="1">
        <f t="shared" ca="1" si="40"/>
        <v>20.545991094244862</v>
      </c>
      <c r="GW87" s="1">
        <f t="shared" ca="1" si="40"/>
        <v>20.612560131379219</v>
      </c>
      <c r="GX87" s="1">
        <f t="shared" ca="1" si="40"/>
        <v>20.679344852278088</v>
      </c>
      <c r="GY87" s="1">
        <f t="shared" ca="1" si="40"/>
        <v>20.746345955757153</v>
      </c>
      <c r="GZ87" s="1">
        <f t="shared" ca="1" si="40"/>
        <v>20.813564142896237</v>
      </c>
      <c r="HA87" s="1">
        <f t="shared" ca="1" si="40"/>
        <v>20.881000117046682</v>
      </c>
      <c r="HB87" s="1">
        <f t="shared" ca="1" si="40"/>
        <v>20.948654583838671</v>
      </c>
      <c r="HC87" s="1">
        <f t="shared" ca="1" si="40"/>
        <v>21.016528251188646</v>
      </c>
      <c r="HD87" s="1">
        <f t="shared" ca="1" si="40"/>
        <v>21.084621829306688</v>
      </c>
      <c r="HE87" s="1">
        <f t="shared" ca="1" si="40"/>
        <v>21.152936030703962</v>
      </c>
      <c r="HF87" s="1">
        <f t="shared" ca="1" si="40"/>
        <v>21.22147157020018</v>
      </c>
      <c r="HG87" s="1">
        <f t="shared" ca="1" si="40"/>
        <v>21.290229164931056</v>
      </c>
      <c r="HH87" s="1">
        <f t="shared" ca="1" si="40"/>
        <v>21.359209534355831</v>
      </c>
      <c r="HI87" s="1">
        <f t="shared" ca="1" si="40"/>
        <v>21.428413400264798</v>
      </c>
      <c r="HJ87" s="1">
        <f t="shared" ca="1" si="40"/>
        <v>21.497841486786847</v>
      </c>
      <c r="HK87" s="1">
        <f t="shared" ca="1" si="40"/>
        <v>21.567494520397052</v>
      </c>
      <c r="HL87" s="1">
        <f t="shared" ca="1" si="40"/>
        <v>21.63737322992425</v>
      </c>
      <c r="HM87" s="1">
        <f t="shared" ca="1" si="40"/>
        <v>21.70747834655872</v>
      </c>
      <c r="HN87" s="1">
        <f t="shared" ca="1" si="40"/>
        <v>21.777810603859756</v>
      </c>
      <c r="HO87" s="1">
        <f t="shared" ca="1" si="40"/>
        <v>21.848370737763414</v>
      </c>
      <c r="HP87" s="1">
        <f t="shared" ca="1" si="40"/>
        <v>21.919159486590171</v>
      </c>
      <c r="HQ87" s="1">
        <f t="shared" ca="1" si="40"/>
        <v>21.990177591052667</v>
      </c>
      <c r="HR87" s="1">
        <f t="shared" ca="1" si="40"/>
        <v>22.061425794263457</v>
      </c>
      <c r="HS87" s="1">
        <f t="shared" ca="1" si="40"/>
        <v>22.132904841742768</v>
      </c>
      <c r="HT87" s="1">
        <f t="shared" ca="1" si="40"/>
        <v>22.204615481426327</v>
      </c>
      <c r="HU87" s="1">
        <f t="shared" ca="1" si="40"/>
        <v>22.276558463673176</v>
      </c>
      <c r="HV87" s="1">
        <f t="shared" ca="1" si="40"/>
        <v>22.348734541273508</v>
      </c>
      <c r="HW87" s="1">
        <f t="shared" ca="1" si="40"/>
        <v>22.421144469456557</v>
      </c>
      <c r="HX87" s="1">
        <f t="shared" ca="1" si="40"/>
        <v>22.493789005898513</v>
      </c>
      <c r="HY87" s="1">
        <f t="shared" ca="1" si="40"/>
        <v>22.566668910730428</v>
      </c>
      <c r="HZ87" s="1">
        <f t="shared" ca="1" si="40"/>
        <v>22.639784946546186</v>
      </c>
      <c r="IA87" s="1">
        <f t="shared" ca="1" si="40"/>
        <v>22.713137878410475</v>
      </c>
      <c r="IB87" s="1">
        <f t="shared" ca="1" si="40"/>
        <v>22.786728473866788</v>
      </c>
      <c r="IC87" s="1">
        <f t="shared" ca="1" si="40"/>
        <v>22.860557502945465</v>
      </c>
      <c r="ID87" s="1">
        <f t="shared" ca="1" si="40"/>
        <v>22.934625738171746</v>
      </c>
      <c r="IE87" s="1">
        <f t="shared" ca="1" si="40"/>
        <v>23.008933954573848</v>
      </c>
      <c r="IF87" s="1">
        <f t="shared" ca="1" si="40"/>
        <v>23.083482929691087</v>
      </c>
      <c r="IG87" s="1">
        <f t="shared" ca="1" si="40"/>
        <v>23.158273443582004</v>
      </c>
      <c r="IH87" s="1">
        <f t="shared" ca="1" si="40"/>
        <v>23.233306278832536</v>
      </c>
      <c r="II87" s="1">
        <f t="shared" ca="1" si="40"/>
        <v>23.308582220564187</v>
      </c>
      <c r="IJ87" s="1">
        <f t="shared" ca="1" si="40"/>
        <v>23.384102056442263</v>
      </c>
      <c r="IK87" s="1">
        <f t="shared" ca="1" si="40"/>
        <v>23.459866576684117</v>
      </c>
      <c r="IL87" s="1">
        <f t="shared" ca="1" si="40"/>
        <v>23.535876574067391</v>
      </c>
      <c r="IM87" s="1">
        <f t="shared" ca="1" si="40"/>
        <v>23.612132843938326</v>
      </c>
      <c r="IN87" s="1">
        <f t="shared" ca="1" si="40"/>
        <v>23.688636184220108</v>
      </c>
      <c r="IO87" s="1">
        <f t="shared" ca="1" si="40"/>
        <v>23.765387395421168</v>
      </c>
      <c r="IP87" s="1">
        <f t="shared" ca="1" si="40"/>
        <v>23.842387280643607</v>
      </c>
      <c r="IQ87" s="1">
        <f t="shared" ca="1" si="40"/>
        <v>23.919636645591563</v>
      </c>
      <c r="IR87" s="1">
        <f t="shared" ca="1" si="40"/>
        <v>23.997136298579669</v>
      </c>
      <c r="IS87" s="1">
        <f t="shared" ca="1" si="40"/>
        <v>24.074887050541484</v>
      </c>
      <c r="IT87" s="1">
        <f t="shared" ca="1" si="40"/>
        <v>24.152889715038008</v>
      </c>
      <c r="IU87" s="1">
        <f t="shared" ca="1" si="40"/>
        <v>24.231145108266158</v>
      </c>
      <c r="IV87" s="1">
        <f t="shared" ca="1" si="40"/>
        <v>24.309654049067365</v>
      </c>
      <c r="IW87" s="1">
        <f t="shared" ca="1" si="40"/>
        <v>24.388417358936067</v>
      </c>
      <c r="IX87" s="1">
        <f t="shared" ca="1" si="40"/>
        <v>24.467435862028374</v>
      </c>
      <c r="IY87" s="1">
        <f t="shared" ca="1" si="40"/>
        <v>24.546710385170652</v>
      </c>
      <c r="IZ87" s="1">
        <f t="shared" ca="1" si="40"/>
        <v>24.62624175786819</v>
      </c>
      <c r="JA87" s="1">
        <f t="shared" ca="1" si="40"/>
        <v>24.706030812313866</v>
      </c>
      <c r="JB87" s="1">
        <f t="shared" ref="JB87:LM87" ca="1" si="41">JB86*(1-$C$42)/$I$45</f>
        <v>24.78607838339687</v>
      </c>
      <c r="JC87" s="1">
        <f t="shared" ca="1" si="41"/>
        <v>24.86638530871144</v>
      </c>
      <c r="JD87" s="1">
        <f t="shared" ca="1" si="41"/>
        <v>24.946952428565609</v>
      </c>
      <c r="JE87" s="1">
        <f t="shared" ca="1" si="41"/>
        <v>25.027780585990016</v>
      </c>
      <c r="JF87" s="1">
        <f t="shared" ca="1" si="41"/>
        <v>25.108870626746725</v>
      </c>
      <c r="JG87" s="1">
        <f t="shared" ca="1" si="41"/>
        <v>25.190223399338052</v>
      </c>
      <c r="JH87" s="1">
        <f t="shared" ca="1" si="41"/>
        <v>25.271839755015481</v>
      </c>
      <c r="JI87" s="1">
        <f t="shared" ca="1" si="41"/>
        <v>25.353720547788541</v>
      </c>
      <c r="JJ87" s="1">
        <f t="shared" ca="1" si="41"/>
        <v>25.435866634433765</v>
      </c>
      <c r="JK87" s="1">
        <f t="shared" ca="1" si="41"/>
        <v>25.518278874503626</v>
      </c>
      <c r="JL87" s="1">
        <f t="shared" ca="1" si="41"/>
        <v>25.600958130335552</v>
      </c>
      <c r="JM87" s="1">
        <f t="shared" ca="1" si="41"/>
        <v>25.683905267060958</v>
      </c>
      <c r="JN87" s="1">
        <f t="shared" ca="1" si="41"/>
        <v>25.767121152614276</v>
      </c>
      <c r="JO87" s="1">
        <f t="shared" ca="1" si="41"/>
        <v>25.850606657742052</v>
      </c>
      <c r="JP87" s="1">
        <f t="shared" ca="1" si="41"/>
        <v>25.934362656012038</v>
      </c>
      <c r="JQ87" s="1">
        <f t="shared" ca="1" si="41"/>
        <v>26.018390023822374</v>
      </c>
      <c r="JR87" s="1">
        <f t="shared" ca="1" si="41"/>
        <v>26.102689640410695</v>
      </c>
      <c r="JS87" s="1">
        <f t="shared" ca="1" si="41"/>
        <v>26.187262387863392</v>
      </c>
      <c r="JT87" s="1">
        <f t="shared" ca="1" si="41"/>
        <v>26.272109151124816</v>
      </c>
      <c r="JU87" s="1">
        <f t="shared" ca="1" si="41"/>
        <v>26.357230818006531</v>
      </c>
      <c r="JV87" s="1">
        <f t="shared" ca="1" si="41"/>
        <v>26.442628279196619</v>
      </c>
      <c r="JW87" s="1">
        <f t="shared" ca="1" si="41"/>
        <v>26.528302428268979</v>
      </c>
      <c r="JX87" s="1">
        <f t="shared" ca="1" si="41"/>
        <v>26.614254161692706</v>
      </c>
      <c r="JY87" s="1">
        <f t="shared" ca="1" si="41"/>
        <v>26.700484378841448</v>
      </c>
      <c r="JZ87" s="1">
        <f t="shared" ca="1" si="41"/>
        <v>26.786993982002826</v>
      </c>
      <c r="KA87" s="1">
        <f t="shared" ca="1" si="41"/>
        <v>26.873783876387876</v>
      </c>
      <c r="KB87" s="1">
        <f t="shared" ca="1" si="41"/>
        <v>26.960854970140517</v>
      </c>
      <c r="KC87" s="1">
        <f t="shared" ca="1" si="41"/>
        <v>27.048208174347049</v>
      </c>
      <c r="KD87" s="1">
        <f t="shared" ca="1" si="41"/>
        <v>27.135844403045702</v>
      </c>
      <c r="KE87" s="1">
        <f t="shared" ca="1" si="41"/>
        <v>27.223764573236199</v>
      </c>
      <c r="KF87" s="1">
        <f t="shared" ca="1" si="41"/>
        <v>27.31196960488932</v>
      </c>
      <c r="KG87" s="1">
        <f t="shared" ca="1" si="41"/>
        <v>27.400460420956573</v>
      </c>
      <c r="KH87" s="1">
        <f t="shared" ca="1" si="41"/>
        <v>27.489237947379813</v>
      </c>
      <c r="KI87" s="1">
        <f t="shared" ca="1" si="41"/>
        <v>27.578303113100969</v>
      </c>
      <c r="KJ87" s="1">
        <f t="shared" ca="1" si="41"/>
        <v>27.667656850071715</v>
      </c>
      <c r="KK87" s="1">
        <f t="shared" ca="1" si="41"/>
        <v>27.757300093263272</v>
      </c>
      <c r="KL87" s="1">
        <f t="shared" ca="1" si="41"/>
        <v>27.847233780676159</v>
      </c>
      <c r="KM87" s="1">
        <f t="shared" ca="1" si="41"/>
        <v>27.93745885335003</v>
      </c>
      <c r="KN87" s="1">
        <f t="shared" ca="1" si="41"/>
        <v>28.027976255373488</v>
      </c>
      <c r="KO87" s="1">
        <f t="shared" ca="1" si="41"/>
        <v>28.118786933893993</v>
      </c>
      <c r="KP87" s="1">
        <f t="shared" ca="1" si="41"/>
        <v>28.209891839127781</v>
      </c>
      <c r="KQ87" s="1">
        <f t="shared" ca="1" si="41"/>
        <v>28.301291924369764</v>
      </c>
      <c r="KR87" s="1">
        <f t="shared" ca="1" si="41"/>
        <v>28.392988146003542</v>
      </c>
      <c r="KS87" s="1">
        <f t="shared" ca="1" si="41"/>
        <v>28.484981463511406</v>
      </c>
      <c r="KT87" s="1">
        <f t="shared" ca="1" si="41"/>
        <v>28.577272839484358</v>
      </c>
      <c r="KU87" s="1">
        <f t="shared" ca="1" si="41"/>
        <v>28.669863239632203</v>
      </c>
      <c r="KV87" s="1">
        <f t="shared" ca="1" si="41"/>
        <v>28.762753632793647</v>
      </c>
      <c r="KW87" s="1">
        <f t="shared" ca="1" si="41"/>
        <v>28.855944990946426</v>
      </c>
      <c r="KX87" s="1">
        <f t="shared" ca="1" si="41"/>
        <v>28.949438289217508</v>
      </c>
      <c r="KY87" s="1">
        <f t="shared" ca="1" si="41"/>
        <v>29.043234505893246</v>
      </c>
      <c r="KZ87" s="1">
        <f t="shared" ca="1" si="41"/>
        <v>29.137334622429659</v>
      </c>
      <c r="LA87" s="1">
        <f t="shared" ca="1" si="41"/>
        <v>29.23173962346268</v>
      </c>
      <c r="LB87" s="1">
        <f t="shared" ca="1" si="41"/>
        <v>29.326450496818463</v>
      </c>
      <c r="LC87" s="1">
        <f t="shared" ca="1" si="41"/>
        <v>29.421468233523715</v>
      </c>
      <c r="LD87" s="1">
        <f t="shared" ca="1" si="41"/>
        <v>29.516793827816088</v>
      </c>
      <c r="LE87" s="1">
        <f t="shared" ca="1" si="41"/>
        <v>29.612428277154542</v>
      </c>
      <c r="LF87" s="1">
        <f t="shared" ca="1" si="41"/>
        <v>29.708372582229824</v>
      </c>
      <c r="LG87" s="1">
        <f t="shared" ca="1" si="41"/>
        <v>29.804627746974912</v>
      </c>
      <c r="LH87" s="1">
        <f t="shared" ca="1" si="41"/>
        <v>29.90119477857553</v>
      </c>
      <c r="LI87" s="1">
        <f t="shared" ca="1" si="41"/>
        <v>29.998074687480685</v>
      </c>
      <c r="LJ87" s="1">
        <f t="shared" ca="1" si="41"/>
        <v>30.095268487413236</v>
      </c>
      <c r="LK87" s="1">
        <f t="shared" ca="1" si="41"/>
        <v>30.192777195380508</v>
      </c>
      <c r="LL87" s="1">
        <f t="shared" ca="1" si="41"/>
        <v>30.290601831684942</v>
      </c>
      <c r="LM87" s="1">
        <f t="shared" ca="1" si="41"/>
        <v>30.388743419934737</v>
      </c>
      <c r="LN87" s="1">
        <f t="shared" ref="LN87:NY87" ca="1" si="42">LN86*(1-$C$42)/$I$45</f>
        <v>30.487202987054605</v>
      </c>
      <c r="LO87" s="1">
        <f t="shared" ca="1" si="42"/>
        <v>30.585981563296482</v>
      </c>
      <c r="LP87" s="1">
        <f t="shared" ca="1" si="42"/>
        <v>30.685080182250328</v>
      </c>
      <c r="LQ87" s="1">
        <f t="shared" ca="1" si="42"/>
        <v>30.784499880854945</v>
      </c>
      <c r="LR87" s="1">
        <f t="shared" ca="1" si="42"/>
        <v>30.884241699408793</v>
      </c>
      <c r="LS87" s="1">
        <f t="shared" ca="1" si="42"/>
        <v>30.984306681580918</v>
      </c>
      <c r="LT87" s="1">
        <f t="shared" ca="1" si="42"/>
        <v>31.084695874421861</v>
      </c>
      <c r="LU87" s="1">
        <f t="shared" ca="1" si="42"/>
        <v>31.185410328374587</v>
      </c>
      <c r="LV87" s="1">
        <f t="shared" ca="1" si="42"/>
        <v>31.286451097285511</v>
      </c>
      <c r="LW87" s="1">
        <f t="shared" ca="1" si="42"/>
        <v>31.387819238415524</v>
      </c>
      <c r="LX87" s="1">
        <f t="shared" ca="1" si="42"/>
        <v>31.489515812451017</v>
      </c>
      <c r="LY87" s="1">
        <f t="shared" ca="1" si="42"/>
        <v>31.591541883515024</v>
      </c>
      <c r="LZ87" s="1">
        <f t="shared" ca="1" si="42"/>
        <v>31.693898519178333</v>
      </c>
      <c r="MA87" s="1">
        <f t="shared" ca="1" si="42"/>
        <v>31.796586790470663</v>
      </c>
      <c r="MB87" s="1">
        <f t="shared" ca="1" si="42"/>
        <v>31.899607771891869</v>
      </c>
      <c r="MC87" s="1">
        <f t="shared" ca="1" si="42"/>
        <v>32.002962541423202</v>
      </c>
      <c r="MD87" s="1">
        <f t="shared" ca="1" si="42"/>
        <v>32.106652180538546</v>
      </c>
      <c r="ME87" s="1">
        <f t="shared" ca="1" si="42"/>
        <v>32.210677774215782</v>
      </c>
      <c r="MF87" s="1">
        <f t="shared" ca="1" si="42"/>
        <v>32.315040410948114</v>
      </c>
      <c r="MG87" s="1">
        <f t="shared" ca="1" si="42"/>
        <v>32.419741182755473</v>
      </c>
      <c r="MH87" s="1">
        <f t="shared" ca="1" si="42"/>
        <v>32.524781185195927</v>
      </c>
      <c r="MI87" s="1">
        <f t="shared" ca="1" si="42"/>
        <v>32.630161517377154</v>
      </c>
      <c r="MJ87" s="1">
        <f t="shared" ca="1" si="42"/>
        <v>32.735883281967944</v>
      </c>
      <c r="MK87" s="1">
        <f t="shared" ca="1" si="42"/>
        <v>32.841947585209738</v>
      </c>
      <c r="ML87" s="1">
        <f t="shared" ca="1" si="42"/>
        <v>32.948355536928197</v>
      </c>
      <c r="MM87" s="1">
        <f t="shared" ca="1" si="42"/>
        <v>33.055108250544826</v>
      </c>
      <c r="MN87" s="1">
        <f t="shared" ca="1" si="42"/>
        <v>33.162206843088597</v>
      </c>
      <c r="MO87" s="1">
        <f t="shared" ca="1" si="42"/>
        <v>33.269652435207689</v>
      </c>
      <c r="MP87" s="1">
        <f t="shared" ca="1" si="42"/>
        <v>33.377446151181154</v>
      </c>
      <c r="MQ87" s="1">
        <f t="shared" ca="1" si="42"/>
        <v>33.485589118930719</v>
      </c>
      <c r="MR87" s="1">
        <f t="shared" ca="1" si="42"/>
        <v>33.594082470032589</v>
      </c>
      <c r="MS87" s="1">
        <f t="shared" ca="1" si="42"/>
        <v>33.702927339729264</v>
      </c>
      <c r="MT87" s="1">
        <f t="shared" ca="1" si="42"/>
        <v>33.812124866941438</v>
      </c>
      <c r="MU87" s="1">
        <f t="shared" ca="1" si="42"/>
        <v>33.921676194279904</v>
      </c>
      <c r="MV87" s="1">
        <f t="shared" ca="1" si="42"/>
        <v>34.031582468057522</v>
      </c>
      <c r="MW87" s="1">
        <f t="shared" ca="1" si="42"/>
        <v>34.141844838301196</v>
      </c>
      <c r="MX87" s="1">
        <f t="shared" ca="1" si="42"/>
        <v>34.252464458763939</v>
      </c>
      <c r="MY87" s="1">
        <f t="shared" ca="1" si="42"/>
        <v>34.363442486936904</v>
      </c>
      <c r="MZ87" s="1">
        <f t="shared" ca="1" si="42"/>
        <v>34.474780084061528</v>
      </c>
      <c r="NA87" s="1">
        <f t="shared" ca="1" si="42"/>
        <v>34.586478415141663</v>
      </c>
      <c r="NB87" s="1">
        <f t="shared" ca="1" si="42"/>
        <v>34.698538648955797</v>
      </c>
      <c r="NC87" s="1">
        <f t="shared" ca="1" si="42"/>
        <v>34.810961958069228</v>
      </c>
      <c r="ND87" s="1">
        <f t="shared" ca="1" si="42"/>
        <v>34.923749518846392</v>
      </c>
      <c r="NE87" s="1">
        <f t="shared" ca="1" si="42"/>
        <v>35.036902511463147</v>
      </c>
      <c r="NF87" s="1">
        <f t="shared" ca="1" si="42"/>
        <v>35.150422119919106</v>
      </c>
      <c r="NG87" s="1">
        <f t="shared" ca="1" si="42"/>
        <v>35.264309532050056</v>
      </c>
      <c r="NH87" s="1">
        <f t="shared" ca="1" si="42"/>
        <v>35.378565939540366</v>
      </c>
      <c r="NI87" s="1">
        <f t="shared" ca="1" si="42"/>
        <v>35.493192537935478</v>
      </c>
      <c r="NJ87" s="1">
        <f t="shared" ca="1" si="42"/>
        <v>35.608190526654376</v>
      </c>
      <c r="NK87" s="1">
        <f t="shared" ca="1" si="42"/>
        <v>35.723561109002191</v>
      </c>
      <c r="NL87" s="1">
        <f t="shared" ca="1" si="42"/>
        <v>35.839305492182746</v>
      </c>
      <c r="NM87" s="1">
        <f t="shared" ca="1" si="42"/>
        <v>35.955424887311217</v>
      </c>
      <c r="NN87" s="1">
        <f t="shared" ca="1" si="42"/>
        <v>36.071920509426782</v>
      </c>
      <c r="NO87" s="1">
        <f t="shared" ca="1" si="42"/>
        <v>36.188793577505351</v>
      </c>
      <c r="NP87" s="1">
        <f t="shared" ca="1" si="42"/>
        <v>36.306045314472335</v>
      </c>
      <c r="NQ87" s="1">
        <f t="shared" ca="1" si="42"/>
        <v>36.423676947215405</v>
      </c>
      <c r="NR87" s="1">
        <f t="shared" ca="1" si="42"/>
        <v>36.541689706597353</v>
      </c>
      <c r="NS87" s="1">
        <f t="shared" ca="1" si="42"/>
        <v>36.660084827468985</v>
      </c>
      <c r="NT87" s="1">
        <f t="shared" ca="1" si="42"/>
        <v>36.778863548681997</v>
      </c>
      <c r="NU87" s="1">
        <f t="shared" ca="1" si="42"/>
        <v>36.898027113101975</v>
      </c>
      <c r="NV87" s="1">
        <f t="shared" ca="1" si="42"/>
        <v>37.017576767621414</v>
      </c>
      <c r="NW87" s="1">
        <f t="shared" ca="1" si="42"/>
        <v>37.137513763172713</v>
      </c>
      <c r="NX87" s="1">
        <f t="shared" ca="1" si="42"/>
        <v>37.257839354741314</v>
      </c>
      <c r="NY87" s="1">
        <f t="shared" ca="1" si="42"/>
        <v>37.378554801378797</v>
      </c>
      <c r="NZ87" s="1">
        <f t="shared" ref="NZ87:QK87" ca="1" si="43">NZ86*(1-$C$42)/$I$45</f>
        <v>37.499661366216088</v>
      </c>
      <c r="OA87" s="1">
        <f t="shared" ca="1" si="43"/>
        <v>37.621160316476633</v>
      </c>
      <c r="OB87" s="1">
        <f t="shared" ca="1" si="43"/>
        <v>37.743052923489714</v>
      </c>
      <c r="OC87" s="1">
        <f t="shared" ca="1" si="43"/>
        <v>37.865340462703706</v>
      </c>
      <c r="OD87" s="1">
        <f t="shared" ca="1" si="43"/>
        <v>37.988024213699426</v>
      </c>
      <c r="OE87" s="1">
        <f t="shared" ca="1" si="43"/>
        <v>38.111105460203561</v>
      </c>
      <c r="OF87" s="1">
        <f t="shared" ca="1" si="43"/>
        <v>38.234585490102056</v>
      </c>
      <c r="OG87" s="1">
        <f t="shared" ca="1" si="43"/>
        <v>38.358465595453602</v>
      </c>
      <c r="OH87" s="1">
        <f t="shared" ca="1" si="43"/>
        <v>38.482747072503201</v>
      </c>
      <c r="OI87" s="1">
        <f t="shared" ca="1" si="43"/>
        <v>38.607431221695641</v>
      </c>
      <c r="OJ87" s="1">
        <f t="shared" ca="1" si="43"/>
        <v>38.732519347689177</v>
      </c>
      <c r="OK87" s="1">
        <f t="shared" ca="1" si="43"/>
        <v>38.858012759369167</v>
      </c>
      <c r="OL87" s="1">
        <f t="shared" ca="1" si="43"/>
        <v>38.983912769861739</v>
      </c>
      <c r="OM87" s="1">
        <f t="shared" ca="1" si="43"/>
        <v>39.11022069654755</v>
      </c>
      <c r="ON87" s="1">
        <f t="shared" ca="1" si="43"/>
        <v>39.236937861075603</v>
      </c>
      <c r="OO87" s="1">
        <f t="shared" ca="1" si="43"/>
        <v>39.364065589377006</v>
      </c>
      <c r="OP87" s="1">
        <f t="shared" ca="1" si="43"/>
        <v>39.491605211678916</v>
      </c>
      <c r="OQ87" s="1">
        <f t="shared" ca="1" si="43"/>
        <v>39.619558062518408</v>
      </c>
      <c r="OR87" s="1">
        <f t="shared" ca="1" si="43"/>
        <v>39.747925480756471</v>
      </c>
      <c r="OS87" s="1">
        <f t="shared" ca="1" si="43"/>
        <v>39.876708809592003</v>
      </c>
      <c r="OT87" s="1">
        <f t="shared" ca="1" si="43"/>
        <v>40.005909396575859</v>
      </c>
      <c r="OU87" s="1">
        <f t="shared" ca="1" si="43"/>
        <v>40.135528593624969</v>
      </c>
      <c r="OV87" s="1">
        <f t="shared" ca="1" si="43"/>
        <v>40.265567757036479</v>
      </c>
      <c r="OW87" s="1">
        <f t="shared" ca="1" si="43"/>
        <v>40.396028247501924</v>
      </c>
      <c r="OX87" s="1">
        <f t="shared" ca="1" si="43"/>
        <v>40.526911430121515</v>
      </c>
      <c r="OY87" s="1">
        <f t="shared" ca="1" si="43"/>
        <v>40.658218674418336</v>
      </c>
      <c r="OZ87" s="1">
        <f t="shared" ca="1" si="43"/>
        <v>40.789951354352773</v>
      </c>
      <c r="PA87" s="1">
        <f t="shared" ca="1" si="43"/>
        <v>40.922110848336828</v>
      </c>
      <c r="PB87" s="1">
        <f t="shared" ca="1" si="43"/>
        <v>41.054698539248569</v>
      </c>
      <c r="PC87" s="1">
        <f t="shared" ca="1" si="43"/>
        <v>41.18771581444657</v>
      </c>
      <c r="PD87" s="1">
        <f t="shared" ca="1" si="43"/>
        <v>41.321164065784473</v>
      </c>
      <c r="PE87" s="1">
        <f t="shared" ca="1" si="43"/>
        <v>41.455044689625517</v>
      </c>
      <c r="PF87" s="1">
        <f t="shared" ca="1" si="43"/>
        <v>41.589359086857144</v>
      </c>
      <c r="PG87" s="1">
        <f t="shared" ca="1" si="43"/>
        <v>41.724108662905707</v>
      </c>
      <c r="PH87" s="1">
        <f t="shared" ca="1" si="43"/>
        <v>41.859294827751107</v>
      </c>
      <c r="PI87" s="1">
        <f t="shared" ca="1" si="43"/>
        <v>41.994918995941603</v>
      </c>
      <c r="PJ87" s="1">
        <f t="shared" ca="1" si="43"/>
        <v>42.130982586608596</v>
      </c>
      <c r="PK87" s="1">
        <f t="shared" ca="1" si="43"/>
        <v>42.267487023481465</v>
      </c>
      <c r="PL87" s="1">
        <f t="shared" ca="1" si="43"/>
        <v>42.404433734902462</v>
      </c>
      <c r="PM87" s="1">
        <f t="shared" ca="1" si="43"/>
        <v>42.541824153841688</v>
      </c>
      <c r="PN87" s="1">
        <f t="shared" ca="1" si="43"/>
        <v>42.679659717912067</v>
      </c>
      <c r="PO87" s="1">
        <f t="shared" ca="1" si="43"/>
        <v>42.817941869384384</v>
      </c>
      <c r="PP87" s="1">
        <f t="shared" ca="1" si="43"/>
        <v>42.956672055202382</v>
      </c>
      <c r="PQ87" s="1">
        <f t="shared" ca="1" si="43"/>
        <v>43.095851726997921</v>
      </c>
      <c r="PR87" s="1">
        <f t="shared" ca="1" si="43"/>
        <v>43.235482341106128</v>
      </c>
      <c r="PS87" s="1">
        <f t="shared" ca="1" si="43"/>
        <v>43.375565358580666</v>
      </c>
      <c r="PT87" s="1">
        <f t="shared" ca="1" si="43"/>
        <v>43.516102245209005</v>
      </c>
      <c r="PU87" s="1">
        <f t="shared" ca="1" si="43"/>
        <v>43.657094471527799</v>
      </c>
      <c r="PV87" s="1">
        <f t="shared" ca="1" si="43"/>
        <v>43.798543512838208</v>
      </c>
      <c r="PW87" s="1">
        <f t="shared" ca="1" si="43"/>
        <v>43.940450849221385</v>
      </c>
      <c r="PX87" s="1">
        <f t="shared" ca="1" si="43"/>
        <v>44.082817965553943</v>
      </c>
      <c r="PY87" s="1">
        <f t="shared" ca="1" si="43"/>
        <v>44.225646351523501</v>
      </c>
      <c r="PZ87" s="1">
        <f t="shared" ca="1" si="43"/>
        <v>44.368937501644268</v>
      </c>
      <c r="QA87" s="1">
        <f t="shared" ca="1" si="43"/>
        <v>44.51269291527268</v>
      </c>
      <c r="QB87" s="1">
        <f t="shared" ca="1" si="43"/>
        <v>44.656914096623083</v>
      </c>
      <c r="QC87" s="1">
        <f t="shared" ca="1" si="43"/>
        <v>44.801602554783493</v>
      </c>
      <c r="QD87" s="1">
        <f t="shared" ca="1" si="43"/>
        <v>44.946759803731361</v>
      </c>
      <c r="QE87" s="1">
        <f t="shared" ca="1" si="43"/>
        <v>45.09238736234942</v>
      </c>
      <c r="QF87" s="1">
        <f t="shared" ca="1" si="43"/>
        <v>45.238486754441631</v>
      </c>
      <c r="QG87" s="1">
        <f t="shared" ca="1" si="43"/>
        <v>45.385059508749002</v>
      </c>
      <c r="QH87" s="1">
        <f t="shared" ca="1" si="43"/>
        <v>45.532107158965751</v>
      </c>
      <c r="QI87" s="1">
        <f t="shared" ca="1" si="43"/>
        <v>45.679631243755189</v>
      </c>
      <c r="QJ87" s="1">
        <f t="shared" ca="1" si="43"/>
        <v>45.827633306765961</v>
      </c>
      <c r="QK87" s="1">
        <f t="shared" ca="1" si="43"/>
        <v>45.976114896648092</v>
      </c>
      <c r="QL87" s="1">
        <f t="shared" ref="QL87:RR87" ca="1" si="44">QL86*(1-$C$42)/$I$45</f>
        <v>46.125077567069255</v>
      </c>
      <c r="QM87" s="1">
        <f t="shared" ca="1" si="44"/>
        <v>46.274522876731027</v>
      </c>
      <c r="QN87" s="1">
        <f t="shared" ca="1" si="44"/>
        <v>46.424452389385117</v>
      </c>
      <c r="QO87" s="1">
        <f t="shared" ca="1" si="44"/>
        <v>46.574867673849866</v>
      </c>
      <c r="QP87" s="1">
        <f t="shared" ca="1" si="44"/>
        <v>46.725770304026547</v>
      </c>
      <c r="QQ87" s="1">
        <f t="shared" ca="1" si="44"/>
        <v>46.877161858915876</v>
      </c>
      <c r="QR87" s="1">
        <f t="shared" ca="1" si="44"/>
        <v>47.02904392263455</v>
      </c>
      <c r="QS87" s="1">
        <f t="shared" ca="1" si="44"/>
        <v>47.18141808443179</v>
      </c>
      <c r="QT87" s="1">
        <f t="shared" ca="1" si="44"/>
        <v>47.334285938705982</v>
      </c>
      <c r="QU87" s="1">
        <f t="shared" ca="1" si="44"/>
        <v>47.487649085021395</v>
      </c>
      <c r="QV87" s="1">
        <f t="shared" ca="1" si="44"/>
        <v>47.641509128124859</v>
      </c>
      <c r="QW87" s="1">
        <f t="shared" ca="1" si="44"/>
        <v>47.795867677962597</v>
      </c>
      <c r="QX87" s="1">
        <f t="shared" ca="1" si="44"/>
        <v>47.950726349697064</v>
      </c>
      <c r="QY87" s="1">
        <f t="shared" ca="1" si="44"/>
        <v>48.106086763723837</v>
      </c>
      <c r="QZ87" s="1">
        <f t="shared" ca="1" si="44"/>
        <v>48.26195054568857</v>
      </c>
      <c r="RA87" s="1">
        <f t="shared" ca="1" si="44"/>
        <v>48.418319326504026</v>
      </c>
      <c r="RB87" s="1">
        <f t="shared" ca="1" si="44"/>
        <v>48.575194742367124</v>
      </c>
      <c r="RC87" s="1">
        <f t="shared" ca="1" si="44"/>
        <v>48.732578434776045</v>
      </c>
      <c r="RD87" s="1">
        <f t="shared" ca="1" si="44"/>
        <v>48.890472050547444</v>
      </c>
      <c r="RE87" s="1">
        <f t="shared" ca="1" si="44"/>
        <v>49.048877241833672</v>
      </c>
      <c r="RF87" s="1">
        <f t="shared" ca="1" si="44"/>
        <v>49.207795666140036</v>
      </c>
      <c r="RG87" s="1">
        <f t="shared" ca="1" si="44"/>
        <v>49.36722898634217</v>
      </c>
      <c r="RH87" s="1">
        <f t="shared" ca="1" si="44"/>
        <v>49.52717887070343</v>
      </c>
      <c r="RI87" s="1">
        <f t="shared" ca="1" si="44"/>
        <v>49.68764699289234</v>
      </c>
      <c r="RJ87" s="1">
        <f t="shared" ca="1" si="44"/>
        <v>49.848635032000125</v>
      </c>
      <c r="RK87" s="1">
        <f t="shared" ca="1" si="44"/>
        <v>50.010144672558255</v>
      </c>
      <c r="RL87" s="1">
        <f t="shared" ca="1" si="44"/>
        <v>50.17217760455609</v>
      </c>
      <c r="RM87" s="1">
        <f t="shared" ca="1" si="44"/>
        <v>50.334735523458562</v>
      </c>
      <c r="RN87" s="1">
        <f t="shared" ca="1" si="44"/>
        <v>50.497820130223893</v>
      </c>
      <c r="RO87" s="1">
        <f t="shared" ca="1" si="44"/>
        <v>50.661433131321431</v>
      </c>
      <c r="RP87" s="1">
        <f t="shared" ca="1" si="44"/>
        <v>50.825576238749491</v>
      </c>
      <c r="RQ87" s="1">
        <f t="shared" ca="1" si="44"/>
        <v>50.990251170053249</v>
      </c>
      <c r="RR87" s="1">
        <f t="shared" ca="1" si="44"/>
        <v>51.15545964834272</v>
      </c>
    </row>
    <row r="88" spans="1:486" s="9" customFormat="1">
      <c r="A88" s="289"/>
      <c r="B88" s="66" t="s">
        <v>483</v>
      </c>
      <c r="E88" s="1">
        <f>G45</f>
        <v>48.37</v>
      </c>
      <c r="F88" s="1">
        <f ca="1">(1+F$84)*E88</f>
        <v>48.526724917979422</v>
      </c>
      <c r="G88" s="1">
        <f t="shared" ref="G88:BR88" ca="1" si="45">(1+G$84)*F88</f>
        <v>48.683957644516127</v>
      </c>
      <c r="H88" s="1">
        <f t="shared" ca="1" si="45"/>
        <v>48.841699824974064</v>
      </c>
      <c r="I88" s="1">
        <f t="shared" ca="1" si="45"/>
        <v>48.999953110048381</v>
      </c>
      <c r="J88" s="1">
        <f t="shared" ca="1" si="45"/>
        <v>49.158719155782677</v>
      </c>
      <c r="K88" s="1">
        <f t="shared" ca="1" si="45"/>
        <v>49.317999623586346</v>
      </c>
      <c r="L88" s="1">
        <f t="shared" ca="1" si="45"/>
        <v>49.477796180251957</v>
      </c>
      <c r="M88" s="1">
        <f t="shared" ca="1" si="45"/>
        <v>49.638110497972704</v>
      </c>
      <c r="N88" s="1">
        <f t="shared" ca="1" si="45"/>
        <v>49.798944254359895</v>
      </c>
      <c r="O88" s="1">
        <f t="shared" ca="1" si="45"/>
        <v>49.960299132460506</v>
      </c>
      <c r="P88" s="1">
        <f t="shared" ca="1" si="45"/>
        <v>50.122176820774797</v>
      </c>
      <c r="Q88" s="1">
        <f t="shared" ca="1" si="45"/>
        <v>50.284579013273991</v>
      </c>
      <c r="R88" s="1">
        <f t="shared" ca="1" si="45"/>
        <v>50.447507409417987</v>
      </c>
      <c r="S88" s="1">
        <f t="shared" ca="1" si="45"/>
        <v>50.610963714173153</v>
      </c>
      <c r="T88" s="1">
        <f t="shared" ca="1" si="45"/>
        <v>50.774949638030158</v>
      </c>
      <c r="U88" s="1">
        <f t="shared" ca="1" si="45"/>
        <v>50.93946689702188</v>
      </c>
      <c r="V88" s="1">
        <f t="shared" ca="1" si="45"/>
        <v>51.104517212741364</v>
      </c>
      <c r="W88" s="1">
        <f t="shared" ca="1" si="45"/>
        <v>51.270102312359825</v>
      </c>
      <c r="X88" s="1">
        <f t="shared" ca="1" si="45"/>
        <v>51.436223928644736</v>
      </c>
      <c r="Y88" s="1">
        <f t="shared" ca="1" si="45"/>
        <v>51.60288379997796</v>
      </c>
      <c r="Z88" s="1">
        <f t="shared" ca="1" si="45"/>
        <v>51.770083670373936</v>
      </c>
      <c r="AA88" s="1">
        <f t="shared" ca="1" si="45"/>
        <v>51.937825289497923</v>
      </c>
      <c r="AB88" s="1">
        <f t="shared" ca="1" si="45"/>
        <v>52.106110412684323</v>
      </c>
      <c r="AC88" s="1">
        <f t="shared" ca="1" si="45"/>
        <v>52.274940800955044</v>
      </c>
      <c r="AD88" s="1">
        <f t="shared" ca="1" si="45"/>
        <v>52.444318221037925</v>
      </c>
      <c r="AE88" s="1">
        <f t="shared" ca="1" si="45"/>
        <v>52.614244445385225</v>
      </c>
      <c r="AF88" s="1">
        <f t="shared" ca="1" si="45"/>
        <v>52.784721252192178</v>
      </c>
      <c r="AG88" s="1">
        <f t="shared" ca="1" si="45"/>
        <v>52.955750425415594</v>
      </c>
      <c r="AH88" s="1">
        <f t="shared" ca="1" si="45"/>
        <v>53.127333754792524</v>
      </c>
      <c r="AI88" s="1">
        <f t="shared" ca="1" si="45"/>
        <v>53.299473035858995</v>
      </c>
      <c r="AJ88" s="1">
        <f t="shared" ca="1" si="45"/>
        <v>53.472170069968804</v>
      </c>
      <c r="AK88" s="1">
        <f t="shared" ca="1" si="45"/>
        <v>53.645426664312353</v>
      </c>
      <c r="AL88" s="1">
        <f t="shared" ca="1" si="45"/>
        <v>53.819244631935582</v>
      </c>
      <c r="AM88" s="1">
        <f t="shared" ca="1" si="45"/>
        <v>53.993625791758916</v>
      </c>
      <c r="AN88" s="1">
        <f t="shared" ca="1" si="45"/>
        <v>54.168571968596318</v>
      </c>
      <c r="AO88" s="1">
        <f t="shared" ca="1" si="45"/>
        <v>54.344084993174377</v>
      </c>
      <c r="AP88" s="1">
        <f t="shared" ca="1" si="45"/>
        <v>54.520166702151471</v>
      </c>
      <c r="AQ88" s="1">
        <f t="shared" ca="1" si="45"/>
        <v>54.696818938136978</v>
      </c>
      <c r="AR88" s="1">
        <f t="shared" ca="1" si="45"/>
        <v>54.874043549710578</v>
      </c>
      <c r="AS88" s="1">
        <f t="shared" ca="1" si="45"/>
        <v>55.051842391441561</v>
      </c>
      <c r="AT88" s="1">
        <f t="shared" ca="1" si="45"/>
        <v>55.230217323908271</v>
      </c>
      <c r="AU88" s="1">
        <f t="shared" ca="1" si="45"/>
        <v>55.409170213717559</v>
      </c>
      <c r="AV88" s="1">
        <f t="shared" ca="1" si="45"/>
        <v>55.588702933524317</v>
      </c>
      <c r="AW88" s="1">
        <f t="shared" ca="1" si="45"/>
        <v>55.768817362051074</v>
      </c>
      <c r="AX88" s="1">
        <f t="shared" ca="1" si="45"/>
        <v>55.949515384107656</v>
      </c>
      <c r="AY88" s="1">
        <f t="shared" ca="1" si="45"/>
        <v>56.130798890610919</v>
      </c>
      <c r="AZ88" s="1">
        <f t="shared" ca="1" si="45"/>
        <v>56.312669778604523</v>
      </c>
      <c r="BA88" s="1">
        <f t="shared" ca="1" si="45"/>
        <v>56.495129951278784</v>
      </c>
      <c r="BB88" s="1">
        <f t="shared" ca="1" si="45"/>
        <v>56.678181317990607</v>
      </c>
      <c r="BC88" s="1">
        <f t="shared" ca="1" si="45"/>
        <v>56.861825794283455</v>
      </c>
      <c r="BD88" s="1">
        <f t="shared" ca="1" si="45"/>
        <v>57.046065301907383</v>
      </c>
      <c r="BE88" s="1">
        <f t="shared" ca="1" si="45"/>
        <v>57.230901768839161</v>
      </c>
      <c r="BF88" s="1">
        <f t="shared" ca="1" si="45"/>
        <v>57.416337129302455</v>
      </c>
      <c r="BG88" s="1">
        <f t="shared" ca="1" si="45"/>
        <v>57.602373323788065</v>
      </c>
      <c r="BH88" s="1">
        <f t="shared" ca="1" si="45"/>
        <v>57.789012299074209</v>
      </c>
      <c r="BI88" s="1">
        <f t="shared" ca="1" si="45"/>
        <v>57.976256008246921</v>
      </c>
      <c r="BJ88" s="1">
        <f t="shared" ca="1" si="45"/>
        <v>58.164106410720493</v>
      </c>
      <c r="BK88" s="1">
        <f t="shared" ca="1" si="45"/>
        <v>58.352565472257943</v>
      </c>
      <c r="BL88" s="1">
        <f t="shared" ca="1" si="45"/>
        <v>58.541635164991632</v>
      </c>
      <c r="BM88" s="1">
        <f t="shared" ca="1" si="45"/>
        <v>58.731317467443866</v>
      </c>
      <c r="BN88" s="1">
        <f t="shared" ca="1" si="45"/>
        <v>58.921614364547622</v>
      </c>
      <c r="BO88" s="1">
        <f t="shared" ca="1" si="45"/>
        <v>59.112527847667302</v>
      </c>
      <c r="BP88" s="1">
        <f t="shared" ca="1" si="45"/>
        <v>59.304059914619586</v>
      </c>
      <c r="BQ88" s="1">
        <f t="shared" ca="1" si="45"/>
        <v>59.496212569694336</v>
      </c>
      <c r="BR88" s="1">
        <f t="shared" ca="1" si="45"/>
        <v>59.688987823675554</v>
      </c>
      <c r="BS88" s="1">
        <f t="shared" ref="BS88:ED88" ca="1" si="46">(1+BS$84)*BR88</f>
        <v>59.882387693862455</v>
      </c>
      <c r="BT88" s="1">
        <f t="shared" ca="1" si="46"/>
        <v>60.07641420409054</v>
      </c>
      <c r="BU88" s="1">
        <f t="shared" ca="1" si="46"/>
        <v>60.271069384752806</v>
      </c>
      <c r="BV88" s="1">
        <f t="shared" ca="1" si="46"/>
        <v>60.466355272820977</v>
      </c>
      <c r="BW88" s="1">
        <f t="shared" ca="1" si="46"/>
        <v>60.662273911866819</v>
      </c>
      <c r="BX88" s="1">
        <f t="shared" ca="1" si="46"/>
        <v>60.858827352083537</v>
      </c>
      <c r="BY88" s="1">
        <f t="shared" ca="1" si="46"/>
        <v>61.056017650307211</v>
      </c>
      <c r="BZ88" s="1">
        <f t="shared" ca="1" si="46"/>
        <v>61.253846870038338</v>
      </c>
      <c r="CA88" s="1">
        <f t="shared" ca="1" si="46"/>
        <v>61.452317081463413</v>
      </c>
      <c r="CB88" s="1">
        <f t="shared" ca="1" si="46"/>
        <v>61.651430361476599</v>
      </c>
      <c r="CC88" s="1">
        <f t="shared" ca="1" si="46"/>
        <v>61.851188793701461</v>
      </c>
      <c r="CD88" s="1">
        <f t="shared" ca="1" si="46"/>
        <v>62.051594468512761</v>
      </c>
      <c r="CE88" s="1">
        <f t="shared" ca="1" si="46"/>
        <v>62.252649483058349</v>
      </c>
      <c r="CF88" s="1">
        <f t="shared" ca="1" si="46"/>
        <v>62.454355941281094</v>
      </c>
      <c r="CG88" s="1">
        <f t="shared" ca="1" si="46"/>
        <v>62.656715953940903</v>
      </c>
      <c r="CH88" s="1">
        <f t="shared" ca="1" si="46"/>
        <v>62.859731638636816</v>
      </c>
      <c r="CI88" s="1">
        <f t="shared" ca="1" si="46"/>
        <v>63.063405119829163</v>
      </c>
      <c r="CJ88" s="1">
        <f t="shared" ca="1" si="46"/>
        <v>63.267738528861791</v>
      </c>
      <c r="CK88" s="1">
        <f t="shared" ca="1" si="46"/>
        <v>63.472734003984378</v>
      </c>
      <c r="CL88" s="1">
        <f t="shared" ca="1" si="46"/>
        <v>63.67839369037479</v>
      </c>
      <c r="CM88" s="1">
        <f t="shared" ca="1" si="46"/>
        <v>63.884719740161543</v>
      </c>
      <c r="CN88" s="1">
        <f t="shared" ca="1" si="46"/>
        <v>64.091714312446328</v>
      </c>
      <c r="CO88" s="1">
        <f t="shared" ca="1" si="46"/>
        <v>64.299379573326604</v>
      </c>
      <c r="CP88" s="1">
        <f t="shared" ca="1" si="46"/>
        <v>64.507717695918245</v>
      </c>
      <c r="CQ88" s="1">
        <f t="shared" ca="1" si="46"/>
        <v>64.716730860378291</v>
      </c>
      <c r="CR88" s="1">
        <f t="shared" ca="1" si="46"/>
        <v>64.926421253927785</v>
      </c>
      <c r="CS88" s="1">
        <f t="shared" ca="1" si="46"/>
        <v>65.136791070874636</v>
      </c>
      <c r="CT88" s="1">
        <f t="shared" ca="1" si="46"/>
        <v>65.347842512636589</v>
      </c>
      <c r="CU88" s="1">
        <f t="shared" ca="1" si="46"/>
        <v>65.559577787764255</v>
      </c>
      <c r="CV88" s="1">
        <f t="shared" ca="1" si="46"/>
        <v>65.771999111964234</v>
      </c>
      <c r="CW88" s="1">
        <f t="shared" ca="1" si="46"/>
        <v>65.985108708122297</v>
      </c>
      <c r="CX88" s="1">
        <f t="shared" ca="1" si="46"/>
        <v>66.198908806326628</v>
      </c>
      <c r="CY88" s="1">
        <f t="shared" ca="1" si="46"/>
        <v>66.413401643891206</v>
      </c>
      <c r="CZ88" s="1">
        <f t="shared" ca="1" si="46"/>
        <v>66.628589465379179</v>
      </c>
      <c r="DA88" s="1">
        <f t="shared" ca="1" si="46"/>
        <v>66.844474522626356</v>
      </c>
      <c r="DB88" s="1">
        <f t="shared" ca="1" si="46"/>
        <v>67.061059074764799</v>
      </c>
      <c r="DC88" s="1">
        <f t="shared" ca="1" si="46"/>
        <v>67.278345388246407</v>
      </c>
      <c r="DD88" s="1">
        <f t="shared" ca="1" si="46"/>
        <v>67.496335736866712</v>
      </c>
      <c r="DE88" s="1">
        <f t="shared" ca="1" si="46"/>
        <v>67.715032401788605</v>
      </c>
      <c r="DF88" s="1">
        <f t="shared" ca="1" si="46"/>
        <v>67.934437671566243</v>
      </c>
      <c r="DG88" s="1">
        <f t="shared" ca="1" si="46"/>
        <v>68.15455384216898</v>
      </c>
      <c r="DH88" s="1">
        <f t="shared" ca="1" si="46"/>
        <v>68.375383217005407</v>
      </c>
      <c r="DI88" s="1">
        <f t="shared" ca="1" si="46"/>
        <v>68.596928106947459</v>
      </c>
      <c r="DJ88" s="1">
        <f t="shared" ca="1" si="46"/>
        <v>68.819190830354557</v>
      </c>
      <c r="DK88" s="1">
        <f t="shared" ca="1" si="46"/>
        <v>69.042173713097938</v>
      </c>
      <c r="DL88" s="1">
        <f t="shared" ca="1" si="46"/>
        <v>69.265879088584938</v>
      </c>
      <c r="DM88" s="1">
        <f t="shared" ca="1" si="46"/>
        <v>69.490309297783426</v>
      </c>
      <c r="DN88" s="1">
        <f t="shared" ca="1" si="46"/>
        <v>69.715466689246313</v>
      </c>
      <c r="DO88" s="1">
        <f t="shared" ca="1" si="46"/>
        <v>69.941353619136109</v>
      </c>
      <c r="DP88" s="1">
        <f t="shared" ca="1" si="46"/>
        <v>70.167972451249582</v>
      </c>
      <c r="DQ88" s="1">
        <f t="shared" ca="1" si="46"/>
        <v>70.395325557042526</v>
      </c>
      <c r="DR88" s="1">
        <f t="shared" ca="1" si="46"/>
        <v>70.623415315654526</v>
      </c>
      <c r="DS88" s="1">
        <f t="shared" ca="1" si="46"/>
        <v>70.852244113933892</v>
      </c>
      <c r="DT88" s="1">
        <f t="shared" ca="1" si="46"/>
        <v>71.081814346462622</v>
      </c>
      <c r="DU88" s="1">
        <f t="shared" ca="1" si="46"/>
        <v>71.312128415581455</v>
      </c>
      <c r="DV88" s="1">
        <f t="shared" ca="1" si="46"/>
        <v>71.543188731415029</v>
      </c>
      <c r="DW88" s="1">
        <f t="shared" ca="1" si="46"/>
        <v>71.774997711897086</v>
      </c>
      <c r="DX88" s="1">
        <f t="shared" ca="1" si="46"/>
        <v>72.007557782795786</v>
      </c>
      <c r="DY88" s="1">
        <f t="shared" ca="1" si="46"/>
        <v>72.240871377739083</v>
      </c>
      <c r="DZ88" s="1">
        <f t="shared" ca="1" si="46"/>
        <v>72.474940938240181</v>
      </c>
      <c r="EA88" s="1">
        <f t="shared" ca="1" si="46"/>
        <v>72.70976891372311</v>
      </c>
      <c r="EB88" s="1">
        <f t="shared" ca="1" si="46"/>
        <v>72.945357761548337</v>
      </c>
      <c r="EC88" s="1">
        <f t="shared" ca="1" si="46"/>
        <v>73.181709947038485</v>
      </c>
      <c r="ED88" s="1">
        <f t="shared" ca="1" si="46"/>
        <v>73.418827943504141</v>
      </c>
      <c r="EE88" s="1">
        <f t="shared" ref="EE88:GP88" ca="1" si="47">(1+EE$84)*ED88</f>
        <v>73.656714232269721</v>
      </c>
      <c r="EF88" s="1">
        <f t="shared" ca="1" si="47"/>
        <v>73.895371302699459</v>
      </c>
      <c r="EG88" s="1">
        <f t="shared" ca="1" si="47"/>
        <v>74.13480165222343</v>
      </c>
      <c r="EH88" s="1">
        <f t="shared" ca="1" si="47"/>
        <v>74.37500778636371</v>
      </c>
      <c r="EI88" s="1">
        <f t="shared" ca="1" si="47"/>
        <v>74.615992218760582</v>
      </c>
      <c r="EJ88" s="1">
        <f t="shared" ca="1" si="47"/>
        <v>74.857757471198838</v>
      </c>
      <c r="EK88" s="1">
        <f t="shared" ca="1" si="47"/>
        <v>75.100306073634172</v>
      </c>
      <c r="EL88" s="1">
        <f t="shared" ca="1" si="47"/>
        <v>75.343640564219655</v>
      </c>
      <c r="EM88" s="1">
        <f t="shared" ca="1" si="47"/>
        <v>75.587763489332289</v>
      </c>
      <c r="EN88" s="1">
        <f t="shared" ca="1" si="47"/>
        <v>75.832677403599675</v>
      </c>
      <c r="EO88" s="1">
        <f t="shared" ca="1" si="47"/>
        <v>76.078384869926722</v>
      </c>
      <c r="EP88" s="1">
        <f t="shared" ca="1" si="47"/>
        <v>76.324888459522469</v>
      </c>
      <c r="EQ88" s="1">
        <f t="shared" ca="1" si="47"/>
        <v>76.572190751926996</v>
      </c>
      <c r="ER88" s="1">
        <f t="shared" ca="1" si="47"/>
        <v>76.82029433503844</v>
      </c>
      <c r="ES88" s="1">
        <f t="shared" ca="1" si="47"/>
        <v>77.069201805140025</v>
      </c>
      <c r="ET88" s="1">
        <f t="shared" ca="1" si="47"/>
        <v>77.31891576692729</v>
      </c>
      <c r="EU88" s="1">
        <f t="shared" ca="1" si="47"/>
        <v>77.569438833535301</v>
      </c>
      <c r="EV88" s="1">
        <f t="shared" ca="1" si="47"/>
        <v>77.820773626566009</v>
      </c>
      <c r="EW88" s="1">
        <f t="shared" ca="1" si="47"/>
        <v>78.072922776115703</v>
      </c>
      <c r="EX88" s="1">
        <f t="shared" ca="1" si="47"/>
        <v>78.325888920802498</v>
      </c>
      <c r="EY88" s="1">
        <f t="shared" ca="1" si="47"/>
        <v>78.579674707793984</v>
      </c>
      <c r="EZ88" s="1">
        <f t="shared" ca="1" si="47"/>
        <v>78.834282792834898</v>
      </c>
      <c r="FA88" s="1">
        <f t="shared" ca="1" si="47"/>
        <v>79.08971584027492</v>
      </c>
      <c r="FB88" s="1">
        <f t="shared" ca="1" si="47"/>
        <v>79.345976523096567</v>
      </c>
      <c r="FC88" s="1">
        <f t="shared" ca="1" si="47"/>
        <v>79.603067522943149</v>
      </c>
      <c r="FD88" s="1">
        <f t="shared" ca="1" si="47"/>
        <v>79.860991530146862</v>
      </c>
      <c r="FE88" s="1">
        <f t="shared" ca="1" si="47"/>
        <v>80.119751243756909</v>
      </c>
      <c r="FF88" s="1">
        <f t="shared" ca="1" si="47"/>
        <v>80.379349371567727</v>
      </c>
      <c r="FG88" s="1">
        <f t="shared" ca="1" si="47"/>
        <v>80.639788630147393</v>
      </c>
      <c r="FH88" s="1">
        <f t="shared" ca="1" si="47"/>
        <v>80.901071744865973</v>
      </c>
      <c r="FI88" s="1">
        <f t="shared" ca="1" si="47"/>
        <v>81.163201449924102</v>
      </c>
      <c r="FJ88" s="1">
        <f t="shared" ca="1" si="47"/>
        <v>81.426180488381547</v>
      </c>
      <c r="FK88" s="1">
        <f t="shared" ca="1" si="47"/>
        <v>81.690011612185955</v>
      </c>
      <c r="FL88" s="1">
        <f t="shared" ca="1" si="47"/>
        <v>81.954697582201618</v>
      </c>
      <c r="FM88" s="1">
        <f t="shared" ca="1" si="47"/>
        <v>82.220241168238402</v>
      </c>
      <c r="FN88" s="1">
        <f t="shared" ca="1" si="47"/>
        <v>82.486645149080672</v>
      </c>
      <c r="FO88" s="1">
        <f t="shared" ca="1" si="47"/>
        <v>82.75391231251642</v>
      </c>
      <c r="FP88" s="1">
        <f t="shared" ca="1" si="47"/>
        <v>83.022045455366438</v>
      </c>
      <c r="FQ88" s="1">
        <f t="shared" ca="1" si="47"/>
        <v>83.291047383513558</v>
      </c>
      <c r="FR88" s="1">
        <f t="shared" ca="1" si="47"/>
        <v>83.56092091193203</v>
      </c>
      <c r="FS88" s="1">
        <f t="shared" ca="1" si="47"/>
        <v>83.831668864716974</v>
      </c>
      <c r="FT88" s="1">
        <f t="shared" ca="1" si="47"/>
        <v>84.103294075113936</v>
      </c>
      <c r="FU88" s="1">
        <f t="shared" ca="1" si="47"/>
        <v>84.375799385548532</v>
      </c>
      <c r="FV88" s="1">
        <f t="shared" ca="1" si="47"/>
        <v>84.649187647656206</v>
      </c>
      <c r="FW88" s="1">
        <f t="shared" ca="1" si="47"/>
        <v>84.923461722312055</v>
      </c>
      <c r="FX88" s="1">
        <f t="shared" ca="1" si="47"/>
        <v>85.198624479660779</v>
      </c>
      <c r="FY88" s="1">
        <f t="shared" ca="1" si="47"/>
        <v>85.474678799146716</v>
      </c>
      <c r="FZ88" s="1">
        <f t="shared" ca="1" si="47"/>
        <v>85.751627569543942</v>
      </c>
      <c r="GA88" s="1">
        <f t="shared" ca="1" si="47"/>
        <v>86.029473688986542</v>
      </c>
      <c r="GB88" s="1">
        <f t="shared" ca="1" si="47"/>
        <v>86.308220064998935</v>
      </c>
      <c r="GC88" s="1">
        <f t="shared" ca="1" si="47"/>
        <v>86.587869614526269</v>
      </c>
      <c r="GD88" s="1">
        <f t="shared" ca="1" si="47"/>
        <v>86.868425263964966</v>
      </c>
      <c r="GE88" s="1">
        <f t="shared" ca="1" si="47"/>
        <v>87.149889949193337</v>
      </c>
      <c r="GF88" s="1">
        <f t="shared" ca="1" si="47"/>
        <v>87.43226661560233</v>
      </c>
      <c r="GG88" s="1">
        <f t="shared" ca="1" si="47"/>
        <v>87.715558218126318</v>
      </c>
      <c r="GH88" s="1">
        <f t="shared" ca="1" si="47"/>
        <v>87.99976772127404</v>
      </c>
      <c r="GI88" s="1">
        <f t="shared" ca="1" si="47"/>
        <v>88.284898099159605</v>
      </c>
      <c r="GJ88" s="1">
        <f t="shared" ca="1" si="47"/>
        <v>88.570952335533647</v>
      </c>
      <c r="GK88" s="1">
        <f t="shared" ca="1" si="47"/>
        <v>88.857933423814515</v>
      </c>
      <c r="GL88" s="1">
        <f t="shared" ca="1" si="47"/>
        <v>89.145844367119622</v>
      </c>
      <c r="GM88" s="1">
        <f t="shared" ca="1" si="47"/>
        <v>89.434688178296867</v>
      </c>
      <c r="GN88" s="1">
        <f t="shared" ca="1" si="47"/>
        <v>89.724467879956137</v>
      </c>
      <c r="GO88" s="1">
        <f t="shared" ca="1" si="47"/>
        <v>90.015186504500974</v>
      </c>
      <c r="GP88" s="1">
        <f t="shared" ca="1" si="47"/>
        <v>90.306847094160275</v>
      </c>
      <c r="GQ88" s="1">
        <f t="shared" ref="GQ88:JB88" ca="1" si="48">(1+GQ$84)*GP88</f>
        <v>90.599452701020155</v>
      </c>
      <c r="GR88" s="1">
        <f t="shared" ca="1" si="48"/>
        <v>90.893006387055877</v>
      </c>
      <c r="GS88" s="1">
        <f t="shared" ca="1" si="48"/>
        <v>91.187511224163885</v>
      </c>
      <c r="GT88" s="1">
        <f t="shared" ca="1" si="48"/>
        <v>91.482970294193962</v>
      </c>
      <c r="GU88" s="1">
        <f t="shared" ca="1" si="48"/>
        <v>91.779386688981461</v>
      </c>
      <c r="GV88" s="1">
        <f t="shared" ca="1" si="48"/>
        <v>92.076763510379692</v>
      </c>
      <c r="GW88" s="1">
        <f t="shared" ca="1" si="48"/>
        <v>92.375103870292349</v>
      </c>
      <c r="GX88" s="1">
        <f t="shared" ca="1" si="48"/>
        <v>92.674410890706085</v>
      </c>
      <c r="GY88" s="1">
        <f t="shared" ca="1" si="48"/>
        <v>92.974687703723191</v>
      </c>
      <c r="GZ88" s="1">
        <f t="shared" ca="1" si="48"/>
        <v>93.275937451594359</v>
      </c>
      <c r="HA88" s="1">
        <f t="shared" ca="1" si="48"/>
        <v>93.578163286751575</v>
      </c>
      <c r="HB88" s="1">
        <f t="shared" ca="1" si="48"/>
        <v>93.88136837184112</v>
      </c>
      <c r="HC88" s="1">
        <f t="shared" ca="1" si="48"/>
        <v>94.18555587975662</v>
      </c>
      <c r="HD88" s="1">
        <f t="shared" ca="1" si="48"/>
        <v>94.490728993672292</v>
      </c>
      <c r="HE88" s="1">
        <f t="shared" ca="1" si="48"/>
        <v>94.796890907076246</v>
      </c>
      <c r="HF88" s="1">
        <f t="shared" ca="1" si="48"/>
        <v>95.104044823803889</v>
      </c>
      <c r="HG88" s="1">
        <f t="shared" ca="1" si="48"/>
        <v>95.412193958071455</v>
      </c>
      <c r="HH88" s="1">
        <f t="shared" ca="1" si="48"/>
        <v>95.721341534509648</v>
      </c>
      <c r="HI88" s="1">
        <f t="shared" ca="1" si="48"/>
        <v>96.031490788197388</v>
      </c>
      <c r="HJ88" s="1">
        <f t="shared" ca="1" si="48"/>
        <v>96.342644964695666</v>
      </c>
      <c r="HK88" s="1">
        <f t="shared" ca="1" si="48"/>
        <v>96.654807320081488</v>
      </c>
      <c r="HL88" s="1">
        <f t="shared" ca="1" si="48"/>
        <v>96.967981120981975</v>
      </c>
      <c r="HM88" s="1">
        <f t="shared" ca="1" si="48"/>
        <v>97.282169644608516</v>
      </c>
      <c r="HN88" s="1">
        <f t="shared" ca="1" si="48"/>
        <v>97.597376178791095</v>
      </c>
      <c r="HO88" s="1">
        <f t="shared" ca="1" si="48"/>
        <v>97.913604022012677</v>
      </c>
      <c r="HP88" s="1">
        <f t="shared" ca="1" si="48"/>
        <v>98.230856483443716</v>
      </c>
      <c r="HQ88" s="1">
        <f t="shared" ca="1" si="48"/>
        <v>98.549136882976825</v>
      </c>
      <c r="HR88" s="1">
        <f t="shared" ca="1" si="48"/>
        <v>98.868448551261451</v>
      </c>
      <c r="HS88" s="1">
        <f t="shared" ca="1" si="48"/>
        <v>99.188794829738796</v>
      </c>
      <c r="HT88" s="1">
        <f t="shared" ca="1" si="48"/>
        <v>99.510179070676742</v>
      </c>
      <c r="HU88" s="1">
        <f t="shared" ca="1" si="48"/>
        <v>99.832604637204952</v>
      </c>
      <c r="HV88" s="1">
        <f t="shared" ca="1" si="48"/>
        <v>100.15607490335005</v>
      </c>
      <c r="HW88" s="1">
        <f t="shared" ca="1" si="48"/>
        <v>100.48059325407091</v>
      </c>
      <c r="HX88" s="1">
        <f t="shared" ca="1" si="48"/>
        <v>100.80616308529414</v>
      </c>
      <c r="HY88" s="1">
        <f t="shared" ca="1" si="48"/>
        <v>101.13278780394957</v>
      </c>
      <c r="HZ88" s="1">
        <f t="shared" ca="1" si="48"/>
        <v>101.4604708280059</v>
      </c>
      <c r="IA88" s="1">
        <f t="shared" ca="1" si="48"/>
        <v>101.78921558650647</v>
      </c>
      <c r="IB88" s="1">
        <f t="shared" ca="1" si="48"/>
        <v>102.11902551960519</v>
      </c>
      <c r="IC88" s="1">
        <f t="shared" ca="1" si="48"/>
        <v>102.44990407860247</v>
      </c>
      <c r="ID88" s="1">
        <f t="shared" ca="1" si="48"/>
        <v>102.7818547259814</v>
      </c>
      <c r="IE88" s="1">
        <f t="shared" ca="1" si="48"/>
        <v>103.11488093544394</v>
      </c>
      <c r="IF88" s="1">
        <f t="shared" ca="1" si="48"/>
        <v>103.44898619194726</v>
      </c>
      <c r="IG88" s="1">
        <f t="shared" ca="1" si="48"/>
        <v>103.78417399174026</v>
      </c>
      <c r="IH88" s="1">
        <f t="shared" ca="1" si="48"/>
        <v>104.12044784240013</v>
      </c>
      <c r="II88" s="1">
        <f t="shared" ca="1" si="48"/>
        <v>104.45781126286903</v>
      </c>
      <c r="IJ88" s="1">
        <f t="shared" ca="1" si="48"/>
        <v>104.79626778349096</v>
      </c>
      <c r="IK88" s="1">
        <f t="shared" ca="1" si="48"/>
        <v>105.13582094604868</v>
      </c>
      <c r="IL88" s="1">
        <f t="shared" ca="1" si="48"/>
        <v>105.47647430380077</v>
      </c>
      <c r="IM88" s="1">
        <f t="shared" ca="1" si="48"/>
        <v>105.81823142151882</v>
      </c>
      <c r="IN88" s="1">
        <f t="shared" ca="1" si="48"/>
        <v>106.16109587552471</v>
      </c>
      <c r="IO88" s="1">
        <f t="shared" ca="1" si="48"/>
        <v>106.50507125372808</v>
      </c>
      <c r="IP88" s="1">
        <f t="shared" ca="1" si="48"/>
        <v>106.85016115566384</v>
      </c>
      <c r="IQ88" s="1">
        <f t="shared" ca="1" si="48"/>
        <v>107.19636919252986</v>
      </c>
      <c r="IR88" s="1">
        <f t="shared" ca="1" si="48"/>
        <v>107.54369898722473</v>
      </c>
      <c r="IS88" s="1">
        <f t="shared" ca="1" si="48"/>
        <v>107.89215417438571</v>
      </c>
      <c r="IT88" s="1">
        <f t="shared" ca="1" si="48"/>
        <v>108.24173840042673</v>
      </c>
      <c r="IU88" s="1">
        <f t="shared" ca="1" si="48"/>
        <v>108.59245532357654</v>
      </c>
      <c r="IV88" s="1">
        <f t="shared" ca="1" si="48"/>
        <v>108.94430861391707</v>
      </c>
      <c r="IW88" s="1">
        <f t="shared" ca="1" si="48"/>
        <v>109.29730195342175</v>
      </c>
      <c r="IX88" s="1">
        <f t="shared" ca="1" si="48"/>
        <v>109.65143903599406</v>
      </c>
      <c r="IY88" s="1">
        <f t="shared" ca="1" si="48"/>
        <v>110.00672356750619</v>
      </c>
      <c r="IZ88" s="1">
        <f t="shared" ca="1" si="48"/>
        <v>110.36315926583785</v>
      </c>
      <c r="JA88" s="1">
        <f t="shared" ca="1" si="48"/>
        <v>110.72074986091513</v>
      </c>
      <c r="JB88" s="1">
        <f t="shared" ca="1" si="48"/>
        <v>111.07949909474958</v>
      </c>
      <c r="JC88" s="1">
        <f t="shared" ref="JC88:LN88" ca="1" si="49">(1+JC$84)*JB88</f>
        <v>111.4394107214773</v>
      </c>
      <c r="JD88" s="1">
        <f t="shared" ca="1" si="49"/>
        <v>111.8004885073983</v>
      </c>
      <c r="JE88" s="1">
        <f t="shared" ca="1" si="49"/>
        <v>112.16273623101586</v>
      </c>
      <c r="JF88" s="1">
        <f t="shared" ca="1" si="49"/>
        <v>112.52615768307609</v>
      </c>
      <c r="JG88" s="1">
        <f t="shared" ca="1" si="49"/>
        <v>112.89075666660761</v>
      </c>
      <c r="JH88" s="1">
        <f t="shared" ca="1" si="49"/>
        <v>113.25653699696133</v>
      </c>
      <c r="JI88" s="1">
        <f t="shared" ca="1" si="49"/>
        <v>113.62350250185035</v>
      </c>
      <c r="JJ88" s="1">
        <f t="shared" ca="1" si="49"/>
        <v>113.9916570213901</v>
      </c>
      <c r="JK88" s="1">
        <f t="shared" ca="1" si="49"/>
        <v>114.36100440813841</v>
      </c>
      <c r="JL88" s="1">
        <f t="shared" ca="1" si="49"/>
        <v>114.73154852713593</v>
      </c>
      <c r="JM88" s="1">
        <f t="shared" ca="1" si="49"/>
        <v>115.1032932559465</v>
      </c>
      <c r="JN88" s="1">
        <f t="shared" ca="1" si="49"/>
        <v>115.47624248469778</v>
      </c>
      <c r="JO88" s="1">
        <f t="shared" ca="1" si="49"/>
        <v>115.85040011612193</v>
      </c>
      <c r="JP88" s="1">
        <f t="shared" ca="1" si="49"/>
        <v>116.22577006559645</v>
      </c>
      <c r="JQ88" s="1">
        <f t="shared" ca="1" si="49"/>
        <v>116.60235626118516</v>
      </c>
      <c r="JR88" s="1">
        <f t="shared" ca="1" si="49"/>
        <v>116.98016264367931</v>
      </c>
      <c r="JS88" s="1">
        <f t="shared" ca="1" si="49"/>
        <v>117.35919316663879</v>
      </c>
      <c r="JT88" s="1">
        <f t="shared" ca="1" si="49"/>
        <v>117.73945179643356</v>
      </c>
      <c r="JU88" s="1">
        <f t="shared" ca="1" si="49"/>
        <v>118.12094251228508</v>
      </c>
      <c r="JV88" s="1">
        <f t="shared" ca="1" si="49"/>
        <v>118.50366930630803</v>
      </c>
      <c r="JW88" s="1">
        <f t="shared" ca="1" si="49"/>
        <v>118.88763618355202</v>
      </c>
      <c r="JX88" s="1">
        <f t="shared" ca="1" si="49"/>
        <v>119.27284716204353</v>
      </c>
      <c r="JY88" s="1">
        <f t="shared" ca="1" si="49"/>
        <v>119.65930627282798</v>
      </c>
      <c r="JZ88" s="1">
        <f t="shared" ca="1" si="49"/>
        <v>120.04701756001184</v>
      </c>
      <c r="KA88" s="1">
        <f t="shared" ca="1" si="49"/>
        <v>120.43598508080504</v>
      </c>
      <c r="KB88" s="1">
        <f t="shared" ca="1" si="49"/>
        <v>120.82621290556337</v>
      </c>
      <c r="KC88" s="1">
        <f t="shared" ca="1" si="49"/>
        <v>121.21770511783107</v>
      </c>
      <c r="KD88" s="1">
        <f t="shared" ca="1" si="49"/>
        <v>121.6104658143836</v>
      </c>
      <c r="KE88" s="1">
        <f t="shared" ca="1" si="49"/>
        <v>122.00449910527048</v>
      </c>
      <c r="KF88" s="1">
        <f t="shared" ca="1" si="49"/>
        <v>122.39980911385832</v>
      </c>
      <c r="KG88" s="1">
        <f t="shared" ca="1" si="49"/>
        <v>122.79639997687396</v>
      </c>
      <c r="KH88" s="1">
        <f t="shared" ca="1" si="49"/>
        <v>123.19427584444774</v>
      </c>
      <c r="KI88" s="1">
        <f t="shared" ca="1" si="49"/>
        <v>123.59344088015698</v>
      </c>
      <c r="KJ88" s="1">
        <f t="shared" ca="1" si="49"/>
        <v>123.99389926106947</v>
      </c>
      <c r="KK88" s="1">
        <f t="shared" ca="1" si="49"/>
        <v>124.39565517778728</v>
      </c>
      <c r="KL88" s="1">
        <f t="shared" ca="1" si="49"/>
        <v>124.7987128344905</v>
      </c>
      <c r="KM88" s="1">
        <f t="shared" ca="1" si="49"/>
        <v>125.20307644898136</v>
      </c>
      <c r="KN88" s="1">
        <f t="shared" ca="1" si="49"/>
        <v>125.60875025272827</v>
      </c>
      <c r="KO88" s="1">
        <f t="shared" ca="1" si="49"/>
        <v>126.01573849091014</v>
      </c>
      <c r="KP88" s="1">
        <f t="shared" ca="1" si="49"/>
        <v>126.42404542246078</v>
      </c>
      <c r="KQ88" s="1">
        <f t="shared" ca="1" si="49"/>
        <v>126.8336753201135</v>
      </c>
      <c r="KR88" s="1">
        <f t="shared" ca="1" si="49"/>
        <v>127.24463247044581</v>
      </c>
      <c r="KS88" s="1">
        <f t="shared" ca="1" si="49"/>
        <v>127.65692117392425</v>
      </c>
      <c r="KT88" s="1">
        <f t="shared" ca="1" si="49"/>
        <v>128.07054574494944</v>
      </c>
      <c r="KU88" s="1">
        <f t="shared" ca="1" si="49"/>
        <v>128.48551051190123</v>
      </c>
      <c r="KV88" s="1">
        <f t="shared" ca="1" si="49"/>
        <v>128.90181981718388</v>
      </c>
      <c r="KW88" s="1">
        <f t="shared" ca="1" si="49"/>
        <v>129.31947801727168</v>
      </c>
      <c r="KX88" s="1">
        <f t="shared" ca="1" si="49"/>
        <v>129.73848948275437</v>
      </c>
      <c r="KY88" s="1">
        <f t="shared" ca="1" si="49"/>
        <v>130.15885859838303</v>
      </c>
      <c r="KZ88" s="1">
        <f t="shared" ca="1" si="49"/>
        <v>130.58058976311585</v>
      </c>
      <c r="LA88" s="1">
        <f t="shared" ca="1" si="49"/>
        <v>131.0036873901642</v>
      </c>
      <c r="LB88" s="1">
        <f t="shared" ca="1" si="49"/>
        <v>131.42815590703881</v>
      </c>
      <c r="LC88" s="1">
        <f t="shared" ca="1" si="49"/>
        <v>131.85399975559613</v>
      </c>
      <c r="LD88" s="1">
        <f t="shared" ca="1" si="49"/>
        <v>132.28122339208477</v>
      </c>
      <c r="LE88" s="1">
        <f t="shared" ca="1" si="49"/>
        <v>132.70983128719212</v>
      </c>
      <c r="LF88" s="1">
        <f t="shared" ca="1" si="49"/>
        <v>133.13982792609119</v>
      </c>
      <c r="LG88" s="1">
        <f t="shared" ca="1" si="49"/>
        <v>133.57121780848752</v>
      </c>
      <c r="LH88" s="1">
        <f t="shared" ca="1" si="49"/>
        <v>134.00400544866628</v>
      </c>
      <c r="LI88" s="1">
        <f t="shared" ca="1" si="49"/>
        <v>134.43819537553946</v>
      </c>
      <c r="LJ88" s="1">
        <f t="shared" ca="1" si="49"/>
        <v>134.87379213269335</v>
      </c>
      <c r="LK88" s="1">
        <f t="shared" ca="1" si="49"/>
        <v>135.31080027843598</v>
      </c>
      <c r="LL88" s="1">
        <f t="shared" ca="1" si="49"/>
        <v>135.74922438584485</v>
      </c>
      <c r="LM88" s="1">
        <f t="shared" ca="1" si="49"/>
        <v>136.18906904281491</v>
      </c>
      <c r="LN88" s="1">
        <f t="shared" ca="1" si="49"/>
        <v>136.63033885210641</v>
      </c>
      <c r="LO88" s="1">
        <f t="shared" ref="LO88:NZ88" ca="1" si="50">(1+LO$84)*LN88</f>
        <v>137.07303843139309</v>
      </c>
      <c r="LP88" s="1">
        <f t="shared" ca="1" si="50"/>
        <v>137.51717241331062</v>
      </c>
      <c r="LQ88" s="1">
        <f t="shared" ca="1" si="50"/>
        <v>137.96274544550491</v>
      </c>
      <c r="LR88" s="1">
        <f t="shared" ca="1" si="50"/>
        <v>138.40976219068091</v>
      </c>
      <c r="LS88" s="1">
        <f t="shared" ca="1" si="50"/>
        <v>138.85822732665125</v>
      </c>
      <c r="LT88" s="1">
        <f t="shared" ca="1" si="50"/>
        <v>139.30814554638533</v>
      </c>
      <c r="LU88" s="1">
        <f t="shared" ca="1" si="50"/>
        <v>139.75952155805834</v>
      </c>
      <c r="LV88" s="1">
        <f t="shared" ca="1" si="50"/>
        <v>140.21236008510053</v>
      </c>
      <c r="LW88" s="1">
        <f t="shared" ca="1" si="50"/>
        <v>140.66666586624666</v>
      </c>
      <c r="LX88" s="1">
        <f t="shared" ca="1" si="50"/>
        <v>141.12244365558564</v>
      </c>
      <c r="LY88" s="1">
        <f t="shared" ca="1" si="50"/>
        <v>141.57969822261018</v>
      </c>
      <c r="LZ88" s="1">
        <f t="shared" ca="1" si="50"/>
        <v>142.03843435226679</v>
      </c>
      <c r="MA88" s="1">
        <f t="shared" ca="1" si="50"/>
        <v>142.49865684500577</v>
      </c>
      <c r="MB88" s="1">
        <f t="shared" ca="1" si="50"/>
        <v>142.96037051683152</v>
      </c>
      <c r="MC88" s="1">
        <f t="shared" ca="1" si="50"/>
        <v>143.42358019935287</v>
      </c>
      <c r="MD88" s="1">
        <f t="shared" ca="1" si="50"/>
        <v>143.88829073983371</v>
      </c>
      <c r="ME88" s="1">
        <f t="shared" ca="1" si="50"/>
        <v>144.35450700124366</v>
      </c>
      <c r="MF88" s="1">
        <f t="shared" ca="1" si="50"/>
        <v>144.82223386230899</v>
      </c>
      <c r="MG88" s="1">
        <f t="shared" ca="1" si="50"/>
        <v>145.29147621756363</v>
      </c>
      <c r="MH88" s="1">
        <f t="shared" ca="1" si="50"/>
        <v>145.76223897740044</v>
      </c>
      <c r="MI88" s="1">
        <f t="shared" ca="1" si="50"/>
        <v>146.23452706812259</v>
      </c>
      <c r="MJ88" s="1">
        <f t="shared" ca="1" si="50"/>
        <v>146.70834543199504</v>
      </c>
      <c r="MK88" s="1">
        <f t="shared" ca="1" si="50"/>
        <v>147.1836990272964</v>
      </c>
      <c r="ML88" s="1">
        <f t="shared" ca="1" si="50"/>
        <v>147.66059282837065</v>
      </c>
      <c r="MM88" s="1">
        <f t="shared" ca="1" si="50"/>
        <v>148.1390318256793</v>
      </c>
      <c r="MN88" s="1">
        <f t="shared" ca="1" si="50"/>
        <v>148.61902102585358</v>
      </c>
      <c r="MO88" s="1">
        <f t="shared" ca="1" si="50"/>
        <v>149.10056545174689</v>
      </c>
      <c r="MP88" s="1">
        <f t="shared" ca="1" si="50"/>
        <v>149.58367014248722</v>
      </c>
      <c r="MQ88" s="1">
        <f t="shared" ca="1" si="50"/>
        <v>150.06834015353007</v>
      </c>
      <c r="MR88" s="1">
        <f t="shared" ca="1" si="50"/>
        <v>150.55458055671119</v>
      </c>
      <c r="MS88" s="1">
        <f t="shared" ca="1" si="50"/>
        <v>151.04239644029971</v>
      </c>
      <c r="MT88" s="1">
        <f t="shared" ca="1" si="50"/>
        <v>151.53179290905143</v>
      </c>
      <c r="MU88" s="1">
        <f t="shared" ca="1" si="50"/>
        <v>152.02277508426224</v>
      </c>
      <c r="MV88" s="1">
        <f t="shared" ca="1" si="50"/>
        <v>152.51534810382157</v>
      </c>
      <c r="MW88" s="1">
        <f t="shared" ca="1" si="50"/>
        <v>153.00951712226635</v>
      </c>
      <c r="MX88" s="1">
        <f t="shared" ca="1" si="50"/>
        <v>153.50528731083483</v>
      </c>
      <c r="MY88" s="1">
        <f t="shared" ca="1" si="50"/>
        <v>154.00266385752076</v>
      </c>
      <c r="MZ88" s="1">
        <f t="shared" ca="1" si="50"/>
        <v>154.5016519671276</v>
      </c>
      <c r="NA88" s="1">
        <f t="shared" ca="1" si="50"/>
        <v>155.00225686132305</v>
      </c>
      <c r="NB88" s="1">
        <f t="shared" ca="1" si="50"/>
        <v>155.50448377869367</v>
      </c>
      <c r="NC88" s="1">
        <f t="shared" ca="1" si="50"/>
        <v>156.0083379747997</v>
      </c>
      <c r="ND88" s="1">
        <f t="shared" ca="1" si="50"/>
        <v>156.51382472223005</v>
      </c>
      <c r="NE88" s="1">
        <f t="shared" ca="1" si="50"/>
        <v>157.02094931065753</v>
      </c>
      <c r="NF88" s="1">
        <f t="shared" ca="1" si="50"/>
        <v>157.52971704689412</v>
      </c>
      <c r="NG88" s="1">
        <f t="shared" ca="1" si="50"/>
        <v>158.04013325494654</v>
      </c>
      <c r="NH88" s="1">
        <f t="shared" ca="1" si="50"/>
        <v>158.55220327607199</v>
      </c>
      <c r="NI88" s="1">
        <f t="shared" ca="1" si="50"/>
        <v>159.06593246883401</v>
      </c>
      <c r="NJ88" s="1">
        <f t="shared" ca="1" si="50"/>
        <v>159.58132620915856</v>
      </c>
      <c r="NK88" s="1">
        <f t="shared" ca="1" si="50"/>
        <v>160.09838989039028</v>
      </c>
      <c r="NL88" s="1">
        <f t="shared" ca="1" si="50"/>
        <v>160.6171289233489</v>
      </c>
      <c r="NM88" s="1">
        <f t="shared" ca="1" si="50"/>
        <v>161.13754873638595</v>
      </c>
      <c r="NN88" s="1">
        <f t="shared" ca="1" si="50"/>
        <v>161.65965477544148</v>
      </c>
      <c r="NO88" s="1">
        <f t="shared" ca="1" si="50"/>
        <v>162.18345250410104</v>
      </c>
      <c r="NP88" s="1">
        <f t="shared" ca="1" si="50"/>
        <v>162.70894740365293</v>
      </c>
      <c r="NQ88" s="1">
        <f t="shared" ca="1" si="50"/>
        <v>163.23614497314551</v>
      </c>
      <c r="NR88" s="1">
        <f t="shared" ca="1" si="50"/>
        <v>163.76505072944474</v>
      </c>
      <c r="NS88" s="1">
        <f t="shared" ca="1" si="50"/>
        <v>164.29567020729192</v>
      </c>
      <c r="NT88" s="1">
        <f t="shared" ca="1" si="50"/>
        <v>164.82800895936163</v>
      </c>
      <c r="NU88" s="1">
        <f t="shared" ca="1" si="50"/>
        <v>165.36207255631982</v>
      </c>
      <c r="NV88" s="1">
        <f t="shared" ca="1" si="50"/>
        <v>165.89786658688209</v>
      </c>
      <c r="NW88" s="1">
        <f t="shared" ca="1" si="50"/>
        <v>166.43539665787216</v>
      </c>
      <c r="NX88" s="1">
        <f t="shared" ca="1" si="50"/>
        <v>166.97466839428063</v>
      </c>
      <c r="NY88" s="1">
        <f t="shared" ca="1" si="50"/>
        <v>167.51568743932373</v>
      </c>
      <c r="NZ88" s="1">
        <f t="shared" ca="1" si="50"/>
        <v>168.05845945450244</v>
      </c>
      <c r="OA88" s="1">
        <f t="shared" ref="OA88:QL88" ca="1" si="51">(1+OA$84)*NZ88</f>
        <v>168.60299011966174</v>
      </c>
      <c r="OB88" s="1">
        <f t="shared" ca="1" si="51"/>
        <v>169.14928513304997</v>
      </c>
      <c r="OC88" s="1">
        <f t="shared" ca="1" si="51"/>
        <v>169.69735021137859</v>
      </c>
      <c r="OD88" s="1">
        <f t="shared" ca="1" si="51"/>
        <v>170.24719108988188</v>
      </c>
      <c r="OE88" s="1">
        <f t="shared" ca="1" si="51"/>
        <v>170.798813522377</v>
      </c>
      <c r="OF88" s="1">
        <f t="shared" ca="1" si="51"/>
        <v>171.35222328132423</v>
      </c>
      <c r="OG88" s="1">
        <f t="shared" ca="1" si="51"/>
        <v>171.90742615788733</v>
      </c>
      <c r="OH88" s="1">
        <f t="shared" ca="1" si="51"/>
        <v>172.46442796199418</v>
      </c>
      <c r="OI88" s="1">
        <f t="shared" ca="1" si="51"/>
        <v>173.02323452239756</v>
      </c>
      <c r="OJ88" s="1">
        <f t="shared" ca="1" si="51"/>
        <v>173.58385168673615</v>
      </c>
      <c r="OK88" s="1">
        <f t="shared" ca="1" si="51"/>
        <v>174.14628532159568</v>
      </c>
      <c r="OL88" s="1">
        <f t="shared" ca="1" si="51"/>
        <v>174.71054131257043</v>
      </c>
      <c r="OM88" s="1">
        <f t="shared" ca="1" si="51"/>
        <v>175.27662556432469</v>
      </c>
      <c r="ON88" s="1">
        <f t="shared" ca="1" si="51"/>
        <v>175.84454400065462</v>
      </c>
      <c r="OO88" s="1">
        <f t="shared" ca="1" si="51"/>
        <v>176.41430256455024</v>
      </c>
      <c r="OP88" s="1">
        <f t="shared" ca="1" si="51"/>
        <v>176.98590721825764</v>
      </c>
      <c r="OQ88" s="1">
        <f t="shared" ca="1" si="51"/>
        <v>177.55936394334125</v>
      </c>
      <c r="OR88" s="1">
        <f t="shared" ca="1" si="51"/>
        <v>178.13467874074664</v>
      </c>
      <c r="OS88" s="1">
        <f t="shared" ca="1" si="51"/>
        <v>178.71185763086311</v>
      </c>
      <c r="OT88" s="1">
        <f t="shared" ca="1" si="51"/>
        <v>179.29090665358686</v>
      </c>
      <c r="OU88" s="1">
        <f t="shared" ca="1" si="51"/>
        <v>179.87183186838405</v>
      </c>
      <c r="OV88" s="1">
        <f t="shared" ca="1" si="51"/>
        <v>180.4546393543543</v>
      </c>
      <c r="OW88" s="1">
        <f t="shared" ca="1" si="51"/>
        <v>181.0393352102943</v>
      </c>
      <c r="OX88" s="1">
        <f t="shared" ca="1" si="51"/>
        <v>181.62592555476158</v>
      </c>
      <c r="OY88" s="1">
        <f t="shared" ca="1" si="51"/>
        <v>182.21441652613859</v>
      </c>
      <c r="OZ88" s="1">
        <f t="shared" ca="1" si="51"/>
        <v>182.80481428269695</v>
      </c>
      <c r="PA88" s="1">
        <f t="shared" ca="1" si="51"/>
        <v>183.3971250026618</v>
      </c>
      <c r="PB88" s="1">
        <f t="shared" ca="1" si="51"/>
        <v>183.99135488427652</v>
      </c>
      <c r="PC88" s="1">
        <f t="shared" ca="1" si="51"/>
        <v>184.58751014586761</v>
      </c>
      <c r="PD88" s="1">
        <f t="shared" ca="1" si="51"/>
        <v>185.18559702590971</v>
      </c>
      <c r="PE88" s="1">
        <f t="shared" ca="1" si="51"/>
        <v>185.78562178309093</v>
      </c>
      <c r="PF88" s="1">
        <f t="shared" ca="1" si="51"/>
        <v>186.38759069637831</v>
      </c>
      <c r="PG88" s="1">
        <f t="shared" ca="1" si="51"/>
        <v>186.99151006508353</v>
      </c>
      <c r="PH88" s="1">
        <f t="shared" ca="1" si="51"/>
        <v>187.59738620892887</v>
      </c>
      <c r="PI88" s="1">
        <f t="shared" ca="1" si="51"/>
        <v>188.20522546811324</v>
      </c>
      <c r="PJ88" s="1">
        <f t="shared" ca="1" si="51"/>
        <v>188.81503420337867</v>
      </c>
      <c r="PK88" s="1">
        <f t="shared" ca="1" si="51"/>
        <v>189.42681879607676</v>
      </c>
      <c r="PL88" s="1">
        <f t="shared" ca="1" si="51"/>
        <v>190.04058564823549</v>
      </c>
      <c r="PM88" s="1">
        <f t="shared" ca="1" si="51"/>
        <v>190.65634118262625</v>
      </c>
      <c r="PN88" s="1">
        <f t="shared" ca="1" si="51"/>
        <v>191.27409184283101</v>
      </c>
      <c r="PO88" s="1">
        <f t="shared" ca="1" si="51"/>
        <v>191.89384409330975</v>
      </c>
      <c r="PP88" s="1">
        <f t="shared" ca="1" si="51"/>
        <v>192.5156044194681</v>
      </c>
      <c r="PQ88" s="1">
        <f t="shared" ca="1" si="51"/>
        <v>193.13937932772529</v>
      </c>
      <c r="PR88" s="1">
        <f t="shared" ca="1" si="51"/>
        <v>193.76517534558212</v>
      </c>
      <c r="PS88" s="1">
        <f t="shared" ca="1" si="51"/>
        <v>194.39299902168932</v>
      </c>
      <c r="PT88" s="1">
        <f t="shared" ca="1" si="51"/>
        <v>195.02285692591607</v>
      </c>
      <c r="PU88" s="1">
        <f t="shared" ca="1" si="51"/>
        <v>195.6547556494188</v>
      </c>
      <c r="PV88" s="1">
        <f t="shared" ca="1" si="51"/>
        <v>196.28870180471009</v>
      </c>
      <c r="PW88" s="1">
        <f t="shared" ca="1" si="51"/>
        <v>196.92470202572787</v>
      </c>
      <c r="PX88" s="1">
        <f t="shared" ca="1" si="51"/>
        <v>197.56276296790492</v>
      </c>
      <c r="PY88" s="1">
        <f t="shared" ca="1" si="51"/>
        <v>198.20289130823846</v>
      </c>
      <c r="PZ88" s="1">
        <f t="shared" ca="1" si="51"/>
        <v>198.84509374535997</v>
      </c>
      <c r="QA88" s="1">
        <f t="shared" ca="1" si="51"/>
        <v>199.48937699960541</v>
      </c>
      <c r="QB88" s="1">
        <f t="shared" ca="1" si="51"/>
        <v>200.13574781308546</v>
      </c>
      <c r="QC88" s="1">
        <f t="shared" ca="1" si="51"/>
        <v>200.78421294975604</v>
      </c>
      <c r="QD88" s="1">
        <f t="shared" ca="1" si="51"/>
        <v>201.4347791954892</v>
      </c>
      <c r="QE88" s="1">
        <f t="shared" ca="1" si="51"/>
        <v>202.08745335814407</v>
      </c>
      <c r="QF88" s="1">
        <f t="shared" ca="1" si="51"/>
        <v>202.74224226763809</v>
      </c>
      <c r="QG88" s="1">
        <f t="shared" ca="1" si="51"/>
        <v>203.3991527760185</v>
      </c>
      <c r="QH88" s="1">
        <f t="shared" ca="1" si="51"/>
        <v>204.05819175753402</v>
      </c>
      <c r="QI88" s="1">
        <f t="shared" ca="1" si="51"/>
        <v>204.71936610870682</v>
      </c>
      <c r="QJ88" s="1">
        <f t="shared" ca="1" si="51"/>
        <v>205.3826827484047</v>
      </c>
      <c r="QK88" s="1">
        <f t="shared" ca="1" si="51"/>
        <v>206.04814861791343</v>
      </c>
      <c r="QL88" s="1">
        <f t="shared" ca="1" si="51"/>
        <v>206.71577068100945</v>
      </c>
      <c r="QM88" s="1">
        <f t="shared" ref="QM88:RR88" ca="1" si="52">(1+QM$84)*QL88</f>
        <v>207.3855559240327</v>
      </c>
      <c r="QN88" s="1">
        <f t="shared" ca="1" si="52"/>
        <v>208.05751135595975</v>
      </c>
      <c r="QO88" s="1">
        <f t="shared" ca="1" si="52"/>
        <v>208.73164400847713</v>
      </c>
      <c r="QP88" s="1">
        <f t="shared" ca="1" si="52"/>
        <v>209.40796093605493</v>
      </c>
      <c r="QQ88" s="1">
        <f t="shared" ca="1" si="52"/>
        <v>210.08646921602065</v>
      </c>
      <c r="QR88" s="1">
        <f t="shared" ca="1" si="52"/>
        <v>210.76717594863317</v>
      </c>
      <c r="QS88" s="1">
        <f t="shared" ca="1" si="52"/>
        <v>211.45008825715712</v>
      </c>
      <c r="QT88" s="1">
        <f t="shared" ca="1" si="52"/>
        <v>212.13521328793746</v>
      </c>
      <c r="QU88" s="1">
        <f t="shared" ca="1" si="52"/>
        <v>212.82255821047414</v>
      </c>
      <c r="QV88" s="1">
        <f t="shared" ca="1" si="52"/>
        <v>213.51213021749726</v>
      </c>
      <c r="QW88" s="1">
        <f t="shared" ca="1" si="52"/>
        <v>214.2039365250422</v>
      </c>
      <c r="QX88" s="1">
        <f t="shared" ca="1" si="52"/>
        <v>214.89798437252529</v>
      </c>
      <c r="QY88" s="1">
        <f t="shared" ca="1" si="52"/>
        <v>215.59428102281942</v>
      </c>
      <c r="QZ88" s="1">
        <f t="shared" ca="1" si="52"/>
        <v>216.29283376233013</v>
      </c>
      <c r="RA88" s="1">
        <f t="shared" ca="1" si="52"/>
        <v>216.99364990107188</v>
      </c>
      <c r="RB88" s="1">
        <f t="shared" ca="1" si="52"/>
        <v>217.69673677274443</v>
      </c>
      <c r="RC88" s="1">
        <f t="shared" ca="1" si="52"/>
        <v>218.40210173480969</v>
      </c>
      <c r="RD88" s="1">
        <f t="shared" ca="1" si="52"/>
        <v>219.10975216856866</v>
      </c>
      <c r="RE88" s="1">
        <f t="shared" ca="1" si="52"/>
        <v>219.8196954792387</v>
      </c>
      <c r="RF88" s="1">
        <f t="shared" ca="1" si="52"/>
        <v>220.53193909603104</v>
      </c>
      <c r="RG88" s="1">
        <f t="shared" ca="1" si="52"/>
        <v>221.24649047222843</v>
      </c>
      <c r="RH88" s="1">
        <f t="shared" ca="1" si="52"/>
        <v>221.96335708526325</v>
      </c>
      <c r="RI88" s="1">
        <f t="shared" ca="1" si="52"/>
        <v>222.68254643679572</v>
      </c>
      <c r="RJ88" s="1">
        <f t="shared" ca="1" si="52"/>
        <v>223.40406605279233</v>
      </c>
      <c r="RK88" s="1">
        <f t="shared" ca="1" si="52"/>
        <v>224.12792348360469</v>
      </c>
      <c r="RL88" s="1">
        <f t="shared" ca="1" si="52"/>
        <v>224.85412630404849</v>
      </c>
      <c r="RM88" s="1">
        <f t="shared" ca="1" si="52"/>
        <v>225.58268211348278</v>
      </c>
      <c r="RN88" s="1">
        <f t="shared" ca="1" si="52"/>
        <v>226.3135985358895</v>
      </c>
      <c r="RO88" s="1">
        <f t="shared" ca="1" si="52"/>
        <v>227.04688321995329</v>
      </c>
      <c r="RP88" s="1">
        <f t="shared" ca="1" si="52"/>
        <v>227.78254383914143</v>
      </c>
      <c r="RQ88" s="1">
        <f t="shared" ca="1" si="52"/>
        <v>228.52058809178425</v>
      </c>
      <c r="RR88" s="1">
        <f t="shared" ca="1" si="52"/>
        <v>229.26102370115564</v>
      </c>
    </row>
    <row r="89" spans="1:486" s="262" customFormat="1">
      <c r="A89" s="289"/>
      <c r="B89" s="261" t="s">
        <v>484</v>
      </c>
      <c r="E89" s="263">
        <f>E88*$G$42+$F$42</f>
        <v>6.8977209999999998</v>
      </c>
      <c r="F89" s="263">
        <f ca="1">F88*$G$42+$F$42</f>
        <v>6.9186124315666575</v>
      </c>
      <c r="G89" s="263">
        <f t="shared" ref="G89:BR89" ca="1" si="53">G88*$G$42+$F$42</f>
        <v>6.9395715540139999</v>
      </c>
      <c r="H89" s="263">
        <f t="shared" ca="1" si="53"/>
        <v>6.9605985866690432</v>
      </c>
      <c r="I89" s="263">
        <f t="shared" ca="1" si="53"/>
        <v>6.9816937495694491</v>
      </c>
      <c r="J89" s="263">
        <f t="shared" ca="1" si="53"/>
        <v>7.002857263465831</v>
      </c>
      <c r="K89" s="263">
        <f t="shared" ca="1" si="53"/>
        <v>7.0240893498240604</v>
      </c>
      <c r="L89" s="263">
        <f t="shared" ca="1" si="53"/>
        <v>7.0453902308275858</v>
      </c>
      <c r="M89" s="263">
        <f t="shared" ca="1" si="53"/>
        <v>7.0667601293797615</v>
      </c>
      <c r="N89" s="263">
        <f t="shared" ca="1" si="53"/>
        <v>7.0881992691061741</v>
      </c>
      <c r="O89" s="263">
        <f t="shared" ca="1" si="53"/>
        <v>7.1097078743569853</v>
      </c>
      <c r="P89" s="263">
        <f t="shared" ca="1" si="53"/>
        <v>7.1312861702092807</v>
      </c>
      <c r="Q89" s="263">
        <f t="shared" ca="1" si="53"/>
        <v>7.1529343824694234</v>
      </c>
      <c r="R89" s="263">
        <f t="shared" ca="1" si="53"/>
        <v>7.1746527376754177</v>
      </c>
      <c r="S89" s="263">
        <f t="shared" ca="1" si="53"/>
        <v>7.1964414630992817</v>
      </c>
      <c r="T89" s="263">
        <f t="shared" ca="1" si="53"/>
        <v>7.2183007867494204</v>
      </c>
      <c r="U89" s="263">
        <f t="shared" ca="1" si="53"/>
        <v>7.2402309373730169</v>
      </c>
      <c r="V89" s="263">
        <f t="shared" ca="1" si="53"/>
        <v>7.2622321444584239</v>
      </c>
      <c r="W89" s="263">
        <f t="shared" ca="1" si="53"/>
        <v>7.2843046382375647</v>
      </c>
      <c r="X89" s="263">
        <f t="shared" ca="1" si="53"/>
        <v>7.3064486496883436</v>
      </c>
      <c r="Y89" s="263">
        <f t="shared" ca="1" si="53"/>
        <v>7.328664410537062</v>
      </c>
      <c r="Z89" s="263">
        <f t="shared" ca="1" si="53"/>
        <v>7.3509521532608462</v>
      </c>
      <c r="AA89" s="263">
        <f t="shared" ca="1" si="53"/>
        <v>7.3733121110900735</v>
      </c>
      <c r="AB89" s="263">
        <f t="shared" ca="1" si="53"/>
        <v>7.3957445180108206</v>
      </c>
      <c r="AC89" s="263">
        <f t="shared" ca="1" si="53"/>
        <v>7.418249608767308</v>
      </c>
      <c r="AD89" s="263">
        <f t="shared" ca="1" si="53"/>
        <v>7.4408276188643558</v>
      </c>
      <c r="AE89" s="263">
        <f t="shared" ca="1" si="53"/>
        <v>7.4634787845698511</v>
      </c>
      <c r="AF89" s="263">
        <f t="shared" ca="1" si="53"/>
        <v>7.4862033429172179</v>
      </c>
      <c r="AG89" s="263">
        <f t="shared" ca="1" si="53"/>
        <v>7.5090015317078986</v>
      </c>
      <c r="AH89" s="263">
        <f t="shared" ca="1" si="53"/>
        <v>7.531873589513844</v>
      </c>
      <c r="AI89" s="263">
        <f t="shared" ca="1" si="53"/>
        <v>7.5548197556800041</v>
      </c>
      <c r="AJ89" s="263">
        <f t="shared" ca="1" si="53"/>
        <v>7.5778402703268419</v>
      </c>
      <c r="AK89" s="263">
        <f t="shared" ca="1" si="53"/>
        <v>7.6009353743528374</v>
      </c>
      <c r="AL89" s="263">
        <f t="shared" ca="1" si="53"/>
        <v>7.624105309437013</v>
      </c>
      <c r="AM89" s="263">
        <f t="shared" ca="1" si="53"/>
        <v>7.6473503180414637</v>
      </c>
      <c r="AN89" s="263">
        <f t="shared" ca="1" si="53"/>
        <v>7.6706706434138896</v>
      </c>
      <c r="AO89" s="263">
        <f t="shared" ca="1" si="53"/>
        <v>7.6940665295901445</v>
      </c>
      <c r="AP89" s="263">
        <f t="shared" ca="1" si="53"/>
        <v>7.7175382213967909</v>
      </c>
      <c r="AQ89" s="263">
        <f t="shared" ca="1" si="53"/>
        <v>7.7410859644536592</v>
      </c>
      <c r="AR89" s="263">
        <f t="shared" ca="1" si="53"/>
        <v>7.7647100051764202</v>
      </c>
      <c r="AS89" s="263">
        <f t="shared" ca="1" si="53"/>
        <v>7.7884105907791605</v>
      </c>
      <c r="AT89" s="263">
        <f t="shared" ca="1" si="53"/>
        <v>7.8121879692769731</v>
      </c>
      <c r="AU89" s="263">
        <f t="shared" ca="1" si="53"/>
        <v>7.8360423894885507</v>
      </c>
      <c r="AV89" s="263">
        <f t="shared" ca="1" si="53"/>
        <v>7.8599741010387918</v>
      </c>
      <c r="AW89" s="263">
        <f t="shared" ca="1" si="53"/>
        <v>7.8839833543614084</v>
      </c>
      <c r="AX89" s="263">
        <f t="shared" ca="1" si="53"/>
        <v>7.9080704007015505</v>
      </c>
      <c r="AY89" s="263">
        <f t="shared" ca="1" si="53"/>
        <v>7.9322354921184361</v>
      </c>
      <c r="AZ89" s="263">
        <f t="shared" ca="1" si="53"/>
        <v>7.9564788814879828</v>
      </c>
      <c r="BA89" s="263">
        <f t="shared" ca="1" si="53"/>
        <v>7.9808008225054623</v>
      </c>
      <c r="BB89" s="263">
        <f t="shared" ca="1" si="53"/>
        <v>8.0052015696881469</v>
      </c>
      <c r="BC89" s="263">
        <f t="shared" ca="1" si="53"/>
        <v>8.029681378377985</v>
      </c>
      <c r="BD89" s="263">
        <f t="shared" ca="1" si="53"/>
        <v>8.0542405047442536</v>
      </c>
      <c r="BE89" s="263">
        <f t="shared" ca="1" si="53"/>
        <v>8.0788792057862597</v>
      </c>
      <c r="BF89" s="263">
        <f t="shared" ca="1" si="53"/>
        <v>8.103597739336017</v>
      </c>
      <c r="BG89" s="263">
        <f t="shared" ca="1" si="53"/>
        <v>8.1283963640609489</v>
      </c>
      <c r="BH89" s="263">
        <f t="shared" ca="1" si="53"/>
        <v>8.1532753394665924</v>
      </c>
      <c r="BI89" s="263">
        <f t="shared" ca="1" si="53"/>
        <v>8.1782349258993143</v>
      </c>
      <c r="BJ89" s="263">
        <f t="shared" ca="1" si="53"/>
        <v>8.2032753845490411</v>
      </c>
      <c r="BK89" s="263">
        <f t="shared" ca="1" si="53"/>
        <v>8.2283969774519843</v>
      </c>
      <c r="BL89" s="263">
        <f t="shared" ca="1" si="53"/>
        <v>8.2535999674933844</v>
      </c>
      <c r="BM89" s="263">
        <f t="shared" ca="1" si="53"/>
        <v>8.2788846184102667</v>
      </c>
      <c r="BN89" s="263">
        <f t="shared" ca="1" si="53"/>
        <v>8.3042511947941975</v>
      </c>
      <c r="BO89" s="263">
        <f t="shared" ca="1" si="53"/>
        <v>8.3296999620940504</v>
      </c>
      <c r="BP89" s="263">
        <f t="shared" ca="1" si="53"/>
        <v>8.3552311866187914</v>
      </c>
      <c r="BQ89" s="263">
        <f t="shared" ca="1" si="53"/>
        <v>8.3808451355402553</v>
      </c>
      <c r="BR89" s="263">
        <f t="shared" ca="1" si="53"/>
        <v>8.4065420768959509</v>
      </c>
      <c r="BS89" s="263">
        <f t="shared" ref="BS89:ED89" ca="1" si="54">BS88*$G$42+$F$42</f>
        <v>8.4323222795918653</v>
      </c>
      <c r="BT89" s="263">
        <f t="shared" ca="1" si="54"/>
        <v>8.4581860134052675</v>
      </c>
      <c r="BU89" s="263">
        <f t="shared" ca="1" si="54"/>
        <v>8.4841335489875487</v>
      </c>
      <c r="BV89" s="263">
        <f t="shared" ca="1" si="54"/>
        <v>8.5101651578670356</v>
      </c>
      <c r="BW89" s="263">
        <f t="shared" ca="1" si="54"/>
        <v>8.5362811124518458</v>
      </c>
      <c r="BX89" s="263">
        <f t="shared" ca="1" si="54"/>
        <v>8.5624816860327346</v>
      </c>
      <c r="BY89" s="263">
        <f t="shared" ca="1" si="54"/>
        <v>8.5887671527859499</v>
      </c>
      <c r="BZ89" s="263">
        <f t="shared" ca="1" si="54"/>
        <v>8.6151377877761099</v>
      </c>
      <c r="CA89" s="263">
        <f t="shared" ca="1" si="54"/>
        <v>8.6415938669590719</v>
      </c>
      <c r="CB89" s="263">
        <f t="shared" ca="1" si="54"/>
        <v>8.6681356671848295</v>
      </c>
      <c r="CC89" s="263">
        <f t="shared" ca="1" si="54"/>
        <v>8.6947634662004045</v>
      </c>
      <c r="CD89" s="263">
        <f t="shared" ca="1" si="54"/>
        <v>8.7214775426527495</v>
      </c>
      <c r="CE89" s="263">
        <f t="shared" ca="1" si="54"/>
        <v>8.7482781760916772</v>
      </c>
      <c r="CF89" s="263">
        <f t="shared" ca="1" si="54"/>
        <v>8.7751656469727699</v>
      </c>
      <c r="CG89" s="263">
        <f t="shared" ca="1" si="54"/>
        <v>8.8021402366603212</v>
      </c>
      <c r="CH89" s="263">
        <f t="shared" ca="1" si="54"/>
        <v>8.8292022274302866</v>
      </c>
      <c r="CI89" s="263">
        <f t="shared" ca="1" si="54"/>
        <v>8.8563519024732269</v>
      </c>
      <c r="CJ89" s="263">
        <f t="shared" ca="1" si="54"/>
        <v>8.8835895458972765</v>
      </c>
      <c r="CK89" s="263">
        <f t="shared" ca="1" si="54"/>
        <v>8.9109154427311168</v>
      </c>
      <c r="CL89" s="263">
        <f t="shared" ca="1" si="54"/>
        <v>8.9383298789269592</v>
      </c>
      <c r="CM89" s="263">
        <f t="shared" ca="1" si="54"/>
        <v>8.9658331413635324</v>
      </c>
      <c r="CN89" s="263">
        <f t="shared" ca="1" si="54"/>
        <v>8.9934255178490954</v>
      </c>
      <c r="CO89" s="263">
        <f t="shared" ca="1" si="54"/>
        <v>9.0211072971244359</v>
      </c>
      <c r="CP89" s="263">
        <f t="shared" ca="1" si="54"/>
        <v>9.0488787688659009</v>
      </c>
      <c r="CQ89" s="263">
        <f t="shared" ca="1" si="54"/>
        <v>9.0767402236884251</v>
      </c>
      <c r="CR89" s="263">
        <f t="shared" ca="1" si="54"/>
        <v>9.1046919531485724</v>
      </c>
      <c r="CS89" s="263">
        <f t="shared" ca="1" si="54"/>
        <v>9.132734249747589</v>
      </c>
      <c r="CT89" s="263">
        <f t="shared" ca="1" si="54"/>
        <v>9.1608674069344573</v>
      </c>
      <c r="CU89" s="263">
        <f t="shared" ca="1" si="54"/>
        <v>9.1890917191089745</v>
      </c>
      <c r="CV89" s="263">
        <f t="shared" ca="1" si="54"/>
        <v>9.2174074816248321</v>
      </c>
      <c r="CW89" s="263">
        <f t="shared" ca="1" si="54"/>
        <v>9.2458149907927023</v>
      </c>
      <c r="CX89" s="263">
        <f t="shared" ca="1" si="54"/>
        <v>9.2743145438833388</v>
      </c>
      <c r="CY89" s="263">
        <f t="shared" ca="1" si="54"/>
        <v>9.3029064391306964</v>
      </c>
      <c r="CZ89" s="263">
        <f t="shared" ca="1" si="54"/>
        <v>9.3315909757350433</v>
      </c>
      <c r="DA89" s="263">
        <f t="shared" ca="1" si="54"/>
        <v>9.3603684538660925</v>
      </c>
      <c r="DB89" s="263">
        <f t="shared" ca="1" si="54"/>
        <v>9.3892391746661463</v>
      </c>
      <c r="DC89" s="263">
        <f t="shared" ca="1" si="54"/>
        <v>9.4182034402532455</v>
      </c>
      <c r="DD89" s="263">
        <f t="shared" ca="1" si="54"/>
        <v>9.4472615537243314</v>
      </c>
      <c r="DE89" s="263">
        <f t="shared" ca="1" si="54"/>
        <v>9.4764138191584202</v>
      </c>
      <c r="DF89" s="263">
        <f t="shared" ca="1" si="54"/>
        <v>9.505660541619779</v>
      </c>
      <c r="DG89" s="263">
        <f t="shared" ca="1" si="54"/>
        <v>9.5350020271611236</v>
      </c>
      <c r="DH89" s="263">
        <f t="shared" ca="1" si="54"/>
        <v>9.5644385828268206</v>
      </c>
      <c r="DI89" s="263">
        <f t="shared" ca="1" si="54"/>
        <v>9.5939705166560962</v>
      </c>
      <c r="DJ89" s="263">
        <f t="shared" ca="1" si="54"/>
        <v>9.6235981376862618</v>
      </c>
      <c r="DK89" s="263">
        <f t="shared" ca="1" si="54"/>
        <v>9.6533217559559539</v>
      </c>
      <c r="DL89" s="263">
        <f t="shared" ca="1" si="54"/>
        <v>9.6831416825083725</v>
      </c>
      <c r="DM89" s="263">
        <f t="shared" ca="1" si="54"/>
        <v>9.7130582293945302</v>
      </c>
      <c r="DN89" s="263">
        <f t="shared" ca="1" si="54"/>
        <v>9.7430717096765331</v>
      </c>
      <c r="DO89" s="263">
        <f t="shared" ca="1" si="54"/>
        <v>9.773182437430842</v>
      </c>
      <c r="DP89" s="263">
        <f t="shared" ca="1" si="54"/>
        <v>9.8033907277515695</v>
      </c>
      <c r="DQ89" s="263">
        <f t="shared" ca="1" si="54"/>
        <v>9.8336968967537679</v>
      </c>
      <c r="DR89" s="263">
        <f t="shared" ca="1" si="54"/>
        <v>9.8641012615767476</v>
      </c>
      <c r="DS89" s="263">
        <f t="shared" ca="1" si="54"/>
        <v>9.8946041403873881</v>
      </c>
      <c r="DT89" s="263">
        <f t="shared" ca="1" si="54"/>
        <v>9.925205852383467</v>
      </c>
      <c r="DU89" s="263">
        <f t="shared" ca="1" si="54"/>
        <v>9.9559067177970082</v>
      </c>
      <c r="DV89" s="263">
        <f t="shared" ca="1" si="54"/>
        <v>9.9867070578976236</v>
      </c>
      <c r="DW89" s="263">
        <f t="shared" ca="1" si="54"/>
        <v>10.017607194995881</v>
      </c>
      <c r="DX89" s="263">
        <f t="shared" ca="1" si="54"/>
        <v>10.048607452446678</v>
      </c>
      <c r="DY89" s="263">
        <f t="shared" ca="1" si="54"/>
        <v>10.07970815465262</v>
      </c>
      <c r="DZ89" s="263">
        <f t="shared" ca="1" si="54"/>
        <v>10.110909627067416</v>
      </c>
      <c r="EA89" s="263">
        <f t="shared" ca="1" si="54"/>
        <v>10.14221219619929</v>
      </c>
      <c r="EB89" s="263">
        <f t="shared" ca="1" si="54"/>
        <v>10.173616189614393</v>
      </c>
      <c r="EC89" s="263">
        <f t="shared" ca="1" si="54"/>
        <v>10.205121935940229</v>
      </c>
      <c r="ED89" s="263">
        <f t="shared" ca="1" si="54"/>
        <v>10.236729764869102</v>
      </c>
      <c r="EE89" s="263">
        <f t="shared" ref="EE89:GP89" ca="1" si="55">EE88*$G$42+$F$42</f>
        <v>10.268440007161553</v>
      </c>
      <c r="EF89" s="263">
        <f t="shared" ca="1" si="55"/>
        <v>10.300252994649837</v>
      </c>
      <c r="EG89" s="263">
        <f t="shared" ca="1" si="55"/>
        <v>10.332169060241382</v>
      </c>
      <c r="EH89" s="263">
        <f t="shared" ca="1" si="55"/>
        <v>10.364188537922281</v>
      </c>
      <c r="EI89" s="263">
        <f t="shared" ca="1" si="55"/>
        <v>10.396311762760785</v>
      </c>
      <c r="EJ89" s="263">
        <f t="shared" ca="1" si="55"/>
        <v>10.428539070910805</v>
      </c>
      <c r="EK89" s="263">
        <f t="shared" ca="1" si="55"/>
        <v>10.460870799615435</v>
      </c>
      <c r="EL89" s="263">
        <f t="shared" ca="1" si="55"/>
        <v>10.493307287210479</v>
      </c>
      <c r="EM89" s="263">
        <f t="shared" ca="1" si="55"/>
        <v>10.525848873127993</v>
      </c>
      <c r="EN89" s="263">
        <f t="shared" ca="1" si="55"/>
        <v>10.558495897899837</v>
      </c>
      <c r="EO89" s="263">
        <f t="shared" ca="1" si="55"/>
        <v>10.591248703161231</v>
      </c>
      <c r="EP89" s="263">
        <f t="shared" ca="1" si="55"/>
        <v>10.624107631654345</v>
      </c>
      <c r="EQ89" s="263">
        <f t="shared" ca="1" si="55"/>
        <v>10.657073027231869</v>
      </c>
      <c r="ER89" s="263">
        <f t="shared" ca="1" si="55"/>
        <v>10.690145234860623</v>
      </c>
      <c r="ES89" s="263">
        <f t="shared" ca="1" si="55"/>
        <v>10.723324600625165</v>
      </c>
      <c r="ET89" s="263">
        <f t="shared" ca="1" si="55"/>
        <v>10.756611471731407</v>
      </c>
      <c r="EU89" s="263">
        <f t="shared" ca="1" si="55"/>
        <v>10.790006196510255</v>
      </c>
      <c r="EV89" s="263">
        <f t="shared" ca="1" si="55"/>
        <v>10.823509124421248</v>
      </c>
      <c r="EW89" s="263">
        <f t="shared" ca="1" si="55"/>
        <v>10.857120606056222</v>
      </c>
      <c r="EX89" s="263">
        <f t="shared" ca="1" si="55"/>
        <v>10.890840993142973</v>
      </c>
      <c r="EY89" s="263">
        <f t="shared" ca="1" si="55"/>
        <v>10.924670638548937</v>
      </c>
      <c r="EZ89" s="263">
        <f t="shared" ca="1" si="55"/>
        <v>10.958609896284891</v>
      </c>
      <c r="FA89" s="263">
        <f t="shared" ca="1" si="55"/>
        <v>10.992659121508646</v>
      </c>
      <c r="FB89" s="263">
        <f t="shared" ca="1" si="55"/>
        <v>11.026818670528773</v>
      </c>
      <c r="FC89" s="263">
        <f t="shared" ca="1" si="55"/>
        <v>11.061088900808322</v>
      </c>
      <c r="FD89" s="263">
        <f t="shared" ca="1" si="55"/>
        <v>11.095470170968577</v>
      </c>
      <c r="FE89" s="263">
        <f t="shared" ca="1" si="55"/>
        <v>11.129962840792796</v>
      </c>
      <c r="FF89" s="263">
        <f t="shared" ca="1" si="55"/>
        <v>11.164567271229977</v>
      </c>
      <c r="FG89" s="263">
        <f t="shared" ca="1" si="55"/>
        <v>11.199283824398647</v>
      </c>
      <c r="FH89" s="263">
        <f t="shared" ca="1" si="55"/>
        <v>11.234112863590633</v>
      </c>
      <c r="FI89" s="263">
        <f t="shared" ca="1" si="55"/>
        <v>11.269054753274883</v>
      </c>
      <c r="FJ89" s="263">
        <f t="shared" ca="1" si="55"/>
        <v>11.30410985910126</v>
      </c>
      <c r="FK89" s="263">
        <f t="shared" ca="1" si="55"/>
        <v>11.339278547904387</v>
      </c>
      <c r="FL89" s="263">
        <f t="shared" ca="1" si="55"/>
        <v>11.374561187707474</v>
      </c>
      <c r="FM89" s="263">
        <f t="shared" ca="1" si="55"/>
        <v>11.409958147726179</v>
      </c>
      <c r="FN89" s="263">
        <f t="shared" ca="1" si="55"/>
        <v>11.445469798372454</v>
      </c>
      <c r="FO89" s="263">
        <f t="shared" ca="1" si="55"/>
        <v>11.481096511258437</v>
      </c>
      <c r="FP89" s="263">
        <f t="shared" ca="1" si="55"/>
        <v>11.516838659200346</v>
      </c>
      <c r="FQ89" s="263">
        <f t="shared" ca="1" si="55"/>
        <v>11.552696616222356</v>
      </c>
      <c r="FR89" s="263">
        <f t="shared" ca="1" si="55"/>
        <v>11.588670757560539</v>
      </c>
      <c r="FS89" s="263">
        <f t="shared" ca="1" si="55"/>
        <v>11.624761459666772</v>
      </c>
      <c r="FT89" s="263">
        <f t="shared" ca="1" si="55"/>
        <v>11.660969100212688</v>
      </c>
      <c r="FU89" s="263">
        <f t="shared" ca="1" si="55"/>
        <v>11.697294058093618</v>
      </c>
      <c r="FV89" s="263">
        <f t="shared" ca="1" si="55"/>
        <v>11.733736713432572</v>
      </c>
      <c r="FW89" s="263">
        <f t="shared" ca="1" si="55"/>
        <v>11.770297447584197</v>
      </c>
      <c r="FX89" s="263">
        <f t="shared" ca="1" si="55"/>
        <v>11.806976643138782</v>
      </c>
      <c r="FY89" s="263">
        <f t="shared" ca="1" si="55"/>
        <v>11.843774683926256</v>
      </c>
      <c r="FZ89" s="263">
        <f t="shared" ca="1" si="55"/>
        <v>11.880691955020207</v>
      </c>
      <c r="GA89" s="263">
        <f t="shared" ca="1" si="55"/>
        <v>11.917728842741905</v>
      </c>
      <c r="GB89" s="263">
        <f t="shared" ca="1" si="55"/>
        <v>11.954885734664357</v>
      </c>
      <c r="GC89" s="263">
        <f t="shared" ca="1" si="55"/>
        <v>11.992163019616351</v>
      </c>
      <c r="GD89" s="263">
        <f t="shared" ca="1" si="55"/>
        <v>12.029561087686529</v>
      </c>
      <c r="GE89" s="263">
        <f t="shared" ca="1" si="55"/>
        <v>12.067080330227471</v>
      </c>
      <c r="GF89" s="263">
        <f t="shared" ca="1" si="55"/>
        <v>12.104721139859791</v>
      </c>
      <c r="GG89" s="263">
        <f t="shared" ca="1" si="55"/>
        <v>12.142483910476237</v>
      </c>
      <c r="GH89" s="263">
        <f t="shared" ca="1" si="55"/>
        <v>12.180369037245828</v>
      </c>
      <c r="GI89" s="263">
        <f t="shared" ca="1" si="55"/>
        <v>12.218376916617975</v>
      </c>
      <c r="GJ89" s="263">
        <f t="shared" ca="1" si="55"/>
        <v>12.256507946326634</v>
      </c>
      <c r="GK89" s="263">
        <f t="shared" ca="1" si="55"/>
        <v>12.294762525394475</v>
      </c>
      <c r="GL89" s="263">
        <f t="shared" ca="1" si="55"/>
        <v>12.333141054137045</v>
      </c>
      <c r="GM89" s="263">
        <f t="shared" ca="1" si="55"/>
        <v>12.371643934166972</v>
      </c>
      <c r="GN89" s="263">
        <f t="shared" ca="1" si="55"/>
        <v>12.410271568398153</v>
      </c>
      <c r="GO89" s="263">
        <f t="shared" ca="1" si="55"/>
        <v>12.449024361049979</v>
      </c>
      <c r="GP89" s="263">
        <f t="shared" ca="1" si="55"/>
        <v>12.487902717651565</v>
      </c>
      <c r="GQ89" s="263">
        <f t="shared" ref="GQ89:JB89" ca="1" si="56">GQ88*$G$42+$F$42</f>
        <v>12.526907045045986</v>
      </c>
      <c r="GR89" s="263">
        <f t="shared" ca="1" si="56"/>
        <v>12.566037751394548</v>
      </c>
      <c r="GS89" s="263">
        <f t="shared" ca="1" si="56"/>
        <v>12.605295246181045</v>
      </c>
      <c r="GT89" s="263">
        <f t="shared" ca="1" si="56"/>
        <v>12.644679940216054</v>
      </c>
      <c r="GU89" s="263">
        <f t="shared" ca="1" si="56"/>
        <v>12.684192245641228</v>
      </c>
      <c r="GV89" s="263">
        <f t="shared" ca="1" si="56"/>
        <v>12.723832575933612</v>
      </c>
      <c r="GW89" s="263">
        <f t="shared" ca="1" si="56"/>
        <v>12.76360134590997</v>
      </c>
      <c r="GX89" s="263">
        <f t="shared" ca="1" si="56"/>
        <v>12.80349897173112</v>
      </c>
      <c r="GY89" s="263">
        <f t="shared" ca="1" si="56"/>
        <v>12.843525870906301</v>
      </c>
      <c r="GZ89" s="263">
        <f t="shared" ca="1" si="56"/>
        <v>12.883682462297527</v>
      </c>
      <c r="HA89" s="263">
        <f t="shared" ca="1" si="56"/>
        <v>12.923969166123985</v>
      </c>
      <c r="HB89" s="263">
        <f t="shared" ca="1" si="56"/>
        <v>12.964386403966421</v>
      </c>
      <c r="HC89" s="263">
        <f t="shared" ca="1" si="56"/>
        <v>13.004934598771557</v>
      </c>
      <c r="HD89" s="263">
        <f t="shared" ca="1" si="56"/>
        <v>13.045614174856516</v>
      </c>
      <c r="HE89" s="263">
        <f t="shared" ca="1" si="56"/>
        <v>13.086425557913262</v>
      </c>
      <c r="HF89" s="263">
        <f t="shared" ca="1" si="56"/>
        <v>13.127369175013058</v>
      </c>
      <c r="HG89" s="263">
        <f t="shared" ca="1" si="56"/>
        <v>13.168445454610925</v>
      </c>
      <c r="HH89" s="263">
        <f t="shared" ca="1" si="56"/>
        <v>13.209654826550135</v>
      </c>
      <c r="HI89" s="263">
        <f t="shared" ca="1" si="56"/>
        <v>13.250997722066712</v>
      </c>
      <c r="HJ89" s="263">
        <f t="shared" ca="1" si="56"/>
        <v>13.292474573793932</v>
      </c>
      <c r="HK89" s="263">
        <f t="shared" ca="1" si="56"/>
        <v>13.334085815766862</v>
      </c>
      <c r="HL89" s="263">
        <f t="shared" ca="1" si="56"/>
        <v>13.375831883426896</v>
      </c>
      <c r="HM89" s="263">
        <f t="shared" ca="1" si="56"/>
        <v>13.417713213626314</v>
      </c>
      <c r="HN89" s="263">
        <f t="shared" ca="1" si="56"/>
        <v>13.459730244632853</v>
      </c>
      <c r="HO89" s="263">
        <f t="shared" ca="1" si="56"/>
        <v>13.501883416134289</v>
      </c>
      <c r="HP89" s="263">
        <f t="shared" ca="1" si="56"/>
        <v>13.544173169243047</v>
      </c>
      <c r="HQ89" s="263">
        <f t="shared" ca="1" si="56"/>
        <v>13.58659994650081</v>
      </c>
      <c r="HR89" s="263">
        <f t="shared" ca="1" si="56"/>
        <v>13.629164191883151</v>
      </c>
      <c r="HS89" s="263">
        <f t="shared" ca="1" si="56"/>
        <v>13.671866350804182</v>
      </c>
      <c r="HT89" s="263">
        <f t="shared" ca="1" si="56"/>
        <v>13.714706870121208</v>
      </c>
      <c r="HU89" s="263">
        <f t="shared" ca="1" si="56"/>
        <v>13.757686198139419</v>
      </c>
      <c r="HV89" s="263">
        <f t="shared" ca="1" si="56"/>
        <v>13.800804784616561</v>
      </c>
      <c r="HW89" s="263">
        <f t="shared" ca="1" si="56"/>
        <v>13.844063080767652</v>
      </c>
      <c r="HX89" s="263">
        <f t="shared" ca="1" si="56"/>
        <v>13.88746153926971</v>
      </c>
      <c r="HY89" s="263">
        <f t="shared" ca="1" si="56"/>
        <v>13.931000614266477</v>
      </c>
      <c r="HZ89" s="263">
        <f t="shared" ca="1" si="56"/>
        <v>13.974680761373186</v>
      </c>
      <c r="IA89" s="263">
        <f t="shared" ca="1" si="56"/>
        <v>14.018502437681311</v>
      </c>
      <c r="IB89" s="263">
        <f t="shared" ca="1" si="56"/>
        <v>14.062466101763372</v>
      </c>
      <c r="IC89" s="263">
        <f t="shared" ca="1" si="56"/>
        <v>14.106572213677708</v>
      </c>
      <c r="ID89" s="263">
        <f t="shared" ca="1" si="56"/>
        <v>14.150821234973321</v>
      </c>
      <c r="IE89" s="263">
        <f t="shared" ca="1" si="56"/>
        <v>14.195213628694676</v>
      </c>
      <c r="IF89" s="263">
        <f t="shared" ca="1" si="56"/>
        <v>14.239749859386569</v>
      </c>
      <c r="IG89" s="263">
        <f t="shared" ca="1" si="56"/>
        <v>14.284430393098976</v>
      </c>
      <c r="IH89" s="263">
        <f t="shared" ca="1" si="56"/>
        <v>14.329255697391936</v>
      </c>
      <c r="II89" s="263">
        <f t="shared" ca="1" si="56"/>
        <v>14.374226241340441</v>
      </c>
      <c r="IJ89" s="263">
        <f t="shared" ca="1" si="56"/>
        <v>14.419342495539345</v>
      </c>
      <c r="IK89" s="263">
        <f t="shared" ca="1" si="56"/>
        <v>14.464604932108289</v>
      </c>
      <c r="IL89" s="263">
        <f t="shared" ca="1" si="56"/>
        <v>14.510014024696643</v>
      </c>
      <c r="IM89" s="263">
        <f t="shared" ca="1" si="56"/>
        <v>14.555570248488458</v>
      </c>
      <c r="IN89" s="263">
        <f t="shared" ca="1" si="56"/>
        <v>14.601274080207443</v>
      </c>
      <c r="IO89" s="263">
        <f t="shared" ca="1" si="56"/>
        <v>14.647125998121952</v>
      </c>
      <c r="IP89" s="263">
        <f t="shared" ca="1" si="56"/>
        <v>14.693126482049989</v>
      </c>
      <c r="IQ89" s="263">
        <f t="shared" ca="1" si="56"/>
        <v>14.739276013364229</v>
      </c>
      <c r="IR89" s="263">
        <f t="shared" ca="1" si="56"/>
        <v>14.785575074997055</v>
      </c>
      <c r="IS89" s="263">
        <f t="shared" ca="1" si="56"/>
        <v>14.832024151445614</v>
      </c>
      <c r="IT89" s="263">
        <f t="shared" ca="1" si="56"/>
        <v>14.878623728776882</v>
      </c>
      <c r="IU89" s="263">
        <f t="shared" ca="1" si="56"/>
        <v>14.925374294632753</v>
      </c>
      <c r="IV89" s="263">
        <f t="shared" ca="1" si="56"/>
        <v>14.972276338235146</v>
      </c>
      <c r="IW89" s="263">
        <f t="shared" ca="1" si="56"/>
        <v>15.019330350391119</v>
      </c>
      <c r="IX89" s="263">
        <f t="shared" ca="1" si="56"/>
        <v>15.066536823498007</v>
      </c>
      <c r="IY89" s="263">
        <f t="shared" ca="1" si="56"/>
        <v>15.113896251548574</v>
      </c>
      <c r="IZ89" s="263">
        <f t="shared" ca="1" si="56"/>
        <v>15.161409130136185</v>
      </c>
      <c r="JA89" s="263">
        <f t="shared" ca="1" si="56"/>
        <v>15.209075956459987</v>
      </c>
      <c r="JB89" s="263">
        <f t="shared" ca="1" si="56"/>
        <v>15.256897229330118</v>
      </c>
      <c r="JC89" s="263">
        <f t="shared" ref="JC89:LN89" ca="1" si="57">JC88*$G$42+$F$42</f>
        <v>15.304873449172923</v>
      </c>
      <c r="JD89" s="263">
        <f t="shared" ca="1" si="57"/>
        <v>15.353005118036192</v>
      </c>
      <c r="JE89" s="263">
        <f t="shared" ca="1" si="57"/>
        <v>15.401292739594414</v>
      </c>
      <c r="JF89" s="263">
        <f t="shared" ca="1" si="57"/>
        <v>15.449736819154042</v>
      </c>
      <c r="JG89" s="263">
        <f t="shared" ca="1" si="57"/>
        <v>15.498337863658795</v>
      </c>
      <c r="JH89" s="263">
        <f t="shared" ca="1" si="57"/>
        <v>15.547096381694946</v>
      </c>
      <c r="JI89" s="263">
        <f t="shared" ca="1" si="57"/>
        <v>15.596012883496652</v>
      </c>
      <c r="JJ89" s="263">
        <f t="shared" ca="1" si="57"/>
        <v>15.6450878809513</v>
      </c>
      <c r="JK89" s="263">
        <f t="shared" ca="1" si="57"/>
        <v>15.69432188760485</v>
      </c>
      <c r="JL89" s="263">
        <f t="shared" ca="1" si="57"/>
        <v>15.743715418667218</v>
      </c>
      <c r="JM89" s="263">
        <f t="shared" ca="1" si="57"/>
        <v>15.793268991017667</v>
      </c>
      <c r="JN89" s="263">
        <f t="shared" ca="1" si="57"/>
        <v>15.842983123210214</v>
      </c>
      <c r="JO89" s="263">
        <f t="shared" ca="1" si="57"/>
        <v>15.892858335479053</v>
      </c>
      <c r="JP89" s="263">
        <f t="shared" ca="1" si="57"/>
        <v>15.942895149744006</v>
      </c>
      <c r="JQ89" s="263">
        <f t="shared" ca="1" si="57"/>
        <v>15.993094089615981</v>
      </c>
      <c r="JR89" s="263">
        <f t="shared" ca="1" si="57"/>
        <v>16.043455680402452</v>
      </c>
      <c r="JS89" s="263">
        <f t="shared" ca="1" si="57"/>
        <v>16.093980449112951</v>
      </c>
      <c r="JT89" s="263">
        <f t="shared" ca="1" si="57"/>
        <v>16.144668924464593</v>
      </c>
      <c r="JU89" s="263">
        <f t="shared" ca="1" si="57"/>
        <v>16.195521636887602</v>
      </c>
      <c r="JV89" s="263">
        <f t="shared" ca="1" si="57"/>
        <v>16.246539118530862</v>
      </c>
      <c r="JW89" s="263">
        <f t="shared" ca="1" si="57"/>
        <v>16.297721903267483</v>
      </c>
      <c r="JX89" s="263">
        <f t="shared" ca="1" si="57"/>
        <v>16.349070526700402</v>
      </c>
      <c r="JY89" s="263">
        <f t="shared" ca="1" si="57"/>
        <v>16.400585526167969</v>
      </c>
      <c r="JZ89" s="263">
        <f t="shared" ca="1" si="57"/>
        <v>16.452267440749576</v>
      </c>
      <c r="KA89" s="263">
        <f t="shared" ca="1" si="57"/>
        <v>16.504116811271313</v>
      </c>
      <c r="KB89" s="263">
        <f t="shared" ca="1" si="57"/>
        <v>16.556134180311595</v>
      </c>
      <c r="KC89" s="263">
        <f t="shared" ca="1" si="57"/>
        <v>16.608320092206881</v>
      </c>
      <c r="KD89" s="263">
        <f t="shared" ca="1" si="57"/>
        <v>16.660675093057332</v>
      </c>
      <c r="KE89" s="263">
        <f t="shared" ca="1" si="57"/>
        <v>16.713199730732555</v>
      </c>
      <c r="KF89" s="263">
        <f t="shared" ca="1" si="57"/>
        <v>16.765894554877313</v>
      </c>
      <c r="KG89" s="263">
        <f t="shared" ca="1" si="57"/>
        <v>16.818760116917296</v>
      </c>
      <c r="KH89" s="263">
        <f t="shared" ca="1" si="57"/>
        <v>16.871796970064885</v>
      </c>
      <c r="KI89" s="263">
        <f t="shared" ca="1" si="57"/>
        <v>16.925005669324925</v>
      </c>
      <c r="KJ89" s="263">
        <f t="shared" ca="1" si="57"/>
        <v>16.97838677150056</v>
      </c>
      <c r="KK89" s="263">
        <f t="shared" ca="1" si="57"/>
        <v>17.031940835199045</v>
      </c>
      <c r="KL89" s="263">
        <f t="shared" ca="1" si="57"/>
        <v>17.085668420837582</v>
      </c>
      <c r="KM89" s="263">
        <f t="shared" ca="1" si="57"/>
        <v>17.139570090649215</v>
      </c>
      <c r="KN89" s="263">
        <f t="shared" ca="1" si="57"/>
        <v>17.193646408688679</v>
      </c>
      <c r="KO89" s="263">
        <f t="shared" ca="1" si="57"/>
        <v>17.247897940838321</v>
      </c>
      <c r="KP89" s="263">
        <f t="shared" ca="1" si="57"/>
        <v>17.302325254814022</v>
      </c>
      <c r="KQ89" s="263">
        <f t="shared" ca="1" si="57"/>
        <v>17.356928920171129</v>
      </c>
      <c r="KR89" s="263">
        <f t="shared" ca="1" si="57"/>
        <v>17.411709508310427</v>
      </c>
      <c r="KS89" s="263">
        <f t="shared" ca="1" si="57"/>
        <v>17.4666675924841</v>
      </c>
      <c r="KT89" s="263">
        <f t="shared" ca="1" si="57"/>
        <v>17.521803747801759</v>
      </c>
      <c r="KU89" s="263">
        <f t="shared" ca="1" si="57"/>
        <v>17.577118551236431</v>
      </c>
      <c r="KV89" s="263">
        <f t="shared" ca="1" si="57"/>
        <v>17.63261258163061</v>
      </c>
      <c r="KW89" s="263">
        <f t="shared" ca="1" si="57"/>
        <v>17.688286419702315</v>
      </c>
      <c r="KX89" s="263">
        <f t="shared" ca="1" si="57"/>
        <v>17.744140648051157</v>
      </c>
      <c r="KY89" s="263">
        <f t="shared" ca="1" si="57"/>
        <v>17.800175851164457</v>
      </c>
      <c r="KZ89" s="263">
        <f t="shared" ca="1" si="57"/>
        <v>17.856392615423342</v>
      </c>
      <c r="LA89" s="263">
        <f t="shared" ca="1" si="57"/>
        <v>17.912791529108887</v>
      </c>
      <c r="LB89" s="263">
        <f t="shared" ca="1" si="57"/>
        <v>17.969373182408273</v>
      </c>
      <c r="LC89" s="263">
        <f t="shared" ca="1" si="57"/>
        <v>18.026138167420964</v>
      </c>
      <c r="LD89" s="263">
        <f t="shared" ca="1" si="57"/>
        <v>18.083087078164898</v>
      </c>
      <c r="LE89" s="263">
        <f t="shared" ca="1" si="57"/>
        <v>18.140220510582708</v>
      </c>
      <c r="LF89" s="263">
        <f t="shared" ca="1" si="57"/>
        <v>18.197539062547953</v>
      </c>
      <c r="LG89" s="263">
        <f t="shared" ca="1" si="57"/>
        <v>18.255043333871384</v>
      </c>
      <c r="LH89" s="263">
        <f t="shared" ca="1" si="57"/>
        <v>18.312733926307214</v>
      </c>
      <c r="LI89" s="263">
        <f t="shared" ca="1" si="57"/>
        <v>18.370611443559412</v>
      </c>
      <c r="LJ89" s="263">
        <f t="shared" ca="1" si="57"/>
        <v>18.428676491288023</v>
      </c>
      <c r="LK89" s="263">
        <f t="shared" ca="1" si="57"/>
        <v>18.486929677115516</v>
      </c>
      <c r="LL89" s="263">
        <f t="shared" ca="1" si="57"/>
        <v>18.545371610633119</v>
      </c>
      <c r="LM89" s="263">
        <f t="shared" ca="1" si="57"/>
        <v>18.604002903407228</v>
      </c>
      <c r="LN89" s="263">
        <f t="shared" ca="1" si="57"/>
        <v>18.662824168985782</v>
      </c>
      <c r="LO89" s="263">
        <f t="shared" ref="LO89:NZ89" ca="1" si="58">LO88*$G$42+$F$42</f>
        <v>18.721836022904697</v>
      </c>
      <c r="LP89" s="263">
        <f t="shared" ca="1" si="58"/>
        <v>18.781039082694306</v>
      </c>
      <c r="LQ89" s="263">
        <f t="shared" ca="1" si="58"/>
        <v>18.840433967885804</v>
      </c>
      <c r="LR89" s="263">
        <f t="shared" ca="1" si="58"/>
        <v>18.900021300017766</v>
      </c>
      <c r="LS89" s="263">
        <f t="shared" ca="1" si="58"/>
        <v>18.959801702642611</v>
      </c>
      <c r="LT89" s="263">
        <f t="shared" ca="1" si="58"/>
        <v>19.019775801333164</v>
      </c>
      <c r="LU89" s="263">
        <f t="shared" ca="1" si="58"/>
        <v>19.079944223689175</v>
      </c>
      <c r="LV89" s="263">
        <f t="shared" ca="1" si="58"/>
        <v>19.140307599343899</v>
      </c>
      <c r="LW89" s="263">
        <f t="shared" ca="1" si="58"/>
        <v>19.200866559970681</v>
      </c>
      <c r="LX89" s="263">
        <f t="shared" ca="1" si="58"/>
        <v>19.261621739289566</v>
      </c>
      <c r="LY89" s="263">
        <f t="shared" ca="1" si="58"/>
        <v>19.322573773073938</v>
      </c>
      <c r="LZ89" s="263">
        <f t="shared" ca="1" si="58"/>
        <v>19.383723299157161</v>
      </c>
      <c r="MA89" s="263">
        <f t="shared" ca="1" si="58"/>
        <v>19.445070957439267</v>
      </c>
      <c r="MB89" s="263">
        <f t="shared" ca="1" si="58"/>
        <v>19.506617389893641</v>
      </c>
      <c r="MC89" s="263">
        <f t="shared" ca="1" si="58"/>
        <v>19.568363240573738</v>
      </c>
      <c r="MD89" s="263">
        <f t="shared" ca="1" si="58"/>
        <v>19.630309155619834</v>
      </c>
      <c r="ME89" s="263">
        <f t="shared" ca="1" si="58"/>
        <v>19.692455783265778</v>
      </c>
      <c r="MF89" s="263">
        <f t="shared" ca="1" si="58"/>
        <v>19.754803773845786</v>
      </c>
      <c r="MG89" s="263">
        <f t="shared" ca="1" si="58"/>
        <v>19.81735377980123</v>
      </c>
      <c r="MH89" s="263">
        <f t="shared" ca="1" si="58"/>
        <v>19.880106455687478</v>
      </c>
      <c r="MI89" s="263">
        <f t="shared" ca="1" si="58"/>
        <v>19.943062458180741</v>
      </c>
      <c r="MJ89" s="263">
        <f t="shared" ca="1" si="58"/>
        <v>20.006222446084937</v>
      </c>
      <c r="MK89" s="263">
        <f t="shared" ca="1" si="58"/>
        <v>20.069587080338611</v>
      </c>
      <c r="ML89" s="263">
        <f t="shared" ca="1" si="58"/>
        <v>20.133157024021809</v>
      </c>
      <c r="MM89" s="263">
        <f t="shared" ca="1" si="58"/>
        <v>20.196932942363048</v>
      </c>
      <c r="MN89" s="263">
        <f t="shared" ca="1" si="58"/>
        <v>20.260915502746283</v>
      </c>
      <c r="MO89" s="263">
        <f t="shared" ca="1" si="58"/>
        <v>20.325105374717861</v>
      </c>
      <c r="MP89" s="263">
        <f t="shared" ca="1" si="58"/>
        <v>20.389503229993547</v>
      </c>
      <c r="MQ89" s="263">
        <f t="shared" ca="1" si="58"/>
        <v>20.454109742465558</v>
      </c>
      <c r="MR89" s="263">
        <f t="shared" ca="1" si="58"/>
        <v>20.518925588209601</v>
      </c>
      <c r="MS89" s="263">
        <f t="shared" ca="1" si="58"/>
        <v>20.583951445491952</v>
      </c>
      <c r="MT89" s="263">
        <f t="shared" ca="1" si="58"/>
        <v>20.649187994776554</v>
      </c>
      <c r="MU89" s="263">
        <f t="shared" ca="1" si="58"/>
        <v>20.714635918732156</v>
      </c>
      <c r="MV89" s="263">
        <f t="shared" ca="1" si="58"/>
        <v>20.780295902239413</v>
      </c>
      <c r="MW89" s="263">
        <f t="shared" ca="1" si="58"/>
        <v>20.846168632398104</v>
      </c>
      <c r="MX89" s="263">
        <f t="shared" ca="1" si="58"/>
        <v>20.912254798534281</v>
      </c>
      <c r="MY89" s="263">
        <f t="shared" ca="1" si="58"/>
        <v>20.978555092207518</v>
      </c>
      <c r="MZ89" s="263">
        <f t="shared" ca="1" si="58"/>
        <v>21.04507020721811</v>
      </c>
      <c r="NA89" s="263">
        <f t="shared" ca="1" si="58"/>
        <v>21.111800839614361</v>
      </c>
      <c r="NB89" s="263">
        <f t="shared" ca="1" si="58"/>
        <v>21.178747687699865</v>
      </c>
      <c r="NC89" s="263">
        <f t="shared" ca="1" si="58"/>
        <v>21.245911452040801</v>
      </c>
      <c r="ND89" s="263">
        <f t="shared" ca="1" si="58"/>
        <v>21.313292835473266</v>
      </c>
      <c r="NE89" s="263">
        <f t="shared" ca="1" si="58"/>
        <v>21.380892543110647</v>
      </c>
      <c r="NF89" s="263">
        <f t="shared" ca="1" si="58"/>
        <v>21.448711282350985</v>
      </c>
      <c r="NG89" s="263">
        <f t="shared" ca="1" si="58"/>
        <v>21.516749762884373</v>
      </c>
      <c r="NH89" s="263">
        <f t="shared" ca="1" si="58"/>
        <v>21.585008696700395</v>
      </c>
      <c r="NI89" s="263">
        <f t="shared" ca="1" si="58"/>
        <v>21.653488798095573</v>
      </c>
      <c r="NJ89" s="263">
        <f t="shared" ca="1" si="58"/>
        <v>21.722190783680837</v>
      </c>
      <c r="NK89" s="263">
        <f t="shared" ca="1" si="58"/>
        <v>21.791115372389022</v>
      </c>
      <c r="NL89" s="263">
        <f t="shared" ca="1" si="58"/>
        <v>21.860263285482407</v>
      </c>
      <c r="NM89" s="263">
        <f t="shared" ca="1" si="58"/>
        <v>21.929635246560245</v>
      </c>
      <c r="NN89" s="263">
        <f t="shared" ca="1" si="58"/>
        <v>21.99923198156635</v>
      </c>
      <c r="NO89" s="263">
        <f t="shared" ca="1" si="58"/>
        <v>22.069054218796669</v>
      </c>
      <c r="NP89" s="263">
        <f t="shared" ca="1" si="58"/>
        <v>22.139102688906934</v>
      </c>
      <c r="NQ89" s="263">
        <f t="shared" ca="1" si="58"/>
        <v>22.209378124920296</v>
      </c>
      <c r="NR89" s="263">
        <f t="shared" ca="1" si="58"/>
        <v>22.279881262234984</v>
      </c>
      <c r="NS89" s="263">
        <f t="shared" ca="1" si="58"/>
        <v>22.350612838632014</v>
      </c>
      <c r="NT89" s="263">
        <f t="shared" ca="1" si="58"/>
        <v>22.421573594282904</v>
      </c>
      <c r="NU89" s="263">
        <f t="shared" ca="1" si="58"/>
        <v>22.49276427175743</v>
      </c>
      <c r="NV89" s="263">
        <f t="shared" ca="1" si="58"/>
        <v>22.564185616031381</v>
      </c>
      <c r="NW89" s="263">
        <f t="shared" ca="1" si="58"/>
        <v>22.635838374494359</v>
      </c>
      <c r="NX89" s="263">
        <f t="shared" ca="1" si="58"/>
        <v>22.707723296957607</v>
      </c>
      <c r="NY89" s="263">
        <f t="shared" ca="1" si="58"/>
        <v>22.779841135661851</v>
      </c>
      <c r="NZ89" s="263">
        <f t="shared" ca="1" si="58"/>
        <v>22.852192645285175</v>
      </c>
      <c r="OA89" s="263">
        <f t="shared" ref="OA89:QL89" ca="1" si="59">OA88*$G$42+$F$42</f>
        <v>22.924778582950911</v>
      </c>
      <c r="OB89" s="263">
        <f t="shared" ca="1" si="59"/>
        <v>22.997599708235562</v>
      </c>
      <c r="OC89" s="263">
        <f t="shared" ca="1" si="59"/>
        <v>23.070656783176766</v>
      </c>
      <c r="OD89" s="263">
        <f t="shared" ca="1" si="59"/>
        <v>23.143950572281256</v>
      </c>
      <c r="OE89" s="263">
        <f t="shared" ca="1" si="59"/>
        <v>23.217481842532855</v>
      </c>
      <c r="OF89" s="263">
        <f t="shared" ca="1" si="59"/>
        <v>23.291251363400519</v>
      </c>
      <c r="OG89" s="263">
        <f t="shared" ca="1" si="59"/>
        <v>23.365259906846379</v>
      </c>
      <c r="OH89" s="263">
        <f t="shared" ca="1" si="59"/>
        <v>23.439508247333823</v>
      </c>
      <c r="OI89" s="263">
        <f t="shared" ca="1" si="59"/>
        <v>23.513997161835594</v>
      </c>
      <c r="OJ89" s="263">
        <f t="shared" ca="1" si="59"/>
        <v>23.588727429841928</v>
      </c>
      <c r="OK89" s="263">
        <f t="shared" ca="1" si="59"/>
        <v>23.663699833368703</v>
      </c>
      <c r="OL89" s="263">
        <f t="shared" ca="1" si="59"/>
        <v>23.738915156965639</v>
      </c>
      <c r="OM89" s="263">
        <f t="shared" ca="1" si="59"/>
        <v>23.814374187724482</v>
      </c>
      <c r="ON89" s="263">
        <f t="shared" ca="1" si="59"/>
        <v>23.890077715287262</v>
      </c>
      <c r="OO89" s="263">
        <f t="shared" ca="1" si="59"/>
        <v>23.966026531854546</v>
      </c>
      <c r="OP89" s="263">
        <f t="shared" ca="1" si="59"/>
        <v>24.042221432193742</v>
      </c>
      <c r="OQ89" s="263">
        <f t="shared" ca="1" si="59"/>
        <v>24.118663213647388</v>
      </c>
      <c r="OR89" s="263">
        <f t="shared" ca="1" si="59"/>
        <v>24.195352676141525</v>
      </c>
      <c r="OS89" s="263">
        <f t="shared" ca="1" si="59"/>
        <v>24.272290622194053</v>
      </c>
      <c r="OT89" s="263">
        <f t="shared" ca="1" si="59"/>
        <v>24.349477856923126</v>
      </c>
      <c r="OU89" s="263">
        <f t="shared" ca="1" si="59"/>
        <v>24.426915188055592</v>
      </c>
      <c r="OV89" s="263">
        <f t="shared" ca="1" si="59"/>
        <v>24.504603425935429</v>
      </c>
      <c r="OW89" s="263">
        <f t="shared" ca="1" si="59"/>
        <v>24.582543383532229</v>
      </c>
      <c r="OX89" s="263">
        <f t="shared" ca="1" si="59"/>
        <v>24.660735876449717</v>
      </c>
      <c r="OY89" s="263">
        <f t="shared" ca="1" si="59"/>
        <v>24.739181722934273</v>
      </c>
      <c r="OZ89" s="263">
        <f t="shared" ca="1" si="59"/>
        <v>24.817881743883504</v>
      </c>
      <c r="PA89" s="263">
        <f t="shared" ca="1" si="59"/>
        <v>24.896836762854818</v>
      </c>
      <c r="PB89" s="263">
        <f t="shared" ca="1" si="59"/>
        <v>24.976047606074058</v>
      </c>
      <c r="PC89" s="263">
        <f t="shared" ca="1" si="59"/>
        <v>25.055515102444151</v>
      </c>
      <c r="PD89" s="263">
        <f t="shared" ca="1" si="59"/>
        <v>25.135240083553764</v>
      </c>
      <c r="PE89" s="263">
        <f t="shared" ca="1" si="59"/>
        <v>25.21522338368602</v>
      </c>
      <c r="PF89" s="263">
        <f t="shared" ca="1" si="59"/>
        <v>25.29546583982723</v>
      </c>
      <c r="PG89" s="263">
        <f t="shared" ca="1" si="59"/>
        <v>25.375968291675633</v>
      </c>
      <c r="PH89" s="263">
        <f t="shared" ca="1" si="59"/>
        <v>25.456731581650217</v>
      </c>
      <c r="PI89" s="263">
        <f t="shared" ca="1" si="59"/>
        <v>25.537756554899495</v>
      </c>
      <c r="PJ89" s="263">
        <f t="shared" ca="1" si="59"/>
        <v>25.619044059310376</v>
      </c>
      <c r="PK89" s="263">
        <f t="shared" ca="1" si="59"/>
        <v>25.700594945517032</v>
      </c>
      <c r="PL89" s="263">
        <f t="shared" ca="1" si="59"/>
        <v>25.78241006690979</v>
      </c>
      <c r="PM89" s="263">
        <f t="shared" ca="1" si="59"/>
        <v>25.86449027964408</v>
      </c>
      <c r="PN89" s="263">
        <f t="shared" ca="1" si="59"/>
        <v>25.946836442649374</v>
      </c>
      <c r="PO89" s="263">
        <f t="shared" ca="1" si="59"/>
        <v>26.02944941763819</v>
      </c>
      <c r="PP89" s="263">
        <f t="shared" ca="1" si="59"/>
        <v>26.112330069115099</v>
      </c>
      <c r="PQ89" s="263">
        <f t="shared" ca="1" si="59"/>
        <v>26.195479264385781</v>
      </c>
      <c r="PR89" s="263">
        <f t="shared" ca="1" si="59"/>
        <v>26.278897873566098</v>
      </c>
      <c r="PS89" s="263">
        <f t="shared" ca="1" si="59"/>
        <v>26.362586769591186</v>
      </c>
      <c r="PT89" s="263">
        <f t="shared" ca="1" si="59"/>
        <v>26.446546828224612</v>
      </c>
      <c r="PU89" s="263">
        <f t="shared" ca="1" si="59"/>
        <v>26.530778928067527</v>
      </c>
      <c r="PV89" s="263">
        <f t="shared" ca="1" si="59"/>
        <v>26.615283950567854</v>
      </c>
      <c r="PW89" s="263">
        <f t="shared" ca="1" si="59"/>
        <v>26.700062780029523</v>
      </c>
      <c r="PX89" s="263">
        <f t="shared" ca="1" si="59"/>
        <v>26.785116303621724</v>
      </c>
      <c r="PY89" s="263">
        <f t="shared" ca="1" si="59"/>
        <v>26.870445411388186</v>
      </c>
      <c r="PZ89" s="263">
        <f t="shared" ca="1" si="59"/>
        <v>26.956050996256483</v>
      </c>
      <c r="QA89" s="263">
        <f t="shared" ca="1" si="59"/>
        <v>27.041933954047401</v>
      </c>
      <c r="QB89" s="263">
        <f t="shared" ca="1" si="59"/>
        <v>27.128095183484291</v>
      </c>
      <c r="QC89" s="263">
        <f t="shared" ca="1" si="59"/>
        <v>27.21453558620248</v>
      </c>
      <c r="QD89" s="263">
        <f t="shared" ca="1" si="59"/>
        <v>27.301256066758711</v>
      </c>
      <c r="QE89" s="263">
        <f t="shared" ca="1" si="59"/>
        <v>27.388257532640605</v>
      </c>
      <c r="QF89" s="263">
        <f t="shared" ca="1" si="59"/>
        <v>27.475540894276158</v>
      </c>
      <c r="QG89" s="263">
        <f t="shared" ca="1" si="59"/>
        <v>27.563107065043265</v>
      </c>
      <c r="QH89" s="263">
        <f t="shared" ca="1" si="59"/>
        <v>27.650956961279284</v>
      </c>
      <c r="QI89" s="263">
        <f t="shared" ca="1" si="59"/>
        <v>27.73909150229062</v>
      </c>
      <c r="QJ89" s="263">
        <f t="shared" ca="1" si="59"/>
        <v>27.827511610362347</v>
      </c>
      <c r="QK89" s="263">
        <f t="shared" ca="1" si="59"/>
        <v>27.916218210767859</v>
      </c>
      <c r="QL89" s="263">
        <f t="shared" ca="1" si="59"/>
        <v>28.005212231778557</v>
      </c>
      <c r="QM89" s="263">
        <f t="shared" ref="QM89:RR89" ca="1" si="60">QM88*$G$42+$F$42</f>
        <v>28.09449460467356</v>
      </c>
      <c r="QN89" s="263">
        <f t="shared" ca="1" si="60"/>
        <v>28.184066263749433</v>
      </c>
      <c r="QO89" s="263">
        <f t="shared" ca="1" si="60"/>
        <v>28.27392814633</v>
      </c>
      <c r="QP89" s="263">
        <f t="shared" ca="1" si="60"/>
        <v>28.364081192776123</v>
      </c>
      <c r="QQ89" s="263">
        <f t="shared" ca="1" si="60"/>
        <v>28.454526346495552</v>
      </c>
      <c r="QR89" s="263">
        <f t="shared" ca="1" si="60"/>
        <v>28.545264553952801</v>
      </c>
      <c r="QS89" s="263">
        <f t="shared" ca="1" si="60"/>
        <v>28.636296764679045</v>
      </c>
      <c r="QT89" s="263">
        <f t="shared" ca="1" si="60"/>
        <v>28.727623931282064</v>
      </c>
      <c r="QU89" s="263">
        <f t="shared" ca="1" si="60"/>
        <v>28.819247009456202</v>
      </c>
      <c r="QV89" s="263">
        <f t="shared" ca="1" si="60"/>
        <v>28.911166957992386</v>
      </c>
      <c r="QW89" s="263">
        <f t="shared" ca="1" si="60"/>
        <v>29.003384738788125</v>
      </c>
      <c r="QX89" s="263">
        <f t="shared" ca="1" si="60"/>
        <v>29.095901316857621</v>
      </c>
      <c r="QY89" s="263">
        <f t="shared" ca="1" si="60"/>
        <v>29.188717660341826</v>
      </c>
      <c r="QZ89" s="263">
        <f t="shared" ca="1" si="60"/>
        <v>29.281834740518608</v>
      </c>
      <c r="RA89" s="263">
        <f t="shared" ca="1" si="60"/>
        <v>29.375253531812881</v>
      </c>
      <c r="RB89" s="263">
        <f t="shared" ca="1" si="60"/>
        <v>29.468975011806833</v>
      </c>
      <c r="RC89" s="263">
        <f t="shared" ca="1" si="60"/>
        <v>29.56300016125013</v>
      </c>
      <c r="RD89" s="263">
        <f t="shared" ca="1" si="60"/>
        <v>29.657329964070204</v>
      </c>
      <c r="RE89" s="263">
        <f t="shared" ca="1" si="60"/>
        <v>29.751965407382517</v>
      </c>
      <c r="RF89" s="263">
        <f t="shared" ca="1" si="60"/>
        <v>29.846907481500939</v>
      </c>
      <c r="RG89" s="263">
        <f t="shared" ca="1" si="60"/>
        <v>29.942157179948051</v>
      </c>
      <c r="RH89" s="263">
        <f t="shared" ca="1" si="60"/>
        <v>30.037715499465591</v>
      </c>
      <c r="RI89" s="263">
        <f t="shared" ca="1" si="60"/>
        <v>30.133583440024868</v>
      </c>
      <c r="RJ89" s="263">
        <f t="shared" ca="1" si="60"/>
        <v>30.229762004837216</v>
      </c>
      <c r="RK89" s="263">
        <f t="shared" ca="1" si="60"/>
        <v>30.326252200364504</v>
      </c>
      <c r="RL89" s="263">
        <f t="shared" ca="1" si="60"/>
        <v>30.423055036329664</v>
      </c>
      <c r="RM89" s="263">
        <f t="shared" ca="1" si="60"/>
        <v>30.520171525727253</v>
      </c>
      <c r="RN89" s="263">
        <f t="shared" ca="1" si="60"/>
        <v>30.617602684834068</v>
      </c>
      <c r="RO89" s="263">
        <f t="shared" ca="1" si="60"/>
        <v>30.715349533219772</v>
      </c>
      <c r="RP89" s="263">
        <f t="shared" ca="1" si="60"/>
        <v>30.813413093757553</v>
      </c>
      <c r="RQ89" s="263">
        <f t="shared" ca="1" si="60"/>
        <v>30.911794392634839</v>
      </c>
      <c r="RR89" s="263">
        <f t="shared" ca="1" si="60"/>
        <v>31.010494459364047</v>
      </c>
    </row>
    <row r="90" spans="1:486" s="9" customFormat="1">
      <c r="A90" s="289"/>
      <c r="B90" s="66" t="s">
        <v>246</v>
      </c>
      <c r="E90" s="1">
        <f>E45</f>
        <v>2.524</v>
      </c>
      <c r="F90" s="1">
        <f ca="1">E90*(1+F85)</f>
        <v>2.5321763998125792</v>
      </c>
      <c r="G90" s="1">
        <f t="shared" ref="G90:BR90" ca="1" si="61">F90*(1+G85)</f>
        <v>2.5403792867542769</v>
      </c>
      <c r="H90" s="1">
        <f t="shared" ca="1" si="61"/>
        <v>2.5486087466291178</v>
      </c>
      <c r="I90" s="1">
        <f t="shared" ca="1" si="61"/>
        <v>2.5568648655190849</v>
      </c>
      <c r="J90" s="1">
        <f t="shared" ca="1" si="61"/>
        <v>2.5651477297850205</v>
      </c>
      <c r="K90" s="1">
        <f t="shared" ca="1" si="61"/>
        <v>2.5734574260675296</v>
      </c>
      <c r="L90" s="1">
        <f t="shared" ca="1" si="61"/>
        <v>2.5817940412878859</v>
      </c>
      <c r="M90" s="1">
        <f t="shared" ca="1" si="61"/>
        <v>2.5901576626489415</v>
      </c>
      <c r="N90" s="1">
        <f t="shared" ca="1" si="61"/>
        <v>2.598548377636039</v>
      </c>
      <c r="O90" s="1">
        <f t="shared" ca="1" si="61"/>
        <v>2.6069662740179256</v>
      </c>
      <c r="P90" s="1">
        <f t="shared" ca="1" si="61"/>
        <v>2.6154114398476724</v>
      </c>
      <c r="Q90" s="1">
        <f t="shared" ca="1" si="61"/>
        <v>2.6238839634635949</v>
      </c>
      <c r="R90" s="1">
        <f t="shared" ca="1" si="61"/>
        <v>2.6323839334901771</v>
      </c>
      <c r="S90" s="1">
        <f t="shared" ca="1" si="61"/>
        <v>2.6409114388389989</v>
      </c>
      <c r="T90" s="1">
        <f t="shared" ca="1" si="61"/>
        <v>2.6494665687096655</v>
      </c>
      <c r="U90" s="1">
        <f t="shared" ca="1" si="61"/>
        <v>2.6580494125907403</v>
      </c>
      <c r="V90" s="1">
        <f t="shared" ca="1" si="61"/>
        <v>2.6666600602606825</v>
      </c>
      <c r="W90" s="1">
        <f t="shared" ca="1" si="61"/>
        <v>2.6752986017887839</v>
      </c>
      <c r="X90" s="1">
        <f t="shared" ca="1" si="61"/>
        <v>2.6839651275361134</v>
      </c>
      <c r="Y90" s="1">
        <f t="shared" ca="1" si="61"/>
        <v>2.6926597281564604</v>
      </c>
      <c r="Z90" s="1">
        <f t="shared" ca="1" si="61"/>
        <v>2.7013824945972837</v>
      </c>
      <c r="AA90" s="1">
        <f t="shared" ca="1" si="61"/>
        <v>2.7101335181006636</v>
      </c>
      <c r="AB90" s="1">
        <f t="shared" ca="1" si="61"/>
        <v>2.7189128902042543</v>
      </c>
      <c r="AC90" s="1">
        <f t="shared" ca="1" si="61"/>
        <v>2.7277207027422437</v>
      </c>
      <c r="AD90" s="1">
        <f t="shared" ca="1" si="61"/>
        <v>2.7365570478463126</v>
      </c>
      <c r="AE90" s="1">
        <f t="shared" ca="1" si="61"/>
        <v>2.7454220179465993</v>
      </c>
      <c r="AF90" s="1">
        <f t="shared" ca="1" si="61"/>
        <v>2.7543157057726648</v>
      </c>
      <c r="AG90" s="1">
        <f t="shared" ca="1" si="61"/>
        <v>2.7632382043544652</v>
      </c>
      <c r="AH90" s="1">
        <f t="shared" ca="1" si="61"/>
        <v>2.7721896070233227</v>
      </c>
      <c r="AI90" s="1">
        <f t="shared" ca="1" si="61"/>
        <v>2.7811700074129027</v>
      </c>
      <c r="AJ90" s="1">
        <f t="shared" ca="1" si="61"/>
        <v>2.7901794994601934</v>
      </c>
      <c r="AK90" s="1">
        <f t="shared" ca="1" si="61"/>
        <v>2.7992181774064884</v>
      </c>
      <c r="AL90" s="1">
        <f t="shared" ca="1" si="61"/>
        <v>2.8082861357983724</v>
      </c>
      <c r="AM90" s="1">
        <f t="shared" ca="1" si="61"/>
        <v>2.8173834694887097</v>
      </c>
      <c r="AN90" s="1">
        <f t="shared" ca="1" si="61"/>
        <v>2.8265102736376364</v>
      </c>
      <c r="AO90" s="1">
        <f t="shared" ca="1" si="61"/>
        <v>2.8356666437135574</v>
      </c>
      <c r="AP90" s="1">
        <f t="shared" ca="1" si="61"/>
        <v>2.8448526754941428</v>
      </c>
      <c r="AQ90" s="1">
        <f t="shared" ca="1" si="61"/>
        <v>2.8540684650673307</v>
      </c>
      <c r="AR90" s="1">
        <f t="shared" ca="1" si="61"/>
        <v>2.8633141088323328</v>
      </c>
      <c r="AS90" s="1">
        <f t="shared" ca="1" si="61"/>
        <v>2.8725897035006422</v>
      </c>
      <c r="AT90" s="1">
        <f t="shared" ca="1" si="61"/>
        <v>2.8818953460970449</v>
      </c>
      <c r="AU90" s="1">
        <f t="shared" ca="1" si="61"/>
        <v>2.8912311339606349</v>
      </c>
      <c r="AV90" s="1">
        <f t="shared" ca="1" si="61"/>
        <v>2.9005971647458328</v>
      </c>
      <c r="AW90" s="1">
        <f t="shared" ca="1" si="61"/>
        <v>2.9099935364234066</v>
      </c>
      <c r="AX90" s="1">
        <f t="shared" ca="1" si="61"/>
        <v>2.9194203472814966</v>
      </c>
      <c r="AY90" s="1">
        <f t="shared" ca="1" si="61"/>
        <v>2.9288776959266443</v>
      </c>
      <c r="AZ90" s="1">
        <f t="shared" ca="1" si="61"/>
        <v>2.9383656812848229</v>
      </c>
      <c r="BA90" s="1">
        <f t="shared" ca="1" si="61"/>
        <v>2.947884402602472</v>
      </c>
      <c r="BB90" s="1">
        <f t="shared" ca="1" si="61"/>
        <v>2.957433959447537</v>
      </c>
      <c r="BC90" s="1">
        <f t="shared" ca="1" si="61"/>
        <v>2.9670144517105093</v>
      </c>
      <c r="BD90" s="1">
        <f t="shared" ca="1" si="61"/>
        <v>2.9766259796054721</v>
      </c>
      <c r="BE90" s="1">
        <f t="shared" ca="1" si="61"/>
        <v>2.9862686436711479</v>
      </c>
      <c r="BF90" s="1">
        <f t="shared" ca="1" si="61"/>
        <v>2.9959425447719501</v>
      </c>
      <c r="BG90" s="1">
        <f t="shared" ca="1" si="61"/>
        <v>3.0056477840990388</v>
      </c>
      <c r="BH90" s="1">
        <f t="shared" ca="1" si="61"/>
        <v>3.0153844631713791</v>
      </c>
      <c r="BI90" s="1">
        <f t="shared" ca="1" si="61"/>
        <v>3.0251526838368026</v>
      </c>
      <c r="BJ90" s="1">
        <f t="shared" ca="1" si="61"/>
        <v>3.0349525482730733</v>
      </c>
      <c r="BK90" s="1">
        <f t="shared" ca="1" si="61"/>
        <v>3.0447841589889557</v>
      </c>
      <c r="BL90" s="1">
        <f t="shared" ca="1" si="61"/>
        <v>3.0546476188252876</v>
      </c>
      <c r="BM90" s="1">
        <f t="shared" ca="1" si="61"/>
        <v>3.064543030956056</v>
      </c>
      <c r="BN90" s="1">
        <f t="shared" ca="1" si="61"/>
        <v>3.0744704988894753</v>
      </c>
      <c r="BO90" s="1">
        <f t="shared" ca="1" si="61"/>
        <v>3.0844301264690714</v>
      </c>
      <c r="BP90" s="1">
        <f t="shared" ca="1" si="61"/>
        <v>3.0944220178747672</v>
      </c>
      <c r="BQ90" s="1">
        <f t="shared" ca="1" si="61"/>
        <v>3.1044462776239721</v>
      </c>
      <c r="BR90" s="1">
        <f t="shared" ca="1" si="61"/>
        <v>3.1145030105726756</v>
      </c>
      <c r="BS90" s="1">
        <f t="shared" ref="BS90:ED90" ca="1" si="62">BR90*(1+BS85)</f>
        <v>3.1245923219165443</v>
      </c>
      <c r="BT90" s="1">
        <f t="shared" ca="1" si="62"/>
        <v>3.1347143171920218</v>
      </c>
      <c r="BU90" s="1">
        <f t="shared" ca="1" si="62"/>
        <v>3.1448691022774331</v>
      </c>
      <c r="BV90" s="1">
        <f t="shared" ca="1" si="62"/>
        <v>3.1550567833940923</v>
      </c>
      <c r="BW90" s="1">
        <f t="shared" ca="1" si="62"/>
        <v>3.1652774671074129</v>
      </c>
      <c r="BX90" s="1">
        <f t="shared" ca="1" si="62"/>
        <v>3.1755312603280226</v>
      </c>
      <c r="BY90" s="1">
        <f t="shared" ca="1" si="62"/>
        <v>3.1858182703128821</v>
      </c>
      <c r="BZ90" s="1">
        <f t="shared" ca="1" si="62"/>
        <v>3.1961386046664075</v>
      </c>
      <c r="CA90" s="1">
        <f t="shared" ca="1" si="62"/>
        <v>3.2064923713415947</v>
      </c>
      <c r="CB90" s="1">
        <f t="shared" ca="1" si="62"/>
        <v>3.2168796786411487</v>
      </c>
      <c r="CC90" s="1">
        <f t="shared" ca="1" si="62"/>
        <v>3.2273006352186178</v>
      </c>
      <c r="CD90" s="1">
        <f t="shared" ca="1" si="62"/>
        <v>3.2377553500795284</v>
      </c>
      <c r="CE90" s="1">
        <f t="shared" ca="1" si="62"/>
        <v>3.2482439325825267</v>
      </c>
      <c r="CF90" s="1">
        <f t="shared" ca="1" si="62"/>
        <v>3.2587664924405217</v>
      </c>
      <c r="CG90" s="1">
        <f t="shared" ca="1" si="62"/>
        <v>3.2693231397218332</v>
      </c>
      <c r="CH90" s="1">
        <f t="shared" ca="1" si="62"/>
        <v>3.2799139848513432</v>
      </c>
      <c r="CI90" s="1">
        <f t="shared" ca="1" si="62"/>
        <v>3.29053913861165</v>
      </c>
      <c r="CJ90" s="1">
        <f t="shared" ca="1" si="62"/>
        <v>3.3011987121442292</v>
      </c>
      <c r="CK90" s="1">
        <f t="shared" ca="1" si="62"/>
        <v>3.3118928169505932</v>
      </c>
      <c r="CL90" s="1">
        <f t="shared" ca="1" si="62"/>
        <v>3.3226215648934607</v>
      </c>
      <c r="CM90" s="1">
        <f t="shared" ca="1" si="62"/>
        <v>3.3333850681979245</v>
      </c>
      <c r="CN90" s="1">
        <f t="shared" ca="1" si="62"/>
        <v>3.3441834394526269</v>
      </c>
      <c r="CO90" s="1">
        <f t="shared" ca="1" si="62"/>
        <v>3.3550167916109355</v>
      </c>
      <c r="CP90" s="1">
        <f t="shared" ca="1" si="62"/>
        <v>3.3658852379921274</v>
      </c>
      <c r="CQ90" s="1">
        <f t="shared" ca="1" si="62"/>
        <v>3.3767888922825722</v>
      </c>
      <c r="CR90" s="1">
        <f t="shared" ca="1" si="62"/>
        <v>3.3877278685369223</v>
      </c>
      <c r="CS90" s="1">
        <f t="shared" ca="1" si="62"/>
        <v>3.3987022811793053</v>
      </c>
      <c r="CT90" s="1">
        <f t="shared" ca="1" si="62"/>
        <v>3.4097122450045223</v>
      </c>
      <c r="CU90" s="1">
        <f t="shared" ca="1" si="62"/>
        <v>3.4207578751792469</v>
      </c>
      <c r="CV90" s="1">
        <f t="shared" ca="1" si="62"/>
        <v>3.4318392872432306</v>
      </c>
      <c r="CW90" s="1">
        <f t="shared" ca="1" si="62"/>
        <v>3.4429565971105118</v>
      </c>
      <c r="CX90" s="1">
        <f t="shared" ca="1" si="62"/>
        <v>3.4541099210706281</v>
      </c>
      <c r="CY90" s="1">
        <f t="shared" ca="1" si="62"/>
        <v>3.465299375789832</v>
      </c>
      <c r="CZ90" s="1">
        <f t="shared" ca="1" si="62"/>
        <v>3.4765250783123118</v>
      </c>
      <c r="DA90" s="1">
        <f t="shared" ca="1" si="62"/>
        <v>3.4877871460614167</v>
      </c>
      <c r="DB90" s="1">
        <f t="shared" ca="1" si="62"/>
        <v>3.4990856968408832</v>
      </c>
      <c r="DC90" s="1">
        <f t="shared" ca="1" si="62"/>
        <v>3.5104208488360689</v>
      </c>
      <c r="DD90" s="1">
        <f t="shared" ca="1" si="62"/>
        <v>3.5217927206151884</v>
      </c>
      <c r="DE90" s="1">
        <f t="shared" ca="1" si="62"/>
        <v>3.5332014311305535</v>
      </c>
      <c r="DF90" s="1">
        <f t="shared" ca="1" si="62"/>
        <v>3.5446470997198172</v>
      </c>
      <c r="DG90" s="1">
        <f t="shared" ca="1" si="62"/>
        <v>3.5561298461072219</v>
      </c>
      <c r="DH90" s="1">
        <f t="shared" ca="1" si="62"/>
        <v>3.5676497904048521</v>
      </c>
      <c r="DI90" s="1">
        <f t="shared" ca="1" si="62"/>
        <v>3.5792070531138913</v>
      </c>
      <c r="DJ90" s="1">
        <f t="shared" ca="1" si="62"/>
        <v>3.5908017551258813</v>
      </c>
      <c r="DK90" s="1">
        <f t="shared" ca="1" si="62"/>
        <v>3.6024340177239877</v>
      </c>
      <c r="DL90" s="1">
        <f t="shared" ca="1" si="62"/>
        <v>3.6141039625842684</v>
      </c>
      <c r="DM90" s="1">
        <f t="shared" ca="1" si="62"/>
        <v>3.6258117117769451</v>
      </c>
      <c r="DN90" s="1">
        <f t="shared" ca="1" si="62"/>
        <v>3.6375573877676826</v>
      </c>
      <c r="DO90" s="1">
        <f t="shared" ca="1" si="62"/>
        <v>3.6493411134188674</v>
      </c>
      <c r="DP90" s="1">
        <f t="shared" ca="1" si="62"/>
        <v>3.6611630119908942</v>
      </c>
      <c r="DQ90" s="1">
        <f t="shared" ca="1" si="62"/>
        <v>3.6730232071434554</v>
      </c>
      <c r="DR90" s="1">
        <f t="shared" ca="1" si="62"/>
        <v>3.6849218229368339</v>
      </c>
      <c r="DS90" s="1">
        <f t="shared" ca="1" si="62"/>
        <v>3.6968589838332009</v>
      </c>
      <c r="DT90" s="1">
        <f t="shared" ca="1" si="62"/>
        <v>3.708834814697918</v>
      </c>
      <c r="DU90" s="1">
        <f t="shared" ca="1" si="62"/>
        <v>3.7208494408008432</v>
      </c>
      <c r="DV90" s="1">
        <f t="shared" ca="1" si="62"/>
        <v>3.7329029878176421</v>
      </c>
      <c r="DW90" s="1">
        <f t="shared" ca="1" si="62"/>
        <v>3.7449955818311005</v>
      </c>
      <c r="DX90" s="1">
        <f t="shared" ca="1" si="62"/>
        <v>3.7571273493324453</v>
      </c>
      <c r="DY90" s="1">
        <f t="shared" ca="1" si="62"/>
        <v>3.7692984172226667</v>
      </c>
      <c r="DZ90" s="1">
        <f t="shared" ca="1" si="62"/>
        <v>3.7815089128138455</v>
      </c>
      <c r="EA90" s="1">
        <f t="shared" ca="1" si="62"/>
        <v>3.7937589638304852</v>
      </c>
      <c r="EB90" s="1">
        <f t="shared" ca="1" si="62"/>
        <v>3.8060486984108475</v>
      </c>
      <c r="EC90" s="1">
        <f t="shared" ca="1" si="62"/>
        <v>3.8183782451082937</v>
      </c>
      <c r="ED90" s="1">
        <f t="shared" ca="1" si="62"/>
        <v>3.8307477328926285</v>
      </c>
      <c r="EE90" s="1">
        <f t="shared" ref="EE90:GP90" ca="1" si="63">ED90*(1+EE85)</f>
        <v>3.8431572911514484</v>
      </c>
      <c r="EF90" s="1">
        <f t="shared" ca="1" si="63"/>
        <v>3.8556070496914976</v>
      </c>
      <c r="EG90" s="1">
        <f t="shared" ca="1" si="63"/>
        <v>3.8680971387400227</v>
      </c>
      <c r="EH90" s="1">
        <f t="shared" ca="1" si="63"/>
        <v>3.8806276889461371</v>
      </c>
      <c r="EI90" s="1">
        <f t="shared" ca="1" si="63"/>
        <v>3.8931988313821866</v>
      </c>
      <c r="EJ90" s="1">
        <f t="shared" ca="1" si="63"/>
        <v>3.9058106975451214</v>
      </c>
      <c r="EK90" s="1">
        <f t="shared" ca="1" si="63"/>
        <v>3.9184634193578702</v>
      </c>
      <c r="EL90" s="1">
        <f t="shared" ca="1" si="63"/>
        <v>3.9311571291707215</v>
      </c>
      <c r="EM90" s="1">
        <f t="shared" ca="1" si="63"/>
        <v>3.9438919597627069</v>
      </c>
      <c r="EN90" s="1">
        <f t="shared" ca="1" si="63"/>
        <v>3.9566680443429911</v>
      </c>
      <c r="EO90" s="1">
        <f t="shared" ca="1" si="63"/>
        <v>3.9694855165522642</v>
      </c>
      <c r="EP90" s="1">
        <f t="shared" ca="1" si="63"/>
        <v>3.9823445104641402</v>
      </c>
      <c r="EQ90" s="1">
        <f t="shared" ca="1" si="63"/>
        <v>3.9952451605865593</v>
      </c>
      <c r="ER90" s="1">
        <f t="shared" ca="1" si="63"/>
        <v>4.0081876018631952</v>
      </c>
      <c r="ES90" s="1">
        <f t="shared" ca="1" si="63"/>
        <v>4.0211719696748665</v>
      </c>
      <c r="ET90" s="1">
        <f t="shared" ca="1" si="63"/>
        <v>4.0341983998409514</v>
      </c>
      <c r="EU90" s="1">
        <f t="shared" ca="1" si="63"/>
        <v>4.0472670286208121</v>
      </c>
      <c r="EV90" s="1">
        <f t="shared" ca="1" si="63"/>
        <v>4.0603779927152157</v>
      </c>
      <c r="EW90" s="1">
        <f t="shared" ca="1" si="63"/>
        <v>4.0735314292677662</v>
      </c>
      <c r="EX90" s="1">
        <f t="shared" ca="1" si="63"/>
        <v>4.0867274758663408</v>
      </c>
      <c r="EY90" s="1">
        <f t="shared" ca="1" si="63"/>
        <v>4.0999662705445248</v>
      </c>
      <c r="EZ90" s="1">
        <f t="shared" ca="1" si="63"/>
        <v>4.1132479517830598</v>
      </c>
      <c r="FA90" s="1">
        <f t="shared" ca="1" si="63"/>
        <v>4.1265726585112894</v>
      </c>
      <c r="FB90" s="1">
        <f t="shared" ca="1" si="63"/>
        <v>4.1399405301086141</v>
      </c>
      <c r="FC90" s="1">
        <f t="shared" ca="1" si="63"/>
        <v>4.1533517064059478</v>
      </c>
      <c r="FD90" s="1">
        <f t="shared" ca="1" si="63"/>
        <v>4.1668063276871816</v>
      </c>
      <c r="FE90" s="1">
        <f t="shared" ca="1" si="63"/>
        <v>4.1803045346906504</v>
      </c>
      <c r="FF90" s="1">
        <f t="shared" ca="1" si="63"/>
        <v>4.1938464686106069</v>
      </c>
      <c r="FG90" s="1">
        <f t="shared" ca="1" si="63"/>
        <v>4.2074322710986953</v>
      </c>
      <c r="FH90" s="1">
        <f t="shared" ca="1" si="63"/>
        <v>4.2210620842654354</v>
      </c>
      <c r="FI90" s="1">
        <f t="shared" ca="1" si="63"/>
        <v>4.2347360506817084</v>
      </c>
      <c r="FJ90" s="1">
        <f t="shared" ca="1" si="63"/>
        <v>4.2484543133802495</v>
      </c>
      <c r="FK90" s="1">
        <f t="shared" ca="1" si="63"/>
        <v>4.2622170158571411</v>
      </c>
      <c r="FL90" s="1">
        <f t="shared" ca="1" si="63"/>
        <v>4.2760243020733162</v>
      </c>
      <c r="FM90" s="1">
        <f t="shared" ca="1" si="63"/>
        <v>4.2898763164560645</v>
      </c>
      <c r="FN90" s="1">
        <f t="shared" ca="1" si="63"/>
        <v>4.3037732039005414</v>
      </c>
      <c r="FO90" s="1">
        <f t="shared" ca="1" si="63"/>
        <v>4.3177151097712851</v>
      </c>
      <c r="FP90" s="1">
        <f t="shared" ca="1" si="63"/>
        <v>4.3317021799037354</v>
      </c>
      <c r="FQ90" s="1">
        <f t="shared" ca="1" si="63"/>
        <v>4.345734560605762</v>
      </c>
      <c r="FR90" s="1">
        <f t="shared" ca="1" si="63"/>
        <v>4.3598123986591917</v>
      </c>
      <c r="FS90" s="1">
        <f t="shared" ca="1" si="63"/>
        <v>4.3739358413213463</v>
      </c>
      <c r="FT90" s="1">
        <f t="shared" ca="1" si="63"/>
        <v>4.3881050363265812</v>
      </c>
      <c r="FU90" s="1">
        <f t="shared" ca="1" si="63"/>
        <v>4.4023201318878327</v>
      </c>
      <c r="FV90" s="1">
        <f t="shared" ca="1" si="63"/>
        <v>4.4165812766981665</v>
      </c>
      <c r="FW90" s="1">
        <f t="shared" ca="1" si="63"/>
        <v>4.4308886199323334</v>
      </c>
      <c r="FX90" s="1">
        <f t="shared" ca="1" si="63"/>
        <v>4.4452423112483297</v>
      </c>
      <c r="FY90" s="1">
        <f t="shared" ca="1" si="63"/>
        <v>4.4596425007889637</v>
      </c>
      <c r="FZ90" s="1">
        <f t="shared" ca="1" si="63"/>
        <v>4.4740893391834256</v>
      </c>
      <c r="GA90" s="1">
        <f t="shared" ca="1" si="63"/>
        <v>4.4885829775488624</v>
      </c>
      <c r="GB90" s="1">
        <f t="shared" ca="1" si="63"/>
        <v>4.5031235674919596</v>
      </c>
      <c r="GC90" s="1">
        <f t="shared" ca="1" si="63"/>
        <v>4.5177112611105263</v>
      </c>
      <c r="GD90" s="1">
        <f t="shared" ca="1" si="63"/>
        <v>4.5323462109950876</v>
      </c>
      <c r="GE90" s="1">
        <f t="shared" ca="1" si="63"/>
        <v>4.547028570230478</v>
      </c>
      <c r="GF90" s="1">
        <f t="shared" ca="1" si="63"/>
        <v>4.5617584923974457</v>
      </c>
      <c r="GG90" s="1">
        <f t="shared" ca="1" si="63"/>
        <v>4.5765361315742563</v>
      </c>
      <c r="GH90" s="1">
        <f t="shared" ca="1" si="63"/>
        <v>4.5913616423383079</v>
      </c>
      <c r="GI90" s="1">
        <f t="shared" ca="1" si="63"/>
        <v>4.6062351797677445</v>
      </c>
      <c r="GJ90" s="1">
        <f t="shared" ca="1" si="63"/>
        <v>4.6211568994430809</v>
      </c>
      <c r="GK90" s="1">
        <f t="shared" ca="1" si="63"/>
        <v>4.6361269574488286</v>
      </c>
      <c r="GL90" s="1">
        <f t="shared" ca="1" si="63"/>
        <v>4.6511455103751276</v>
      </c>
      <c r="GM90" s="1">
        <f t="shared" ca="1" si="63"/>
        <v>4.6662127153193866</v>
      </c>
      <c r="GN90" s="1">
        <f t="shared" ca="1" si="63"/>
        <v>4.6813287298879258</v>
      </c>
      <c r="GO90" s="1">
        <f t="shared" ca="1" si="63"/>
        <v>4.6964937121976238</v>
      </c>
      <c r="GP90" s="1">
        <f t="shared" ca="1" si="63"/>
        <v>4.7117078208775736</v>
      </c>
      <c r="GQ90" s="1">
        <f t="shared" ref="GQ90:JB90" ca="1" si="64">GP90*(1+GQ85)</f>
        <v>4.7269712150707397</v>
      </c>
      <c r="GR90" s="1">
        <f t="shared" ca="1" si="64"/>
        <v>4.7422840544356255</v>
      </c>
      <c r="GS90" s="1">
        <f t="shared" ca="1" si="64"/>
        <v>4.7576464991479419</v>
      </c>
      <c r="GT90" s="1">
        <f t="shared" ca="1" si="64"/>
        <v>4.7730587099022808</v>
      </c>
      <c r="GU90" s="1">
        <f t="shared" ca="1" si="64"/>
        <v>4.7885208479138006</v>
      </c>
      <c r="GV90" s="1">
        <f t="shared" ca="1" si="64"/>
        <v>4.8040330749199081</v>
      </c>
      <c r="GW90" s="1">
        <f t="shared" ca="1" si="64"/>
        <v>4.8195955531819523</v>
      </c>
      <c r="GX90" s="1">
        <f t="shared" ca="1" si="64"/>
        <v>4.8352084454869226</v>
      </c>
      <c r="GY90" s="1">
        <f t="shared" ca="1" si="64"/>
        <v>4.8508719151491499</v>
      </c>
      <c r="GZ90" s="1">
        <f t="shared" ca="1" si="64"/>
        <v>4.8665861260120149</v>
      </c>
      <c r="HA90" s="1">
        <f t="shared" ca="1" si="64"/>
        <v>4.8823512424496638</v>
      </c>
      <c r="HB90" s="1">
        <f t="shared" ca="1" si="64"/>
        <v>4.8981674293687254</v>
      </c>
      <c r="HC90" s="1">
        <f t="shared" ca="1" si="64"/>
        <v>4.9140348522100377</v>
      </c>
      <c r="HD90" s="1">
        <f t="shared" ca="1" si="64"/>
        <v>4.9299536769503778</v>
      </c>
      <c r="HE90" s="1">
        <f t="shared" ca="1" si="64"/>
        <v>4.9459240701041978</v>
      </c>
      <c r="HF90" s="1">
        <f t="shared" ca="1" si="64"/>
        <v>4.961946198725367</v>
      </c>
      <c r="HG90" s="1">
        <f t="shared" ca="1" si="64"/>
        <v>4.9780202304089194</v>
      </c>
      <c r="HH90" s="1">
        <f t="shared" ca="1" si="64"/>
        <v>4.9941463332928064</v>
      </c>
      <c r="HI90" s="1">
        <f t="shared" ca="1" si="64"/>
        <v>5.010324676059656</v>
      </c>
      <c r="HJ90" s="1">
        <f t="shared" ca="1" si="64"/>
        <v>5.0265554279385372</v>
      </c>
      <c r="HK90" s="1">
        <f t="shared" ca="1" si="64"/>
        <v>5.0428387587067292</v>
      </c>
      <c r="HL90" s="1">
        <f t="shared" ca="1" si="64"/>
        <v>5.0591748386914981</v>
      </c>
      <c r="HM90" s="1">
        <f t="shared" ca="1" si="64"/>
        <v>5.0755638387718793</v>
      </c>
      <c r="HN90" s="1">
        <f t="shared" ca="1" si="64"/>
        <v>5.0920059303804646</v>
      </c>
      <c r="HO90" s="1">
        <f t="shared" ca="1" si="64"/>
        <v>5.1085012855051932</v>
      </c>
      <c r="HP90" s="1">
        <f t="shared" ca="1" si="64"/>
        <v>5.1250500766911546</v>
      </c>
      <c r="HQ90" s="1">
        <f t="shared" ca="1" si="64"/>
        <v>5.1416524770423901</v>
      </c>
      <c r="HR90" s="1">
        <f t="shared" ca="1" si="64"/>
        <v>5.1583086602237049</v>
      </c>
      <c r="HS90" s="1">
        <f t="shared" ca="1" si="64"/>
        <v>5.1750188004624844</v>
      </c>
      <c r="HT90" s="1">
        <f t="shared" ca="1" si="64"/>
        <v>5.1917830725505176</v>
      </c>
      <c r="HU90" s="1">
        <f t="shared" ca="1" si="64"/>
        <v>5.2086016518458242</v>
      </c>
      <c r="HV90" s="1">
        <f t="shared" ca="1" si="64"/>
        <v>5.2254747142744904</v>
      </c>
      <c r="HW90" s="1">
        <f t="shared" ca="1" si="64"/>
        <v>5.2424024363325064</v>
      </c>
      <c r="HX90" s="1">
        <f t="shared" ca="1" si="64"/>
        <v>5.2593849950876148</v>
      </c>
      <c r="HY90" s="1">
        <f t="shared" ca="1" si="64"/>
        <v>5.2764225681811636</v>
      </c>
      <c r="HZ90" s="1">
        <f t="shared" ca="1" si="64"/>
        <v>5.2935153338299612</v>
      </c>
      <c r="IA90" s="1">
        <f t="shared" ca="1" si="64"/>
        <v>5.3106634708281444</v>
      </c>
      <c r="IB90" s="1">
        <f t="shared" ca="1" si="64"/>
        <v>5.3278671585490445</v>
      </c>
      <c r="IC90" s="1">
        <f t="shared" ca="1" si="64"/>
        <v>5.3451265769470666</v>
      </c>
      <c r="ID90" s="1">
        <f t="shared" ca="1" si="64"/>
        <v>5.3624419065595719</v>
      </c>
      <c r="IE90" s="1">
        <f t="shared" ca="1" si="64"/>
        <v>5.3798133285087646</v>
      </c>
      <c r="IF90" s="1">
        <f t="shared" ca="1" si="64"/>
        <v>5.3972410245035869</v>
      </c>
      <c r="IG90" s="1">
        <f t="shared" ca="1" si="64"/>
        <v>5.4147251768416202</v>
      </c>
      <c r="IH90" s="1">
        <f t="shared" ca="1" si="64"/>
        <v>5.4322659684109933</v>
      </c>
      <c r="II90" s="1">
        <f t="shared" ca="1" si="64"/>
        <v>5.4498635826922914</v>
      </c>
      <c r="IJ90" s="1">
        <f t="shared" ca="1" si="64"/>
        <v>5.4675182037604797</v>
      </c>
      <c r="IK90" s="1">
        <f t="shared" ca="1" si="64"/>
        <v>5.4852300162868275</v>
      </c>
      <c r="IL90" s="1">
        <f t="shared" ca="1" si="64"/>
        <v>5.5029992055408377</v>
      </c>
      <c r="IM90" s="1">
        <f t="shared" ca="1" si="64"/>
        <v>5.5208259573921881</v>
      </c>
      <c r="IN90" s="1">
        <f t="shared" ca="1" si="64"/>
        <v>5.5387104583126732</v>
      </c>
      <c r="IO90" s="1">
        <f t="shared" ca="1" si="64"/>
        <v>5.5566528953781562</v>
      </c>
      <c r="IP90" s="1">
        <f t="shared" ca="1" si="64"/>
        <v>5.574653456270525</v>
      </c>
      <c r="IQ90" s="1">
        <f t="shared" ca="1" si="64"/>
        <v>5.5927123292796557</v>
      </c>
      <c r="IR90" s="1">
        <f t="shared" ca="1" si="64"/>
        <v>5.6108297033053818</v>
      </c>
      <c r="IS90" s="1">
        <f t="shared" ca="1" si="64"/>
        <v>5.6290057678594705</v>
      </c>
      <c r="IT90" s="1">
        <f t="shared" ca="1" si="64"/>
        <v>5.6472407130676059</v>
      </c>
      <c r="IU90" s="1">
        <f t="shared" ca="1" si="64"/>
        <v>5.6655347296713767</v>
      </c>
      <c r="IV90" s="1">
        <f t="shared" ca="1" si="64"/>
        <v>5.6838880090302704</v>
      </c>
      <c r="IW90" s="1">
        <f t="shared" ca="1" si="64"/>
        <v>5.7023007431236765</v>
      </c>
      <c r="IX90" s="1">
        <f t="shared" ca="1" si="64"/>
        <v>5.7207731245528954</v>
      </c>
      <c r="IY90" s="1">
        <f t="shared" ca="1" si="64"/>
        <v>5.7393053465431505</v>
      </c>
      <c r="IZ90" s="1">
        <f t="shared" ca="1" si="64"/>
        <v>5.7578976029456115</v>
      </c>
      <c r="JA90" s="1">
        <f t="shared" ca="1" si="64"/>
        <v>5.7765500882394214</v>
      </c>
      <c r="JB90" s="1">
        <f t="shared" ca="1" si="64"/>
        <v>5.7952629975337304</v>
      </c>
      <c r="JC90" s="1">
        <f t="shared" ref="JC90:LN90" ca="1" si="65">JB90*(1+JC85)</f>
        <v>5.8140365265697378</v>
      </c>
      <c r="JD90" s="1">
        <f t="shared" ca="1" si="65"/>
        <v>5.8328708717227391</v>
      </c>
      <c r="JE90" s="1">
        <f t="shared" ca="1" si="65"/>
        <v>5.8517662300041788</v>
      </c>
      <c r="JF90" s="1">
        <f t="shared" ca="1" si="65"/>
        <v>5.8707227990637127</v>
      </c>
      <c r="JG90" s="1">
        <f t="shared" ca="1" si="65"/>
        <v>5.8897407771912764</v>
      </c>
      <c r="JH90" s="1">
        <f t="shared" ca="1" si="65"/>
        <v>5.9088203633191556</v>
      </c>
      <c r="JI90" s="1">
        <f t="shared" ca="1" si="65"/>
        <v>5.9279617570240717</v>
      </c>
      <c r="JJ90" s="1">
        <f t="shared" ca="1" si="65"/>
        <v>5.9471651585292653</v>
      </c>
      <c r="JK90" s="1">
        <f t="shared" ca="1" si="65"/>
        <v>5.9664307687065934</v>
      </c>
      <c r="JL90" s="1">
        <f t="shared" ca="1" si="65"/>
        <v>5.9857587890786297</v>
      </c>
      <c r="JM90" s="1">
        <f t="shared" ca="1" si="65"/>
        <v>6.0051494218207724</v>
      </c>
      <c r="JN90" s="1">
        <f t="shared" ca="1" si="65"/>
        <v>6.024602869763358</v>
      </c>
      <c r="JO90" s="1">
        <f t="shared" ca="1" si="65"/>
        <v>6.0441193363937851</v>
      </c>
      <c r="JP90" s="1">
        <f t="shared" ca="1" si="65"/>
        <v>6.0636990258586412</v>
      </c>
      <c r="JQ90" s="1">
        <f t="shared" ca="1" si="65"/>
        <v>6.0833421429658392</v>
      </c>
      <c r="JR90" s="1">
        <f t="shared" ca="1" si="65"/>
        <v>6.1030488931867595</v>
      </c>
      <c r="JS90" s="1">
        <f t="shared" ca="1" si="65"/>
        <v>6.1228194826583975</v>
      </c>
      <c r="JT90" s="1">
        <f t="shared" ca="1" si="65"/>
        <v>6.142654118185523</v>
      </c>
      <c r="JU90" s="1">
        <f t="shared" ca="1" si="65"/>
        <v>6.1625530072428418</v>
      </c>
      <c r="JV90" s="1">
        <f t="shared" ca="1" si="65"/>
        <v>6.1825163579771649</v>
      </c>
      <c r="JW90" s="1">
        <f t="shared" ca="1" si="65"/>
        <v>6.2025443792095869</v>
      </c>
      <c r="JX90" s="1">
        <f t="shared" ca="1" si="65"/>
        <v>6.2226372804376711</v>
      </c>
      <c r="JY90" s="1">
        <f t="shared" ca="1" si="65"/>
        <v>6.2427952718376396</v>
      </c>
      <c r="JZ90" s="1">
        <f t="shared" ca="1" si="65"/>
        <v>6.2630185642665719</v>
      </c>
      <c r="KA90" s="1">
        <f t="shared" ca="1" si="65"/>
        <v>6.2833073692646106</v>
      </c>
      <c r="KB90" s="1">
        <f t="shared" ca="1" si="65"/>
        <v>6.3036618990571753</v>
      </c>
      <c r="KC90" s="1">
        <f t="shared" ca="1" si="65"/>
        <v>6.3240823665571808</v>
      </c>
      <c r="KD90" s="1">
        <f t="shared" ca="1" si="65"/>
        <v>6.3445689853672658</v>
      </c>
      <c r="KE90" s="1">
        <f t="shared" ca="1" si="65"/>
        <v>6.3651219697820256</v>
      </c>
      <c r="KF90" s="1">
        <f t="shared" ca="1" si="65"/>
        <v>6.3857415347902551</v>
      </c>
      <c r="KG90" s="1">
        <f t="shared" ca="1" si="65"/>
        <v>6.4064278960771963</v>
      </c>
      <c r="KH90" s="1">
        <f t="shared" ca="1" si="65"/>
        <v>6.4271812700267956</v>
      </c>
      <c r="KI90" s="1">
        <f t="shared" ca="1" si="65"/>
        <v>6.4480018737239666</v>
      </c>
      <c r="KJ90" s="1">
        <f t="shared" ca="1" si="65"/>
        <v>6.4688899249568621</v>
      </c>
      <c r="KK90" s="1">
        <f t="shared" ca="1" si="65"/>
        <v>6.4898456422191497</v>
      </c>
      <c r="KL90" s="1">
        <f t="shared" ca="1" si="65"/>
        <v>6.5108692447122989</v>
      </c>
      <c r="KM90" s="1">
        <f t="shared" ca="1" si="65"/>
        <v>6.531960952347875</v>
      </c>
      <c r="KN90" s="1">
        <f t="shared" ca="1" si="65"/>
        <v>6.5531209857498371</v>
      </c>
      <c r="KO90" s="1">
        <f t="shared" ca="1" si="65"/>
        <v>6.5743495662568474</v>
      </c>
      <c r="KP90" s="1">
        <f t="shared" ca="1" si="65"/>
        <v>6.5956469159245863</v>
      </c>
      <c r="KQ90" s="1">
        <f t="shared" ca="1" si="65"/>
        <v>6.6170132575280753</v>
      </c>
      <c r="KR90" s="1">
        <f t="shared" ca="1" si="65"/>
        <v>6.638448814564005</v>
      </c>
      <c r="KS90" s="1">
        <f t="shared" ca="1" si="65"/>
        <v>6.6599538112530778</v>
      </c>
      <c r="KT90" s="1">
        <f t="shared" ca="1" si="65"/>
        <v>6.6815284725423476</v>
      </c>
      <c r="KU90" s="1">
        <f t="shared" ca="1" si="65"/>
        <v>6.7031730241075769</v>
      </c>
      <c r="KV90" s="1">
        <f t="shared" ca="1" si="65"/>
        <v>6.7248876923555958</v>
      </c>
      <c r="KW90" s="1">
        <f t="shared" ca="1" si="65"/>
        <v>6.746672704426671</v>
      </c>
      <c r="KX90" s="1">
        <f t="shared" ca="1" si="65"/>
        <v>6.7685282881968805</v>
      </c>
      <c r="KY90" s="1">
        <f t="shared" ca="1" si="65"/>
        <v>6.7904546722804984</v>
      </c>
      <c r="KZ90" s="1">
        <f t="shared" ca="1" si="65"/>
        <v>6.8124520860323852</v>
      </c>
      <c r="LA90" s="1">
        <f t="shared" ca="1" si="65"/>
        <v>6.8345207595503892</v>
      </c>
      <c r="LB90" s="1">
        <f t="shared" ca="1" si="65"/>
        <v>6.8566609236777492</v>
      </c>
      <c r="LC90" s="1">
        <f t="shared" ca="1" si="65"/>
        <v>6.8788728100055145</v>
      </c>
      <c r="LD90" s="1">
        <f t="shared" ca="1" si="65"/>
        <v>6.9011566508749622</v>
      </c>
      <c r="LE90" s="1">
        <f t="shared" ca="1" si="65"/>
        <v>6.9235126793800319</v>
      </c>
      <c r="LF90" s="1">
        <f t="shared" ca="1" si="65"/>
        <v>6.9459411293697597</v>
      </c>
      <c r="LG90" s="1">
        <f t="shared" ca="1" si="65"/>
        <v>6.9684422354507287</v>
      </c>
      <c r="LH90" s="1">
        <f t="shared" ca="1" si="65"/>
        <v>6.9910162329895202</v>
      </c>
      <c r="LI90" s="1">
        <f t="shared" ca="1" si="65"/>
        <v>7.0136633581151759</v>
      </c>
      <c r="LJ90" s="1">
        <f t="shared" ca="1" si="65"/>
        <v>7.0363838477216687</v>
      </c>
      <c r="LK90" s="1">
        <f t="shared" ca="1" si="65"/>
        <v>7.0591779394703806</v>
      </c>
      <c r="LL90" s="1">
        <f t="shared" ca="1" si="65"/>
        <v>7.0820458717925874</v>
      </c>
      <c r="LM90" s="1">
        <f t="shared" ca="1" si="65"/>
        <v>7.1049878838919547</v>
      </c>
      <c r="LN90" s="1">
        <f t="shared" ca="1" si="65"/>
        <v>7.1280042157470387</v>
      </c>
      <c r="LO90" s="1">
        <f t="shared" ref="LO90:NZ90" ca="1" si="66">LN90*(1+LO85)</f>
        <v>7.1510951081137977</v>
      </c>
      <c r="LP90" s="1">
        <f t="shared" ca="1" si="66"/>
        <v>7.1742608025281074</v>
      </c>
      <c r="LQ90" s="1">
        <f t="shared" ca="1" si="66"/>
        <v>7.1975015413082923</v>
      </c>
      <c r="LR90" s="1">
        <f t="shared" ca="1" si="66"/>
        <v>7.2208175675576554</v>
      </c>
      <c r="LS90" s="1">
        <f t="shared" ca="1" si="66"/>
        <v>7.2442091251670249</v>
      </c>
      <c r="LT90" s="1">
        <f t="shared" ca="1" si="66"/>
        <v>7.2676764588173031</v>
      </c>
      <c r="LU90" s="1">
        <f t="shared" ca="1" si="66"/>
        <v>7.2912198139820266</v>
      </c>
      <c r="LV90" s="1">
        <f t="shared" ca="1" si="66"/>
        <v>7.3148394369299341</v>
      </c>
      <c r="LW90" s="1">
        <f t="shared" ca="1" si="66"/>
        <v>7.3385355747275423</v>
      </c>
      <c r="LX90" s="1">
        <f t="shared" ca="1" si="66"/>
        <v>7.36230847524173</v>
      </c>
      <c r="LY90" s="1">
        <f t="shared" ca="1" si="66"/>
        <v>7.3861583871423315</v>
      </c>
      <c r="LZ90" s="1">
        <f t="shared" ca="1" si="66"/>
        <v>7.4100855599047373</v>
      </c>
      <c r="MA90" s="1">
        <f t="shared" ca="1" si="66"/>
        <v>7.4340902438125038</v>
      </c>
      <c r="MB90" s="1">
        <f t="shared" ca="1" si="66"/>
        <v>7.4581726899599712</v>
      </c>
      <c r="MC90" s="1">
        <f t="shared" ca="1" si="66"/>
        <v>7.4823331502548891</v>
      </c>
      <c r="MD90" s="1">
        <f t="shared" ca="1" si="66"/>
        <v>7.5065718774210541</v>
      </c>
      <c r="ME90" s="1">
        <f t="shared" ca="1" si="66"/>
        <v>7.5308891250009511</v>
      </c>
      <c r="MF90" s="1">
        <f t="shared" ca="1" si="66"/>
        <v>7.5552851473584051</v>
      </c>
      <c r="MG90" s="1">
        <f t="shared" ca="1" si="66"/>
        <v>7.5797601996812434</v>
      </c>
      <c r="MH90" s="1">
        <f t="shared" ca="1" si="66"/>
        <v>7.6043145379839654</v>
      </c>
      <c r="MI90" s="1">
        <f t="shared" ca="1" si="66"/>
        <v>7.6289484191104178</v>
      </c>
      <c r="MJ90" s="1">
        <f t="shared" ca="1" si="66"/>
        <v>7.6536621007364847</v>
      </c>
      <c r="MK90" s="1">
        <f t="shared" ca="1" si="66"/>
        <v>7.678455841372779</v>
      </c>
      <c r="ML90" s="1">
        <f t="shared" ca="1" si="66"/>
        <v>7.7033299003673505</v>
      </c>
      <c r="MM90" s="1">
        <f t="shared" ca="1" si="66"/>
        <v>7.7282845379083964</v>
      </c>
      <c r="MN90" s="1">
        <f t="shared" ca="1" si="66"/>
        <v>7.7533200150269836</v>
      </c>
      <c r="MO90" s="1">
        <f t="shared" ca="1" si="66"/>
        <v>7.7784365935997783</v>
      </c>
      <c r="MP90" s="1">
        <f t="shared" ca="1" si="66"/>
        <v>7.8036345363517867</v>
      </c>
      <c r="MQ90" s="1">
        <f t="shared" ca="1" si="66"/>
        <v>7.8289141068591022</v>
      </c>
      <c r="MR90" s="1">
        <f t="shared" ca="1" si="66"/>
        <v>7.8542755695516631</v>
      </c>
      <c r="MS90" s="1">
        <f t="shared" ca="1" si="66"/>
        <v>7.8797191897160168</v>
      </c>
      <c r="MT90" s="1">
        <f t="shared" ca="1" si="66"/>
        <v>7.905245233498098</v>
      </c>
      <c r="MU90" s="1">
        <f t="shared" ca="1" si="66"/>
        <v>7.9308539679060095</v>
      </c>
      <c r="MV90" s="1">
        <f t="shared" ca="1" si="66"/>
        <v>7.9565456608128162</v>
      </c>
      <c r="MW90" s="1">
        <f t="shared" ca="1" si="66"/>
        <v>7.9823205809593487</v>
      </c>
      <c r="MX90" s="1">
        <f t="shared" ca="1" si="66"/>
        <v>8.0081789979570122</v>
      </c>
      <c r="MY90" s="1">
        <f t="shared" ca="1" si="66"/>
        <v>8.0341211822906082</v>
      </c>
      <c r="MZ90" s="1">
        <f t="shared" ca="1" si="66"/>
        <v>8.0601474053211639</v>
      </c>
      <c r="NA90" s="1">
        <f t="shared" ca="1" si="66"/>
        <v>8.0862579392887675</v>
      </c>
      <c r="NB90" s="1">
        <f t="shared" ca="1" si="66"/>
        <v>8.1124530573154185</v>
      </c>
      <c r="NC90" s="1">
        <f t="shared" ca="1" si="66"/>
        <v>8.1387330334078882</v>
      </c>
      <c r="ND90" s="1">
        <f t="shared" ca="1" si="66"/>
        <v>8.1650981424605789</v>
      </c>
      <c r="NE90" s="1">
        <f t="shared" ca="1" si="66"/>
        <v>8.1915486602584018</v>
      </c>
      <c r="NF90" s="1">
        <f t="shared" ca="1" si="66"/>
        <v>8.2180848634796657</v>
      </c>
      <c r="NG90" s="1">
        <f t="shared" ca="1" si="66"/>
        <v>8.2447070296989668</v>
      </c>
      <c r="NH90" s="1">
        <f t="shared" ca="1" si="66"/>
        <v>8.2714154373900932</v>
      </c>
      <c r="NI90" s="1">
        <f t="shared" ca="1" si="66"/>
        <v>8.2982103659289379</v>
      </c>
      <c r="NJ90" s="1">
        <f t="shared" ca="1" si="66"/>
        <v>8.3250920955964194</v>
      </c>
      <c r="NK90" s="1">
        <f t="shared" ca="1" si="66"/>
        <v>8.3520609075814196</v>
      </c>
      <c r="NL90" s="1">
        <f t="shared" ca="1" si="66"/>
        <v>8.3791170839837168</v>
      </c>
      <c r="NM90" s="1">
        <f t="shared" ca="1" si="66"/>
        <v>8.406260907816943</v>
      </c>
      <c r="NN90" s="1">
        <f t="shared" ca="1" si="66"/>
        <v>8.4334926630115419</v>
      </c>
      <c r="NO90" s="1">
        <f t="shared" ca="1" si="66"/>
        <v>8.4608126344177368</v>
      </c>
      <c r="NP90" s="1">
        <f t="shared" ca="1" si="66"/>
        <v>8.4882211078085135</v>
      </c>
      <c r="NQ90" s="1">
        <f t="shared" ca="1" si="66"/>
        <v>8.5157183698826096</v>
      </c>
      <c r="NR90" s="1">
        <f t="shared" ca="1" si="66"/>
        <v>8.5433047082675095</v>
      </c>
      <c r="NS90" s="1">
        <f t="shared" ca="1" si="66"/>
        <v>8.5709804115224575</v>
      </c>
      <c r="NT90" s="1">
        <f t="shared" ca="1" si="66"/>
        <v>8.5987457691414715</v>
      </c>
      <c r="NU90" s="1">
        <f t="shared" ca="1" si="66"/>
        <v>8.6266010715563795</v>
      </c>
      <c r="NV90" s="1">
        <f t="shared" ca="1" si="66"/>
        <v>8.6545466101398461</v>
      </c>
      <c r="NW90" s="1">
        <f t="shared" ca="1" si="66"/>
        <v>8.6825826772084298</v>
      </c>
      <c r="NX90" s="1">
        <f t="shared" ca="1" si="66"/>
        <v>8.7107095660256366</v>
      </c>
      <c r="NY90" s="1">
        <f t="shared" ca="1" si="66"/>
        <v>8.7389275708049894</v>
      </c>
      <c r="NZ90" s="1">
        <f t="shared" ca="1" si="66"/>
        <v>8.767236986713101</v>
      </c>
      <c r="OA90" s="1">
        <f t="shared" ref="OA90:QL90" ca="1" si="67">NZ90*(1+OA85)</f>
        <v>8.795638109872769</v>
      </c>
      <c r="OB90" s="1">
        <f t="shared" ca="1" si="67"/>
        <v>8.8241312373660659</v>
      </c>
      <c r="OC90" s="1">
        <f t="shared" ca="1" si="67"/>
        <v>8.8527166672374502</v>
      </c>
      <c r="OD90" s="1">
        <f t="shared" ca="1" si="67"/>
        <v>8.8813946984968872</v>
      </c>
      <c r="OE90" s="1">
        <f t="shared" ca="1" si="67"/>
        <v>8.91016563112297</v>
      </c>
      <c r="OF90" s="1">
        <f t="shared" ca="1" si="67"/>
        <v>8.9390297660660618</v>
      </c>
      <c r="OG90" s="1">
        <f t="shared" ca="1" si="67"/>
        <v>8.9679874052514439</v>
      </c>
      <c r="OH90" s="1">
        <f t="shared" ca="1" si="67"/>
        <v>8.9970388515824702</v>
      </c>
      <c r="OI90" s="1">
        <f t="shared" ca="1" si="67"/>
        <v>9.0261844089437417</v>
      </c>
      <c r="OJ90" s="1">
        <f t="shared" ca="1" si="67"/>
        <v>9.0554243822042775</v>
      </c>
      <c r="OK90" s="1">
        <f t="shared" ca="1" si="67"/>
        <v>9.0847590772207116</v>
      </c>
      <c r="OL90" s="1">
        <f t="shared" ca="1" si="67"/>
        <v>9.1141888008404877</v>
      </c>
      <c r="OM90" s="1">
        <f t="shared" ca="1" si="67"/>
        <v>9.1437138609050699</v>
      </c>
      <c r="ON90" s="1">
        <f t="shared" ca="1" si="67"/>
        <v>9.1733345662531622</v>
      </c>
      <c r="OO90" s="1">
        <f t="shared" ca="1" si="67"/>
        <v>9.2030512267239395</v>
      </c>
      <c r="OP90" s="1">
        <f t="shared" ca="1" si="67"/>
        <v>9.2328641531602873</v>
      </c>
      <c r="OQ90" s="1">
        <f t="shared" ca="1" si="67"/>
        <v>9.2627736574120583</v>
      </c>
      <c r="OR90" s="1">
        <f t="shared" ca="1" si="67"/>
        <v>9.292780052339328</v>
      </c>
      <c r="OS90" s="1">
        <f t="shared" ca="1" si="67"/>
        <v>9.3228836518156708</v>
      </c>
      <c r="OT90" s="1">
        <f t="shared" ca="1" si="67"/>
        <v>9.3530847707314422</v>
      </c>
      <c r="OU90" s="1">
        <f t="shared" ca="1" si="67"/>
        <v>9.3833837249970706</v>
      </c>
      <c r="OV90" s="1">
        <f t="shared" ca="1" si="67"/>
        <v>9.4137808315463687</v>
      </c>
      <c r="OW90" s="1">
        <f t="shared" ca="1" si="67"/>
        <v>9.4442764083398387</v>
      </c>
      <c r="OX90" s="1">
        <f t="shared" ca="1" si="67"/>
        <v>9.4748707743680072</v>
      </c>
      <c r="OY90" s="1">
        <f t="shared" ca="1" si="67"/>
        <v>9.505564249654757</v>
      </c>
      <c r="OZ90" s="1">
        <f t="shared" ca="1" si="67"/>
        <v>9.5363571552606761</v>
      </c>
      <c r="PA90" s="1">
        <f t="shared" ca="1" si="67"/>
        <v>9.5672498132864146</v>
      </c>
      <c r="PB90" s="1">
        <f t="shared" ca="1" si="67"/>
        <v>9.5982425468760564</v>
      </c>
      <c r="PC90" s="1">
        <f t="shared" ca="1" si="67"/>
        <v>9.6293356802204979</v>
      </c>
      <c r="PD90" s="1">
        <f t="shared" ca="1" si="67"/>
        <v>9.6605295385608372</v>
      </c>
      <c r="PE90" s="1">
        <f t="shared" ca="1" si="67"/>
        <v>9.6918244481917828</v>
      </c>
      <c r="PF90" s="1">
        <f t="shared" ca="1" si="67"/>
        <v>9.7232207364650591</v>
      </c>
      <c r="PG90" s="1">
        <f t="shared" ca="1" si="67"/>
        <v>9.754718731792833</v>
      </c>
      <c r="PH90" s="1">
        <f t="shared" ca="1" si="67"/>
        <v>9.7863187636511508</v>
      </c>
      <c r="PI90" s="1">
        <f t="shared" ca="1" si="67"/>
        <v>9.8180211625833849</v>
      </c>
      <c r="PJ90" s="1">
        <f t="shared" ca="1" si="67"/>
        <v>9.8498262602036881</v>
      </c>
      <c r="PK90" s="1">
        <f t="shared" ca="1" si="67"/>
        <v>9.8817343892004672</v>
      </c>
      <c r="PL90" s="1">
        <f t="shared" ca="1" si="67"/>
        <v>9.9137458833398568</v>
      </c>
      <c r="PM90" s="1">
        <f t="shared" ca="1" si="67"/>
        <v>9.945861077469214</v>
      </c>
      <c r="PN90" s="1">
        <f t="shared" ca="1" si="67"/>
        <v>9.9780803075206244</v>
      </c>
      <c r="PO90" s="1">
        <f t="shared" ca="1" si="67"/>
        <v>10.010403910514409</v>
      </c>
      <c r="PP90" s="1">
        <f t="shared" ca="1" si="67"/>
        <v>10.042832224562655</v>
      </c>
      <c r="PQ90" s="1">
        <f t="shared" ca="1" si="67"/>
        <v>10.075365588872751</v>
      </c>
      <c r="PR90" s="1">
        <f t="shared" ca="1" si="67"/>
        <v>10.108004343750931</v>
      </c>
      <c r="PS90" s="1">
        <f t="shared" ca="1" si="67"/>
        <v>10.140748830605842</v>
      </c>
      <c r="PT90" s="1">
        <f t="shared" ca="1" si="67"/>
        <v>10.173599391952109</v>
      </c>
      <c r="PU90" s="1">
        <f t="shared" ca="1" si="67"/>
        <v>10.206556371413921</v>
      </c>
      <c r="PV90" s="1">
        <f t="shared" ca="1" si="67"/>
        <v>10.239620113728623</v>
      </c>
      <c r="PW90" s="1">
        <f t="shared" ca="1" si="67"/>
        <v>10.272790964750325</v>
      </c>
      <c r="PX90" s="1">
        <f t="shared" ca="1" si="67"/>
        <v>10.306069271453515</v>
      </c>
      <c r="PY90" s="1">
        <f t="shared" ca="1" si="67"/>
        <v>10.339455381936693</v>
      </c>
      <c r="PZ90" s="1">
        <f t="shared" ca="1" si="67"/>
        <v>10.372949645426012</v>
      </c>
      <c r="QA90" s="1">
        <f t="shared" ca="1" si="67"/>
        <v>10.406552412278925</v>
      </c>
      <c r="QB90" s="1">
        <f t="shared" ca="1" si="67"/>
        <v>10.440264033987861</v>
      </c>
      <c r="QC90" s="1">
        <f t="shared" ca="1" si="67"/>
        <v>10.47408486318389</v>
      </c>
      <c r="QD90" s="1">
        <f t="shared" ca="1" si="67"/>
        <v>10.508015253640417</v>
      </c>
      <c r="QE90" s="1">
        <f t="shared" ca="1" si="67"/>
        <v>10.542055560276886</v>
      </c>
      <c r="QF90" s="1">
        <f t="shared" ca="1" si="67"/>
        <v>10.576206139162483</v>
      </c>
      <c r="QG90" s="1">
        <f t="shared" ca="1" si="67"/>
        <v>10.610467347519872</v>
      </c>
      <c r="QH90" s="1">
        <f t="shared" ca="1" si="67"/>
        <v>10.644839543728922</v>
      </c>
      <c r="QI90" s="1">
        <f t="shared" ca="1" si="67"/>
        <v>10.679323087330461</v>
      </c>
      <c r="QJ90" s="1">
        <f t="shared" ca="1" si="67"/>
        <v>10.713918339030034</v>
      </c>
      <c r="QK90" s="1">
        <f t="shared" ca="1" si="67"/>
        <v>10.748625660701681</v>
      </c>
      <c r="QL90" s="1">
        <f t="shared" ca="1" si="67"/>
        <v>10.783445415391714</v>
      </c>
      <c r="QM90" s="1">
        <f t="shared" ref="QM90:RR90" ca="1" si="68">QL90*(1+QM85)</f>
        <v>10.818377967322526</v>
      </c>
      <c r="QN90" s="1">
        <f t="shared" ca="1" si="68"/>
        <v>10.853423681896388</v>
      </c>
      <c r="QO90" s="1">
        <f t="shared" ca="1" si="68"/>
        <v>10.88858292569928</v>
      </c>
      <c r="QP90" s="1">
        <f t="shared" ca="1" si="68"/>
        <v>10.923856066504724</v>
      </c>
      <c r="QQ90" s="1">
        <f t="shared" ca="1" si="68"/>
        <v>10.959243473277629</v>
      </c>
      <c r="QR90" s="1">
        <f t="shared" ca="1" si="68"/>
        <v>10.994745516178153</v>
      </c>
      <c r="QS90" s="1">
        <f t="shared" ca="1" si="68"/>
        <v>11.030362566565568</v>
      </c>
      <c r="QT90" s="1">
        <f t="shared" ca="1" si="68"/>
        <v>11.066094997002157</v>
      </c>
      <c r="QU90" s="1">
        <f t="shared" ca="1" si="68"/>
        <v>11.101943181257099</v>
      </c>
      <c r="QV90" s="1">
        <f t="shared" ca="1" si="68"/>
        <v>11.137907494310387</v>
      </c>
      <c r="QW90" s="1">
        <f t="shared" ca="1" si="68"/>
        <v>11.173988312356745</v>
      </c>
      <c r="QX90" s="1">
        <f t="shared" ca="1" si="68"/>
        <v>11.210186012809565</v>
      </c>
      <c r="QY90" s="1">
        <f t="shared" ca="1" si="68"/>
        <v>11.246500974304857</v>
      </c>
      <c r="QZ90" s="1">
        <f t="shared" ca="1" si="68"/>
        <v>11.282933576705204</v>
      </c>
      <c r="RA90" s="1">
        <f t="shared" ca="1" si="68"/>
        <v>11.319484201103746</v>
      </c>
      <c r="RB90" s="1">
        <f t="shared" ca="1" si="68"/>
        <v>11.356153229828152</v>
      </c>
      <c r="RC90" s="1">
        <f t="shared" ca="1" si="68"/>
        <v>11.39294104644463</v>
      </c>
      <c r="RD90" s="1">
        <f t="shared" ca="1" si="68"/>
        <v>11.429848035761935</v>
      </c>
      <c r="RE90" s="1">
        <f t="shared" ca="1" si="68"/>
        <v>11.466874583835397</v>
      </c>
      <c r="RF90" s="1">
        <f t="shared" ca="1" si="68"/>
        <v>11.504021077970952</v>
      </c>
      <c r="RG90" s="1">
        <f t="shared" ca="1" si="68"/>
        <v>11.541287906729206</v>
      </c>
      <c r="RH90" s="1">
        <f t="shared" ca="1" si="68"/>
        <v>11.578675459929485</v>
      </c>
      <c r="RI90" s="1">
        <f t="shared" ca="1" si="68"/>
        <v>11.616184128653924</v>
      </c>
      <c r="RJ90" s="1">
        <f t="shared" ca="1" si="68"/>
        <v>11.653814305251551</v>
      </c>
      <c r="RK90" s="1">
        <f t="shared" ca="1" si="68"/>
        <v>11.691566383342396</v>
      </c>
      <c r="RL90" s="1">
        <f t="shared" ca="1" si="68"/>
        <v>11.729440757821603</v>
      </c>
      <c r="RM90" s="1">
        <f t="shared" ca="1" si="68"/>
        <v>11.767437824863565</v>
      </c>
      <c r="RN90" s="1">
        <f t="shared" ca="1" si="68"/>
        <v>11.805557981926066</v>
      </c>
      <c r="RO90" s="1">
        <f t="shared" ca="1" si="68"/>
        <v>11.84380162775444</v>
      </c>
      <c r="RP90" s="1">
        <f t="shared" ca="1" si="68"/>
        <v>11.882169162385738</v>
      </c>
      <c r="RQ90" s="1">
        <f t="shared" ca="1" si="68"/>
        <v>11.920660987152919</v>
      </c>
      <c r="RR90" s="1">
        <f t="shared" ca="1" si="68"/>
        <v>11.959277504689044</v>
      </c>
    </row>
    <row r="91" spans="1:486" s="164" customFormat="1">
      <c r="A91" s="289"/>
      <c r="B91" s="66" t="s">
        <v>237</v>
      </c>
      <c r="E91" s="264">
        <f>$D$42+(E90*(1+$E$42))</f>
        <v>9.0288000000000004</v>
      </c>
      <c r="F91" s="264">
        <f ca="1">$D$42+(F90*(1+$E$42))</f>
        <v>9.0386116797750944</v>
      </c>
      <c r="G91" s="264">
        <f ca="1">$D$42+(G90*(1+$E$42))</f>
        <v>9.048455144105132</v>
      </c>
      <c r="H91" s="264">
        <f t="shared" ref="H91:BR91" ca="1" si="69">$D$42+(H90*(1+$E$42))</f>
        <v>9.0583304959549409</v>
      </c>
      <c r="I91" s="264">
        <f t="shared" ca="1" si="69"/>
        <v>9.0682378386229026</v>
      </c>
      <c r="J91" s="264">
        <f t="shared" ca="1" si="69"/>
        <v>9.0781772757420249</v>
      </c>
      <c r="K91" s="264">
        <f t="shared" ca="1" si="69"/>
        <v>9.088148911281035</v>
      </c>
      <c r="L91" s="264">
        <f t="shared" ca="1" si="69"/>
        <v>9.098152849545464</v>
      </c>
      <c r="M91" s="264">
        <f t="shared" ca="1" si="69"/>
        <v>9.1081891951787295</v>
      </c>
      <c r="N91" s="264">
        <f t="shared" ca="1" si="69"/>
        <v>9.1182580531632471</v>
      </c>
      <c r="O91" s="264">
        <f t="shared" ca="1" si="69"/>
        <v>9.1283595288215107</v>
      </c>
      <c r="P91" s="264">
        <f t="shared" ca="1" si="69"/>
        <v>9.138493727817206</v>
      </c>
      <c r="Q91" s="264">
        <f t="shared" ca="1" si="69"/>
        <v>9.148660756156314</v>
      </c>
      <c r="R91" s="264">
        <f t="shared" ca="1" si="69"/>
        <v>9.158860720188212</v>
      </c>
      <c r="S91" s="264">
        <f t="shared" ca="1" si="69"/>
        <v>9.169093726606798</v>
      </c>
      <c r="T91" s="264">
        <f t="shared" ca="1" si="69"/>
        <v>9.1793598824515978</v>
      </c>
      <c r="U91" s="264">
        <f t="shared" ca="1" si="69"/>
        <v>9.1896592951088891</v>
      </c>
      <c r="V91" s="264">
        <f t="shared" ca="1" si="69"/>
        <v>9.1999920723128188</v>
      </c>
      <c r="W91" s="264">
        <f t="shared" ca="1" si="69"/>
        <v>9.2103583221465399</v>
      </c>
      <c r="X91" s="264">
        <f t="shared" ca="1" si="69"/>
        <v>9.2207581530433362</v>
      </c>
      <c r="Y91" s="264">
        <f t="shared" ca="1" si="69"/>
        <v>9.2311916737877517</v>
      </c>
      <c r="Z91" s="264">
        <f t="shared" ca="1" si="69"/>
        <v>9.2416589935167401</v>
      </c>
      <c r="AA91" s="264">
        <f t="shared" ca="1" si="69"/>
        <v>9.2521602217207963</v>
      </c>
      <c r="AB91" s="264">
        <f t="shared" ca="1" si="69"/>
        <v>9.2626954682451057</v>
      </c>
      <c r="AC91" s="264">
        <f t="shared" ca="1" si="69"/>
        <v>9.2732648432906917</v>
      </c>
      <c r="AD91" s="264">
        <f t="shared" ca="1" si="69"/>
        <v>9.2838684574155756</v>
      </c>
      <c r="AE91" s="264">
        <f t="shared" ca="1" si="69"/>
        <v>9.2945064215359192</v>
      </c>
      <c r="AF91" s="264">
        <f t="shared" ca="1" si="69"/>
        <v>9.3051788469271983</v>
      </c>
      <c r="AG91" s="264">
        <f t="shared" ca="1" si="69"/>
        <v>9.3158858452253579</v>
      </c>
      <c r="AH91" s="264">
        <f t="shared" ca="1" si="69"/>
        <v>9.3266275284279878</v>
      </c>
      <c r="AI91" s="264">
        <f t="shared" ca="1" si="69"/>
        <v>9.3374040088954828</v>
      </c>
      <c r="AJ91" s="264">
        <f t="shared" ca="1" si="69"/>
        <v>9.348215399352231</v>
      </c>
      <c r="AK91" s="264">
        <f t="shared" ca="1" si="69"/>
        <v>9.359061812887786</v>
      </c>
      <c r="AL91" s="264">
        <f t="shared" ca="1" si="69"/>
        <v>9.3699433629580469</v>
      </c>
      <c r="AM91" s="264">
        <f t="shared" ca="1" si="69"/>
        <v>9.3808601633864512</v>
      </c>
      <c r="AN91" s="264">
        <f t="shared" ca="1" si="69"/>
        <v>9.3918123283651642</v>
      </c>
      <c r="AO91" s="264">
        <f t="shared" ca="1" si="69"/>
        <v>9.4027999724562683</v>
      </c>
      <c r="AP91" s="264">
        <f t="shared" ca="1" si="69"/>
        <v>9.4138232105929713</v>
      </c>
      <c r="AQ91" s="264">
        <f t="shared" ca="1" si="69"/>
        <v>9.4248821580807967</v>
      </c>
      <c r="AR91" s="264">
        <f t="shared" ca="1" si="69"/>
        <v>9.4359769305987999</v>
      </c>
      <c r="AS91" s="264">
        <f t="shared" ca="1" si="69"/>
        <v>9.44710764420077</v>
      </c>
      <c r="AT91" s="264">
        <f t="shared" ca="1" si="69"/>
        <v>9.4582744153164544</v>
      </c>
      <c r="AU91" s="264">
        <f t="shared" ca="1" si="69"/>
        <v>9.4694773607527623</v>
      </c>
      <c r="AV91" s="264">
        <f t="shared" ca="1" si="69"/>
        <v>9.4807165976950003</v>
      </c>
      <c r="AW91" s="264">
        <f t="shared" ca="1" si="69"/>
        <v>9.4919922437080881</v>
      </c>
      <c r="AX91" s="264">
        <f t="shared" ca="1" si="69"/>
        <v>9.5033044167377962</v>
      </c>
      <c r="AY91" s="264">
        <f t="shared" ca="1" si="69"/>
        <v>9.5146532351119735</v>
      </c>
      <c r="AZ91" s="264">
        <f t="shared" ca="1" si="69"/>
        <v>9.5260388175417869</v>
      </c>
      <c r="BA91" s="264">
        <f t="shared" ca="1" si="69"/>
        <v>9.5374612831229655</v>
      </c>
      <c r="BB91" s="264">
        <f t="shared" ca="1" si="69"/>
        <v>9.5489207513370449</v>
      </c>
      <c r="BC91" s="264">
        <f t="shared" ca="1" si="69"/>
        <v>9.5604173420526113</v>
      </c>
      <c r="BD91" s="264">
        <f t="shared" ca="1" si="69"/>
        <v>9.571951175526566</v>
      </c>
      <c r="BE91" s="264">
        <f t="shared" ca="1" si="69"/>
        <v>9.583522372405378</v>
      </c>
      <c r="BF91" s="264">
        <f t="shared" ca="1" si="69"/>
        <v>9.595131053726341</v>
      </c>
      <c r="BG91" s="264">
        <f t="shared" ca="1" si="69"/>
        <v>9.6067773409188462</v>
      </c>
      <c r="BH91" s="264">
        <f t="shared" ca="1" si="69"/>
        <v>9.6184613558056551</v>
      </c>
      <c r="BI91" s="264">
        <f t="shared" ca="1" si="69"/>
        <v>9.6301832206041631</v>
      </c>
      <c r="BJ91" s="264">
        <f t="shared" ca="1" si="69"/>
        <v>9.641943057927687</v>
      </c>
      <c r="BK91" s="264">
        <f t="shared" ca="1" si="69"/>
        <v>9.6537409907867477</v>
      </c>
      <c r="BL91" s="264">
        <f t="shared" ca="1" si="69"/>
        <v>9.6655771425903438</v>
      </c>
      <c r="BM91" s="264">
        <f t="shared" ca="1" si="69"/>
        <v>9.6774516371472679</v>
      </c>
      <c r="BN91" s="264">
        <f t="shared" ca="1" si="69"/>
        <v>9.6893645986673711</v>
      </c>
      <c r="BO91" s="264">
        <f t="shared" ca="1" si="69"/>
        <v>9.7013161517628852</v>
      </c>
      <c r="BP91" s="264">
        <f t="shared" ca="1" si="69"/>
        <v>9.7133064214497207</v>
      </c>
      <c r="BQ91" s="264">
        <f t="shared" ca="1" si="69"/>
        <v>9.7253355331487654</v>
      </c>
      <c r="BR91" s="264">
        <f t="shared" ca="1" si="69"/>
        <v>9.7374036126872099</v>
      </c>
      <c r="BS91" s="264">
        <f t="shared" ref="BS91:ED91" ca="1" si="70">$D$42+(BS90*(1+$E$42))</f>
        <v>9.7495107862998527</v>
      </c>
      <c r="BT91" s="264">
        <f t="shared" ca="1" si="70"/>
        <v>9.7616571806304258</v>
      </c>
      <c r="BU91" s="264">
        <f t="shared" ca="1" si="70"/>
        <v>9.7738429227329195</v>
      </c>
      <c r="BV91" s="264">
        <f t="shared" ca="1" si="70"/>
        <v>9.7860681400729099</v>
      </c>
      <c r="BW91" s="264">
        <f t="shared" ca="1" si="70"/>
        <v>9.7983329605288958</v>
      </c>
      <c r="BX91" s="264">
        <f t="shared" ca="1" si="70"/>
        <v>9.810637512393626</v>
      </c>
      <c r="BY91" s="264">
        <f t="shared" ca="1" si="70"/>
        <v>9.8229819243754584</v>
      </c>
      <c r="BZ91" s="264">
        <f t="shared" ca="1" si="70"/>
        <v>9.8353663255996899</v>
      </c>
      <c r="CA91" s="264">
        <f t="shared" ca="1" si="70"/>
        <v>9.8477908456099144</v>
      </c>
      <c r="CB91" s="264">
        <f t="shared" ca="1" si="70"/>
        <v>9.8602556143693789</v>
      </c>
      <c r="CC91" s="264">
        <f t="shared" ca="1" si="70"/>
        <v>9.8727607622623417</v>
      </c>
      <c r="CD91" s="264">
        <f t="shared" ca="1" si="70"/>
        <v>9.8853064200954339</v>
      </c>
      <c r="CE91" s="264">
        <f t="shared" ca="1" si="70"/>
        <v>9.8978927190990316</v>
      </c>
      <c r="CF91" s="264">
        <f t="shared" ca="1" si="70"/>
        <v>9.9105197909286264</v>
      </c>
      <c r="CG91" s="264">
        <f t="shared" ca="1" si="70"/>
        <v>9.9231877676661995</v>
      </c>
      <c r="CH91" s="264">
        <f t="shared" ca="1" si="70"/>
        <v>9.9358967818216115</v>
      </c>
      <c r="CI91" s="264">
        <f t="shared" ca="1" si="70"/>
        <v>9.94864696633398</v>
      </c>
      <c r="CJ91" s="264">
        <f t="shared" ca="1" si="70"/>
        <v>9.9614384545730754</v>
      </c>
      <c r="CK91" s="264">
        <f t="shared" ca="1" si="70"/>
        <v>9.9742713803407117</v>
      </c>
      <c r="CL91" s="264">
        <f t="shared" ca="1" si="70"/>
        <v>9.9871458778721518</v>
      </c>
      <c r="CM91" s="264">
        <f t="shared" ca="1" si="70"/>
        <v>10.000062081837509</v>
      </c>
      <c r="CN91" s="264">
        <f t="shared" ca="1" si="70"/>
        <v>10.013020127343152</v>
      </c>
      <c r="CO91" s="264">
        <f t="shared" ca="1" si="70"/>
        <v>10.026020149933123</v>
      </c>
      <c r="CP91" s="264">
        <f t="shared" ca="1" si="70"/>
        <v>10.039062285590553</v>
      </c>
      <c r="CQ91" s="264">
        <f t="shared" ca="1" si="70"/>
        <v>10.052146670739086</v>
      </c>
      <c r="CR91" s="264">
        <f t="shared" ca="1" si="70"/>
        <v>10.065273442244306</v>
      </c>
      <c r="CS91" s="264">
        <f t="shared" ca="1" si="70"/>
        <v>10.078442737415166</v>
      </c>
      <c r="CT91" s="264">
        <f t="shared" ca="1" si="70"/>
        <v>10.091654694005427</v>
      </c>
      <c r="CU91" s="264">
        <f t="shared" ca="1" si="70"/>
        <v>10.104909450215096</v>
      </c>
      <c r="CV91" s="264">
        <f t="shared" ca="1" si="70"/>
        <v>10.118207144691876</v>
      </c>
      <c r="CW91" s="264">
        <f t="shared" ca="1" si="70"/>
        <v>10.131547916532615</v>
      </c>
      <c r="CX91" s="264">
        <f t="shared" ca="1" si="70"/>
        <v>10.144931905284754</v>
      </c>
      <c r="CY91" s="264">
        <f t="shared" ca="1" si="70"/>
        <v>10.158359250947798</v>
      </c>
      <c r="CZ91" s="264">
        <f t="shared" ca="1" si="70"/>
        <v>10.171830093974773</v>
      </c>
      <c r="DA91" s="264">
        <f t="shared" ca="1" si="70"/>
        <v>10.1853445752737</v>
      </c>
      <c r="DB91" s="264">
        <f t="shared" ca="1" si="70"/>
        <v>10.19890283620906</v>
      </c>
      <c r="DC91" s="264">
        <f t="shared" ca="1" si="70"/>
        <v>10.212505018603283</v>
      </c>
      <c r="DD91" s="264">
        <f t="shared" ca="1" si="70"/>
        <v>10.226151264738226</v>
      </c>
      <c r="DE91" s="264">
        <f t="shared" ca="1" si="70"/>
        <v>10.239841717356665</v>
      </c>
      <c r="DF91" s="264">
        <f t="shared" ca="1" si="70"/>
        <v>10.253576519663781</v>
      </c>
      <c r="DG91" s="264">
        <f t="shared" ca="1" si="70"/>
        <v>10.267355815328667</v>
      </c>
      <c r="DH91" s="264">
        <f t="shared" ca="1" si="70"/>
        <v>10.281179748485823</v>
      </c>
      <c r="DI91" s="264">
        <f t="shared" ca="1" si="70"/>
        <v>10.29504846373667</v>
      </c>
      <c r="DJ91" s="264">
        <f t="shared" ca="1" si="70"/>
        <v>10.308962106151057</v>
      </c>
      <c r="DK91" s="264">
        <f t="shared" ca="1" si="70"/>
        <v>10.322920821268784</v>
      </c>
      <c r="DL91" s="264">
        <f t="shared" ca="1" si="70"/>
        <v>10.336924755101123</v>
      </c>
      <c r="DM91" s="264">
        <f t="shared" ca="1" si="70"/>
        <v>10.350974054132333</v>
      </c>
      <c r="DN91" s="264">
        <f t="shared" ca="1" si="70"/>
        <v>10.36506886532122</v>
      </c>
      <c r="DO91" s="264">
        <f t="shared" ca="1" si="70"/>
        <v>10.37920933610264</v>
      </c>
      <c r="DP91" s="264">
        <f t="shared" ca="1" si="70"/>
        <v>10.393395614389073</v>
      </c>
      <c r="DQ91" s="264">
        <f t="shared" ca="1" si="70"/>
        <v>10.407627848572147</v>
      </c>
      <c r="DR91" s="264">
        <f t="shared" ca="1" si="70"/>
        <v>10.421906187524201</v>
      </c>
      <c r="DS91" s="264">
        <f t="shared" ca="1" si="70"/>
        <v>10.436230780599841</v>
      </c>
      <c r="DT91" s="264">
        <f t="shared" ca="1" si="70"/>
        <v>10.450601777637502</v>
      </c>
      <c r="DU91" s="264">
        <f t="shared" ca="1" si="70"/>
        <v>10.465019328961013</v>
      </c>
      <c r="DV91" s="264">
        <f t="shared" ca="1" si="70"/>
        <v>10.479483585381171</v>
      </c>
      <c r="DW91" s="264">
        <f t="shared" ca="1" si="70"/>
        <v>10.493994698197319</v>
      </c>
      <c r="DX91" s="264">
        <f t="shared" ca="1" si="70"/>
        <v>10.508552819198934</v>
      </c>
      <c r="DY91" s="264">
        <f t="shared" ca="1" si="70"/>
        <v>10.523158100667199</v>
      </c>
      <c r="DZ91" s="264">
        <f t="shared" ca="1" si="70"/>
        <v>10.537810695376614</v>
      </c>
      <c r="EA91" s="264">
        <f t="shared" ca="1" si="70"/>
        <v>10.552510756596583</v>
      </c>
      <c r="EB91" s="264">
        <f t="shared" ca="1" si="70"/>
        <v>10.567258438093017</v>
      </c>
      <c r="EC91" s="264">
        <f t="shared" ca="1" si="70"/>
        <v>10.582053894129952</v>
      </c>
      <c r="ED91" s="264">
        <f t="shared" ca="1" si="70"/>
        <v>10.596897279471154</v>
      </c>
      <c r="EE91" s="264">
        <f t="shared" ref="EE91:GP91" ca="1" si="71">$D$42+(EE90*(1+$E$42))</f>
        <v>10.611788749381738</v>
      </c>
      <c r="EF91" s="264">
        <f t="shared" ca="1" si="71"/>
        <v>10.626728459629797</v>
      </c>
      <c r="EG91" s="264">
        <f t="shared" ca="1" si="71"/>
        <v>10.641716566488027</v>
      </c>
      <c r="EH91" s="264">
        <f t="shared" ca="1" si="71"/>
        <v>10.656753226735365</v>
      </c>
      <c r="EI91" s="264">
        <f t="shared" ca="1" si="71"/>
        <v>10.671838597658624</v>
      </c>
      <c r="EJ91" s="264">
        <f t="shared" ca="1" si="71"/>
        <v>10.686972837054146</v>
      </c>
      <c r="EK91" s="264">
        <f t="shared" ca="1" si="71"/>
        <v>10.702156103229445</v>
      </c>
      <c r="EL91" s="264">
        <f t="shared" ca="1" si="71"/>
        <v>10.717388555004867</v>
      </c>
      <c r="EM91" s="264">
        <f t="shared" ca="1" si="71"/>
        <v>10.732670351715248</v>
      </c>
      <c r="EN91" s="264">
        <f t="shared" ca="1" si="71"/>
        <v>10.748001653211588</v>
      </c>
      <c r="EO91" s="264">
        <f t="shared" ca="1" si="71"/>
        <v>10.763382619862718</v>
      </c>
      <c r="EP91" s="264">
        <f t="shared" ca="1" si="71"/>
        <v>10.778813412556968</v>
      </c>
      <c r="EQ91" s="264">
        <f t="shared" ca="1" si="71"/>
        <v>10.794294192703871</v>
      </c>
      <c r="ER91" s="264">
        <f t="shared" ca="1" si="71"/>
        <v>10.809825122235834</v>
      </c>
      <c r="ES91" s="264">
        <f t="shared" ca="1" si="71"/>
        <v>10.82540636360984</v>
      </c>
      <c r="ET91" s="264">
        <f t="shared" ca="1" si="71"/>
        <v>10.841038079809142</v>
      </c>
      <c r="EU91" s="264">
        <f t="shared" ca="1" si="71"/>
        <v>10.856720434344975</v>
      </c>
      <c r="EV91" s="264">
        <f t="shared" ca="1" si="71"/>
        <v>10.872453591258258</v>
      </c>
      <c r="EW91" s="264">
        <f t="shared" ca="1" si="71"/>
        <v>10.888237715121321</v>
      </c>
      <c r="EX91" s="264">
        <f t="shared" ca="1" si="71"/>
        <v>10.904072971039609</v>
      </c>
      <c r="EY91" s="264">
        <f t="shared" ca="1" si="71"/>
        <v>10.919959524653429</v>
      </c>
      <c r="EZ91" s="264">
        <f t="shared" ca="1" si="71"/>
        <v>10.935897542139671</v>
      </c>
      <c r="FA91" s="264">
        <f t="shared" ca="1" si="71"/>
        <v>10.951887190213547</v>
      </c>
      <c r="FB91" s="264">
        <f t="shared" ca="1" si="71"/>
        <v>10.967928636130337</v>
      </c>
      <c r="FC91" s="264">
        <f t="shared" ca="1" si="71"/>
        <v>10.984022047687137</v>
      </c>
      <c r="FD91" s="264">
        <f t="shared" ca="1" si="71"/>
        <v>11.000167593224617</v>
      </c>
      <c r="FE91" s="264">
        <f t="shared" ca="1" si="71"/>
        <v>11.01636544162878</v>
      </c>
      <c r="FF91" s="264">
        <f t="shared" ca="1" si="71"/>
        <v>11.032615762332728</v>
      </c>
      <c r="FG91" s="264">
        <f t="shared" ca="1" si="71"/>
        <v>11.048918725318433</v>
      </c>
      <c r="FH91" s="264">
        <f t="shared" ca="1" si="71"/>
        <v>11.065274501118523</v>
      </c>
      <c r="FI91" s="264">
        <f t="shared" ca="1" si="71"/>
        <v>11.08168326081805</v>
      </c>
      <c r="FJ91" s="264">
        <f t="shared" ca="1" si="71"/>
        <v>11.098145176056299</v>
      </c>
      <c r="FK91" s="264">
        <f t="shared" ca="1" si="71"/>
        <v>11.114660419028569</v>
      </c>
      <c r="FL91" s="264">
        <f t="shared" ca="1" si="71"/>
        <v>11.13122916248798</v>
      </c>
      <c r="FM91" s="264">
        <f t="shared" ca="1" si="71"/>
        <v>11.147851579747277</v>
      </c>
      <c r="FN91" s="264">
        <f t="shared" ca="1" si="71"/>
        <v>11.164527844680649</v>
      </c>
      <c r="FO91" s="264">
        <f t="shared" ca="1" si="71"/>
        <v>11.181258131725542</v>
      </c>
      <c r="FP91" s="264">
        <f t="shared" ca="1" si="71"/>
        <v>11.198042615884482</v>
      </c>
      <c r="FQ91" s="264">
        <f t="shared" ca="1" si="71"/>
        <v>11.214881472726915</v>
      </c>
      <c r="FR91" s="264">
        <f t="shared" ca="1" si="71"/>
        <v>11.231774878391029</v>
      </c>
      <c r="FS91" s="264">
        <f t="shared" ca="1" si="71"/>
        <v>11.248723009585614</v>
      </c>
      <c r="FT91" s="264">
        <f t="shared" ca="1" si="71"/>
        <v>11.265726043591897</v>
      </c>
      <c r="FU91" s="264">
        <f t="shared" ca="1" si="71"/>
        <v>11.2827841582654</v>
      </c>
      <c r="FV91" s="264">
        <f t="shared" ca="1" si="71"/>
        <v>11.2998975320378</v>
      </c>
      <c r="FW91" s="264">
        <f t="shared" ca="1" si="71"/>
        <v>11.3170663439188</v>
      </c>
      <c r="FX91" s="264">
        <f t="shared" ca="1" si="71"/>
        <v>11.334290773497996</v>
      </c>
      <c r="FY91" s="264">
        <f t="shared" ca="1" si="71"/>
        <v>11.351571000946755</v>
      </c>
      <c r="FZ91" s="264">
        <f t="shared" ca="1" si="71"/>
        <v>11.368907207020111</v>
      </c>
      <c r="GA91" s="264">
        <f t="shared" ca="1" si="71"/>
        <v>11.386299573058634</v>
      </c>
      <c r="GB91" s="264">
        <f t="shared" ca="1" si="71"/>
        <v>11.403748280990351</v>
      </c>
      <c r="GC91" s="264">
        <f t="shared" ca="1" si="71"/>
        <v>11.421253513332632</v>
      </c>
      <c r="GD91" s="264">
        <f t="shared" ca="1" si="71"/>
        <v>11.438815453194106</v>
      </c>
      <c r="GE91" s="264">
        <f t="shared" ca="1" si="71"/>
        <v>11.456434284276574</v>
      </c>
      <c r="GF91" s="264">
        <f t="shared" ca="1" si="71"/>
        <v>11.474110190876935</v>
      </c>
      <c r="GG91" s="264">
        <f t="shared" ca="1" si="71"/>
        <v>11.491843357889106</v>
      </c>
      <c r="GH91" s="264">
        <f t="shared" ca="1" si="71"/>
        <v>11.509633970805968</v>
      </c>
      <c r="GI91" s="264">
        <f t="shared" ca="1" si="71"/>
        <v>11.527482215721292</v>
      </c>
      <c r="GJ91" s="264">
        <f t="shared" ca="1" si="71"/>
        <v>11.545388279331696</v>
      </c>
      <c r="GK91" s="264">
        <f t="shared" ca="1" si="71"/>
        <v>11.563352348938594</v>
      </c>
      <c r="GL91" s="264">
        <f t="shared" ca="1" si="71"/>
        <v>11.581374612450153</v>
      </c>
      <c r="GM91" s="264">
        <f t="shared" ca="1" si="71"/>
        <v>11.599455258383264</v>
      </c>
      <c r="GN91" s="264">
        <f t="shared" ca="1" si="71"/>
        <v>11.617594475865511</v>
      </c>
      <c r="GO91" s="264">
        <f t="shared" ca="1" si="71"/>
        <v>11.635792454637148</v>
      </c>
      <c r="GP91" s="264">
        <f t="shared" ca="1" si="71"/>
        <v>11.654049385053089</v>
      </c>
      <c r="GQ91" s="264">
        <f t="shared" ref="GQ91:JB91" ca="1" si="72">$D$42+(GQ90*(1+$E$42))</f>
        <v>11.672365458084887</v>
      </c>
      <c r="GR91" s="264">
        <f t="shared" ca="1" si="72"/>
        <v>11.69074086532275</v>
      </c>
      <c r="GS91" s="264">
        <f t="shared" ca="1" si="72"/>
        <v>11.70917579897753</v>
      </c>
      <c r="GT91" s="264">
        <f t="shared" ca="1" si="72"/>
        <v>11.727670451882737</v>
      </c>
      <c r="GU91" s="264">
        <f t="shared" ca="1" si="72"/>
        <v>11.74622501749656</v>
      </c>
      <c r="GV91" s="264">
        <f t="shared" ca="1" si="72"/>
        <v>11.764839689903891</v>
      </c>
      <c r="GW91" s="264">
        <f t="shared" ca="1" si="72"/>
        <v>11.783514663818343</v>
      </c>
      <c r="GX91" s="264">
        <f t="shared" ca="1" si="72"/>
        <v>11.802250134584307</v>
      </c>
      <c r="GY91" s="264">
        <f t="shared" ca="1" si="72"/>
        <v>11.821046298178981</v>
      </c>
      <c r="GZ91" s="264">
        <f t="shared" ca="1" si="72"/>
        <v>11.839903351214417</v>
      </c>
      <c r="HA91" s="264">
        <f t="shared" ca="1" si="72"/>
        <v>11.858821490939597</v>
      </c>
      <c r="HB91" s="264">
        <f t="shared" ca="1" si="72"/>
        <v>11.877800915242471</v>
      </c>
      <c r="HC91" s="264">
        <f t="shared" ca="1" si="72"/>
        <v>11.896841822652046</v>
      </c>
      <c r="HD91" s="264">
        <f t="shared" ca="1" si="72"/>
        <v>11.915944412340453</v>
      </c>
      <c r="HE91" s="264">
        <f t="shared" ca="1" si="72"/>
        <v>11.935108884125036</v>
      </c>
      <c r="HF91" s="264">
        <f t="shared" ca="1" si="72"/>
        <v>11.954335438470441</v>
      </c>
      <c r="HG91" s="264">
        <f t="shared" ca="1" si="72"/>
        <v>11.973624276490703</v>
      </c>
      <c r="HH91" s="264">
        <f t="shared" ca="1" si="72"/>
        <v>11.992975599951368</v>
      </c>
      <c r="HI91" s="264">
        <f t="shared" ca="1" si="72"/>
        <v>12.012389611271587</v>
      </c>
      <c r="HJ91" s="264">
        <f t="shared" ca="1" si="72"/>
        <v>12.031866513526245</v>
      </c>
      <c r="HK91" s="264">
        <f t="shared" ca="1" si="72"/>
        <v>12.051406510448075</v>
      </c>
      <c r="HL91" s="264">
        <f t="shared" ca="1" si="72"/>
        <v>12.071009806429798</v>
      </c>
      <c r="HM91" s="264">
        <f t="shared" ca="1" si="72"/>
        <v>12.090676606526255</v>
      </c>
      <c r="HN91" s="264">
        <f t="shared" ca="1" si="72"/>
        <v>12.110407116456557</v>
      </c>
      <c r="HO91" s="264">
        <f t="shared" ca="1" si="72"/>
        <v>12.130201542606232</v>
      </c>
      <c r="HP91" s="264">
        <f t="shared" ca="1" si="72"/>
        <v>12.150060092029385</v>
      </c>
      <c r="HQ91" s="264">
        <f t="shared" ca="1" si="72"/>
        <v>12.169982972450867</v>
      </c>
      <c r="HR91" s="264">
        <f t="shared" ca="1" si="72"/>
        <v>12.189970392268446</v>
      </c>
      <c r="HS91" s="264">
        <f t="shared" ca="1" si="72"/>
        <v>12.210022560554982</v>
      </c>
      <c r="HT91" s="264">
        <f t="shared" ca="1" si="72"/>
        <v>12.230139687060621</v>
      </c>
      <c r="HU91" s="264">
        <f t="shared" ca="1" si="72"/>
        <v>12.250321982214988</v>
      </c>
      <c r="HV91" s="264">
        <f t="shared" ca="1" si="72"/>
        <v>12.270569657129389</v>
      </c>
      <c r="HW91" s="264">
        <f t="shared" ca="1" si="72"/>
        <v>12.290882923599007</v>
      </c>
      <c r="HX91" s="264">
        <f t="shared" ca="1" si="72"/>
        <v>12.311261994105138</v>
      </c>
      <c r="HY91" s="264">
        <f t="shared" ca="1" si="72"/>
        <v>12.331707081817395</v>
      </c>
      <c r="HZ91" s="264">
        <f t="shared" ca="1" si="72"/>
        <v>12.352218400595953</v>
      </c>
      <c r="IA91" s="264">
        <f t="shared" ca="1" si="72"/>
        <v>12.372796164993773</v>
      </c>
      <c r="IB91" s="264">
        <f t="shared" ca="1" si="72"/>
        <v>12.393440590258853</v>
      </c>
      <c r="IC91" s="264">
        <f t="shared" ca="1" si="72"/>
        <v>12.414151892336481</v>
      </c>
      <c r="ID91" s="264">
        <f t="shared" ca="1" si="72"/>
        <v>12.434930287871486</v>
      </c>
      <c r="IE91" s="264">
        <f t="shared" ca="1" si="72"/>
        <v>12.455775994210518</v>
      </c>
      <c r="IF91" s="264">
        <f t="shared" ca="1" si="72"/>
        <v>12.476689229404304</v>
      </c>
      <c r="IG91" s="264">
        <f t="shared" ca="1" si="72"/>
        <v>12.497670212209943</v>
      </c>
      <c r="IH91" s="264">
        <f t="shared" ca="1" si="72"/>
        <v>12.518719162093191</v>
      </c>
      <c r="II91" s="264">
        <f t="shared" ca="1" si="72"/>
        <v>12.53983629923075</v>
      </c>
      <c r="IJ91" s="264">
        <f t="shared" ca="1" si="72"/>
        <v>12.561021844512576</v>
      </c>
      <c r="IK91" s="264">
        <f t="shared" ca="1" si="72"/>
        <v>12.582276019544192</v>
      </c>
      <c r="IL91" s="264">
        <f t="shared" ca="1" si="72"/>
        <v>12.603599046649006</v>
      </c>
      <c r="IM91" s="264">
        <f t="shared" ca="1" si="72"/>
        <v>12.624991148870626</v>
      </c>
      <c r="IN91" s="264">
        <f t="shared" ca="1" si="72"/>
        <v>12.646452549975209</v>
      </c>
      <c r="IO91" s="264">
        <f t="shared" ca="1" si="72"/>
        <v>12.667983474453788</v>
      </c>
      <c r="IP91" s="264">
        <f t="shared" ca="1" si="72"/>
        <v>12.689584147524631</v>
      </c>
      <c r="IQ91" s="264">
        <f t="shared" ca="1" si="72"/>
        <v>12.711254795135588</v>
      </c>
      <c r="IR91" s="264">
        <f t="shared" ca="1" si="72"/>
        <v>12.732995643966458</v>
      </c>
      <c r="IS91" s="264">
        <f t="shared" ca="1" si="72"/>
        <v>12.754806921431364</v>
      </c>
      <c r="IT91" s="264">
        <f t="shared" ca="1" si="72"/>
        <v>12.776688855681126</v>
      </c>
      <c r="IU91" s="264">
        <f t="shared" ca="1" si="72"/>
        <v>12.798641675605651</v>
      </c>
      <c r="IV91" s="264">
        <f t="shared" ca="1" si="72"/>
        <v>12.820665610836325</v>
      </c>
      <c r="IW91" s="264">
        <f t="shared" ca="1" si="72"/>
        <v>12.842760891748412</v>
      </c>
      <c r="IX91" s="264">
        <f t="shared" ca="1" si="72"/>
        <v>12.864927749463474</v>
      </c>
      <c r="IY91" s="264">
        <f t="shared" ca="1" si="72"/>
        <v>12.88716641585178</v>
      </c>
      <c r="IZ91" s="264">
        <f t="shared" ca="1" si="72"/>
        <v>12.909477123534733</v>
      </c>
      <c r="JA91" s="264">
        <f t="shared" ca="1" si="72"/>
        <v>12.931860105887306</v>
      </c>
      <c r="JB91" s="264">
        <f t="shared" ca="1" si="72"/>
        <v>12.954315597040477</v>
      </c>
      <c r="JC91" s="264">
        <f t="shared" ref="JC91:LN91" ca="1" si="73">$D$42+(JC90*(1+$E$42))</f>
        <v>12.976843831883684</v>
      </c>
      <c r="JD91" s="264">
        <f t="shared" ca="1" si="73"/>
        <v>12.999445046067287</v>
      </c>
      <c r="JE91" s="264">
        <f t="shared" ca="1" si="73"/>
        <v>13.022119476005013</v>
      </c>
      <c r="JF91" s="264">
        <f t="shared" ca="1" si="73"/>
        <v>13.044867358876456</v>
      </c>
      <c r="JG91" s="264">
        <f t="shared" ca="1" si="73"/>
        <v>13.067688932629531</v>
      </c>
      <c r="JH91" s="264">
        <f t="shared" ca="1" si="73"/>
        <v>13.090584435982986</v>
      </c>
      <c r="JI91" s="264">
        <f t="shared" ca="1" si="73"/>
        <v>13.113554108428886</v>
      </c>
      <c r="JJ91" s="264">
        <f t="shared" ca="1" si="73"/>
        <v>13.136598190235119</v>
      </c>
      <c r="JK91" s="264">
        <f t="shared" ca="1" si="73"/>
        <v>13.159716922447913</v>
      </c>
      <c r="JL91" s="264">
        <f t="shared" ca="1" si="73"/>
        <v>13.182910546894355</v>
      </c>
      <c r="JM91" s="264">
        <f t="shared" ca="1" si="73"/>
        <v>13.206179306184927</v>
      </c>
      <c r="JN91" s="264">
        <f t="shared" ca="1" si="73"/>
        <v>13.22952344371603</v>
      </c>
      <c r="JO91" s="264">
        <f t="shared" ca="1" si="73"/>
        <v>13.252943203672542</v>
      </c>
      <c r="JP91" s="264">
        <f t="shared" ca="1" si="73"/>
        <v>13.276438831030369</v>
      </c>
      <c r="JQ91" s="264">
        <f t="shared" ca="1" si="73"/>
        <v>13.300010571559007</v>
      </c>
      <c r="JR91" s="264">
        <f t="shared" ca="1" si="73"/>
        <v>13.323658671824111</v>
      </c>
      <c r="JS91" s="264">
        <f t="shared" ca="1" si="73"/>
        <v>13.347383379190077</v>
      </c>
      <c r="JT91" s="264">
        <f t="shared" ca="1" si="73"/>
        <v>13.371184941822627</v>
      </c>
      <c r="JU91" s="264">
        <f t="shared" ca="1" si="73"/>
        <v>13.395063608691409</v>
      </c>
      <c r="JV91" s="264">
        <f t="shared" ca="1" si="73"/>
        <v>13.419019629572597</v>
      </c>
      <c r="JW91" s="264">
        <f t="shared" ca="1" si="73"/>
        <v>13.443053255051504</v>
      </c>
      <c r="JX91" s="264">
        <f t="shared" ca="1" si="73"/>
        <v>13.467164736525206</v>
      </c>
      <c r="JY91" s="264">
        <f t="shared" ca="1" si="73"/>
        <v>13.491354326205167</v>
      </c>
      <c r="JZ91" s="264">
        <f t="shared" ca="1" si="73"/>
        <v>13.515622277119885</v>
      </c>
      <c r="KA91" s="264">
        <f t="shared" ca="1" si="73"/>
        <v>13.539968843117531</v>
      </c>
      <c r="KB91" s="264">
        <f t="shared" ca="1" si="73"/>
        <v>13.56439427886861</v>
      </c>
      <c r="KC91" s="264">
        <f t="shared" ca="1" si="73"/>
        <v>13.588898839868616</v>
      </c>
      <c r="KD91" s="264">
        <f t="shared" ca="1" si="73"/>
        <v>13.61348278244072</v>
      </c>
      <c r="KE91" s="264">
        <f t="shared" ca="1" si="73"/>
        <v>13.63814636373843</v>
      </c>
      <c r="KF91" s="264">
        <f t="shared" ca="1" si="73"/>
        <v>13.662889841748306</v>
      </c>
      <c r="KG91" s="264">
        <f t="shared" ca="1" si="73"/>
        <v>13.687713475292636</v>
      </c>
      <c r="KH91" s="264">
        <f t="shared" ca="1" si="73"/>
        <v>13.712617524032154</v>
      </c>
      <c r="KI91" s="264">
        <f t="shared" ca="1" si="73"/>
        <v>13.737602248468759</v>
      </c>
      <c r="KJ91" s="264">
        <f t="shared" ca="1" si="73"/>
        <v>13.762667909948235</v>
      </c>
      <c r="KK91" s="264">
        <f t="shared" ca="1" si="73"/>
        <v>13.78781477066298</v>
      </c>
      <c r="KL91" s="264">
        <f t="shared" ca="1" si="73"/>
        <v>13.813043093654759</v>
      </c>
      <c r="KM91" s="264">
        <f t="shared" ca="1" si="73"/>
        <v>13.83835314281745</v>
      </c>
      <c r="KN91" s="264">
        <f t="shared" ca="1" si="73"/>
        <v>13.863745182899805</v>
      </c>
      <c r="KO91" s="264">
        <f t="shared" ca="1" si="73"/>
        <v>13.889219479508217</v>
      </c>
      <c r="KP91" s="264">
        <f t="shared" ca="1" si="73"/>
        <v>13.914776299109503</v>
      </c>
      <c r="KQ91" s="264">
        <f t="shared" ca="1" si="73"/>
        <v>13.940415909033689</v>
      </c>
      <c r="KR91" s="264">
        <f t="shared" ca="1" si="73"/>
        <v>13.966138577476805</v>
      </c>
      <c r="KS91" s="264">
        <f t="shared" ca="1" si="73"/>
        <v>13.991944573503693</v>
      </c>
      <c r="KT91" s="264">
        <f t="shared" ca="1" si="73"/>
        <v>14.017834167050816</v>
      </c>
      <c r="KU91" s="264">
        <f t="shared" ca="1" si="73"/>
        <v>14.043807628929091</v>
      </c>
      <c r="KV91" s="264">
        <f t="shared" ca="1" si="73"/>
        <v>14.069865230826714</v>
      </c>
      <c r="KW91" s="264">
        <f t="shared" ca="1" si="73"/>
        <v>14.096007245312006</v>
      </c>
      <c r="KX91" s="264">
        <f t="shared" ca="1" si="73"/>
        <v>14.122233945836257</v>
      </c>
      <c r="KY91" s="264">
        <f t="shared" ca="1" si="73"/>
        <v>14.148545606736597</v>
      </c>
      <c r="KZ91" s="264">
        <f t="shared" ca="1" si="73"/>
        <v>14.174942503238862</v>
      </c>
      <c r="LA91" s="264">
        <f t="shared" ca="1" si="73"/>
        <v>14.201424911460467</v>
      </c>
      <c r="LB91" s="264">
        <f t="shared" ca="1" si="73"/>
        <v>14.227993108413299</v>
      </c>
      <c r="LC91" s="264">
        <f t="shared" ca="1" si="73"/>
        <v>14.254647372006618</v>
      </c>
      <c r="LD91" s="264">
        <f t="shared" ca="1" si="73"/>
        <v>14.281387981049955</v>
      </c>
      <c r="LE91" s="264">
        <f t="shared" ca="1" si="73"/>
        <v>14.308215215256038</v>
      </c>
      <c r="LF91" s="264">
        <f t="shared" ca="1" si="73"/>
        <v>14.335129355243712</v>
      </c>
      <c r="LG91" s="264">
        <f t="shared" ca="1" si="73"/>
        <v>14.362130682540874</v>
      </c>
      <c r="LH91" s="264">
        <f t="shared" ca="1" si="73"/>
        <v>14.389219479587425</v>
      </c>
      <c r="LI91" s="264">
        <f t="shared" ca="1" si="73"/>
        <v>14.416396029738211</v>
      </c>
      <c r="LJ91" s="264">
        <f t="shared" ca="1" si="73"/>
        <v>14.443660617266001</v>
      </c>
      <c r="LK91" s="264">
        <f t="shared" ca="1" si="73"/>
        <v>14.471013527364457</v>
      </c>
      <c r="LL91" s="264">
        <f t="shared" ca="1" si="73"/>
        <v>14.498455046151104</v>
      </c>
      <c r="LM91" s="264">
        <f t="shared" ca="1" si="73"/>
        <v>14.525985460670345</v>
      </c>
      <c r="LN91" s="264">
        <f t="shared" ca="1" si="73"/>
        <v>14.553605058896446</v>
      </c>
      <c r="LO91" s="264">
        <f t="shared" ref="LO91:NZ91" ca="1" si="74">$D$42+(LO90*(1+$E$42))</f>
        <v>14.581314129736556</v>
      </c>
      <c r="LP91" s="264">
        <f t="shared" ca="1" si="74"/>
        <v>14.609112963033729</v>
      </c>
      <c r="LQ91" s="264">
        <f t="shared" ca="1" si="74"/>
        <v>14.63700184956995</v>
      </c>
      <c r="LR91" s="264">
        <f t="shared" ca="1" si="74"/>
        <v>14.664981081069186</v>
      </c>
      <c r="LS91" s="264">
        <f t="shared" ca="1" si="74"/>
        <v>14.69305095020043</v>
      </c>
      <c r="LT91" s="264">
        <f t="shared" ca="1" si="74"/>
        <v>14.721211750580764</v>
      </c>
      <c r="LU91" s="264">
        <f t="shared" ca="1" si="74"/>
        <v>14.749463776778432</v>
      </c>
      <c r="LV91" s="264">
        <f t="shared" ca="1" si="74"/>
        <v>14.777807324315921</v>
      </c>
      <c r="LW91" s="264">
        <f t="shared" ca="1" si="74"/>
        <v>14.80624268967305</v>
      </c>
      <c r="LX91" s="264">
        <f t="shared" ca="1" si="74"/>
        <v>14.834770170290076</v>
      </c>
      <c r="LY91" s="264">
        <f t="shared" ca="1" si="74"/>
        <v>14.863390064570797</v>
      </c>
      <c r="LZ91" s="264">
        <f t="shared" ca="1" si="74"/>
        <v>14.892102671885684</v>
      </c>
      <c r="MA91" s="264">
        <f t="shared" ca="1" si="74"/>
        <v>14.920908292575005</v>
      </c>
      <c r="MB91" s="264">
        <f t="shared" ca="1" si="74"/>
        <v>14.949807227951965</v>
      </c>
      <c r="MC91" s="264">
        <f t="shared" ca="1" si="74"/>
        <v>14.978799780305867</v>
      </c>
      <c r="MD91" s="264">
        <f t="shared" ca="1" si="74"/>
        <v>15.007886252905264</v>
      </c>
      <c r="ME91" s="264">
        <f t="shared" ca="1" si="74"/>
        <v>15.03706695000114</v>
      </c>
      <c r="MF91" s="264">
        <f t="shared" ca="1" si="74"/>
        <v>15.066342176830085</v>
      </c>
      <c r="MG91" s="264">
        <f t="shared" ca="1" si="74"/>
        <v>15.095712239617491</v>
      </c>
      <c r="MH91" s="264">
        <f t="shared" ca="1" si="74"/>
        <v>15.125177445580759</v>
      </c>
      <c r="MI91" s="264">
        <f t="shared" ca="1" si="74"/>
        <v>15.154738102932502</v>
      </c>
      <c r="MJ91" s="264">
        <f t="shared" ca="1" si="74"/>
        <v>15.184394520883782</v>
      </c>
      <c r="MK91" s="264">
        <f t="shared" ca="1" si="74"/>
        <v>15.214147009647334</v>
      </c>
      <c r="ML91" s="264">
        <f t="shared" ca="1" si="74"/>
        <v>15.243995880440821</v>
      </c>
      <c r="MM91" s="264">
        <f t="shared" ca="1" si="74"/>
        <v>15.273941445490076</v>
      </c>
      <c r="MN91" s="264">
        <f t="shared" ca="1" si="74"/>
        <v>15.303984018032381</v>
      </c>
      <c r="MO91" s="264">
        <f t="shared" ca="1" si="74"/>
        <v>15.334123912319734</v>
      </c>
      <c r="MP91" s="264">
        <f t="shared" ca="1" si="74"/>
        <v>15.364361443622144</v>
      </c>
      <c r="MQ91" s="264">
        <f t="shared" ca="1" si="74"/>
        <v>15.394696928230923</v>
      </c>
      <c r="MR91" s="264">
        <f t="shared" ca="1" si="74"/>
        <v>15.425130683461996</v>
      </c>
      <c r="MS91" s="264">
        <f t="shared" ca="1" si="74"/>
        <v>15.45566302765922</v>
      </c>
      <c r="MT91" s="264">
        <f t="shared" ca="1" si="74"/>
        <v>15.486294280197717</v>
      </c>
      <c r="MU91" s="264">
        <f t="shared" ca="1" si="74"/>
        <v>15.51702476148721</v>
      </c>
      <c r="MV91" s="264">
        <f t="shared" ca="1" si="74"/>
        <v>15.547854792975379</v>
      </c>
      <c r="MW91" s="264">
        <f t="shared" ca="1" si="74"/>
        <v>15.578784697151217</v>
      </c>
      <c r="MX91" s="264">
        <f t="shared" ca="1" si="74"/>
        <v>15.609814797548415</v>
      </c>
      <c r="MY91" s="264">
        <f t="shared" ca="1" si="74"/>
        <v>15.64094541874873</v>
      </c>
      <c r="MZ91" s="264">
        <f t="shared" ca="1" si="74"/>
        <v>15.672176886385396</v>
      </c>
      <c r="NA91" s="264">
        <f t="shared" ca="1" si="74"/>
        <v>15.703509527146521</v>
      </c>
      <c r="NB91" s="264">
        <f t="shared" ca="1" si="74"/>
        <v>15.734943668778502</v>
      </c>
      <c r="NC91" s="264">
        <f t="shared" ca="1" si="74"/>
        <v>15.766479640089466</v>
      </c>
      <c r="ND91" s="264">
        <f t="shared" ca="1" si="74"/>
        <v>15.798117770952695</v>
      </c>
      <c r="NE91" s="264">
        <f t="shared" ca="1" si="74"/>
        <v>15.829858392310081</v>
      </c>
      <c r="NF91" s="264">
        <f t="shared" ca="1" si="74"/>
        <v>15.861701836175598</v>
      </c>
      <c r="NG91" s="264">
        <f t="shared" ca="1" si="74"/>
        <v>15.89364843563876</v>
      </c>
      <c r="NH91" s="264">
        <f t="shared" ca="1" si="74"/>
        <v>15.925698524868112</v>
      </c>
      <c r="NI91" s="264">
        <f t="shared" ca="1" si="74"/>
        <v>15.957852439114726</v>
      </c>
      <c r="NJ91" s="264">
        <f t="shared" ca="1" si="74"/>
        <v>15.990110514715703</v>
      </c>
      <c r="NK91" s="264">
        <f t="shared" ca="1" si="74"/>
        <v>16.022473089097701</v>
      </c>
      <c r="NL91" s="264">
        <f t="shared" ca="1" si="74"/>
        <v>16.054940500780461</v>
      </c>
      <c r="NM91" s="264">
        <f t="shared" ca="1" si="74"/>
        <v>16.08751308938033</v>
      </c>
      <c r="NN91" s="264">
        <f t="shared" ca="1" si="74"/>
        <v>16.120191195613849</v>
      </c>
      <c r="NO91" s="264">
        <f t="shared" ca="1" si="74"/>
        <v>16.152975161301285</v>
      </c>
      <c r="NP91" s="264">
        <f t="shared" ca="1" si="74"/>
        <v>16.185865329370216</v>
      </c>
      <c r="NQ91" s="264">
        <f t="shared" ca="1" si="74"/>
        <v>16.218862043859133</v>
      </c>
      <c r="NR91" s="264">
        <f t="shared" ca="1" si="74"/>
        <v>16.251965649921011</v>
      </c>
      <c r="NS91" s="264">
        <f t="shared" ca="1" si="74"/>
        <v>16.285176493826949</v>
      </c>
      <c r="NT91" s="264">
        <f t="shared" ca="1" si="74"/>
        <v>16.318494922969766</v>
      </c>
      <c r="NU91" s="264">
        <f t="shared" ca="1" si="74"/>
        <v>16.351921285867654</v>
      </c>
      <c r="NV91" s="264">
        <f t="shared" ca="1" si="74"/>
        <v>16.385455932167815</v>
      </c>
      <c r="NW91" s="264">
        <f t="shared" ca="1" si="74"/>
        <v>16.419099212650117</v>
      </c>
      <c r="NX91" s="264">
        <f t="shared" ca="1" si="74"/>
        <v>16.452851479230766</v>
      </c>
      <c r="NY91" s="264">
        <f t="shared" ca="1" si="74"/>
        <v>16.486713084965984</v>
      </c>
      <c r="NZ91" s="264">
        <f t="shared" ca="1" si="74"/>
        <v>16.52068438405572</v>
      </c>
      <c r="OA91" s="264">
        <f t="shared" ref="OA91:QL91" ca="1" si="75">$D$42+(OA90*(1+$E$42))</f>
        <v>16.554765731847322</v>
      </c>
      <c r="OB91" s="264">
        <f t="shared" ca="1" si="75"/>
        <v>16.588957484839277</v>
      </c>
      <c r="OC91" s="264">
        <f t="shared" ca="1" si="75"/>
        <v>16.62326000068494</v>
      </c>
      <c r="OD91" s="264">
        <f t="shared" ca="1" si="75"/>
        <v>16.657673638196265</v>
      </c>
      <c r="OE91" s="264">
        <f t="shared" ca="1" si="75"/>
        <v>16.692198757347562</v>
      </c>
      <c r="OF91" s="264">
        <f t="shared" ca="1" si="75"/>
        <v>16.726835719279272</v>
      </c>
      <c r="OG91" s="264">
        <f t="shared" ca="1" si="75"/>
        <v>16.761584886301733</v>
      </c>
      <c r="OH91" s="264">
        <f t="shared" ca="1" si="75"/>
        <v>16.796446621898966</v>
      </c>
      <c r="OI91" s="264">
        <f t="shared" ca="1" si="75"/>
        <v>16.831421290732489</v>
      </c>
      <c r="OJ91" s="264">
        <f t="shared" ca="1" si="75"/>
        <v>16.866509258645131</v>
      </c>
      <c r="OK91" s="264">
        <f t="shared" ca="1" si="75"/>
        <v>16.901710892664852</v>
      </c>
      <c r="OL91" s="264">
        <f t="shared" ca="1" si="75"/>
        <v>16.937026561008587</v>
      </c>
      <c r="OM91" s="264">
        <f t="shared" ca="1" si="75"/>
        <v>16.972456633086082</v>
      </c>
      <c r="ON91" s="264">
        <f t="shared" ca="1" si="75"/>
        <v>17.008001479503797</v>
      </c>
      <c r="OO91" s="264">
        <f t="shared" ca="1" si="75"/>
        <v>17.043661472068727</v>
      </c>
      <c r="OP91" s="264">
        <f t="shared" ca="1" si="75"/>
        <v>17.079436983792345</v>
      </c>
      <c r="OQ91" s="264">
        <f t="shared" ca="1" si="75"/>
        <v>17.115328388894469</v>
      </c>
      <c r="OR91" s="264">
        <f t="shared" ca="1" si="75"/>
        <v>17.151336062807193</v>
      </c>
      <c r="OS91" s="264">
        <f t="shared" ca="1" si="75"/>
        <v>17.187460382178806</v>
      </c>
      <c r="OT91" s="264">
        <f t="shared" ca="1" si="75"/>
        <v>17.223701724877728</v>
      </c>
      <c r="OU91" s="264">
        <f t="shared" ca="1" si="75"/>
        <v>17.260060469996482</v>
      </c>
      <c r="OV91" s="264">
        <f t="shared" ca="1" si="75"/>
        <v>17.29653699785564</v>
      </c>
      <c r="OW91" s="264">
        <f t="shared" ca="1" si="75"/>
        <v>17.333131690007804</v>
      </c>
      <c r="OX91" s="264">
        <f t="shared" ca="1" si="75"/>
        <v>17.369844929241609</v>
      </c>
      <c r="OY91" s="264">
        <f t="shared" ca="1" si="75"/>
        <v>17.406677099585707</v>
      </c>
      <c r="OZ91" s="264">
        <f t="shared" ca="1" si="75"/>
        <v>17.443628586312812</v>
      </c>
      <c r="PA91" s="264">
        <f t="shared" ca="1" si="75"/>
        <v>17.480699775943698</v>
      </c>
      <c r="PB91" s="264">
        <f t="shared" ca="1" si="75"/>
        <v>17.517891056251266</v>
      </c>
      <c r="PC91" s="264">
        <f t="shared" ca="1" si="75"/>
        <v>17.555202816264597</v>
      </c>
      <c r="PD91" s="264">
        <f t="shared" ca="1" si="75"/>
        <v>17.592635446273004</v>
      </c>
      <c r="PE91" s="264">
        <f t="shared" ca="1" si="75"/>
        <v>17.630189337830139</v>
      </c>
      <c r="PF91" s="264">
        <f t="shared" ca="1" si="75"/>
        <v>17.667864883758071</v>
      </c>
      <c r="PG91" s="264">
        <f t="shared" ca="1" si="75"/>
        <v>17.7056624781514</v>
      </c>
      <c r="PH91" s="264">
        <f t="shared" ca="1" si="75"/>
        <v>17.74358251638138</v>
      </c>
      <c r="PI91" s="264">
        <f t="shared" ca="1" si="75"/>
        <v>17.781625395100061</v>
      </c>
      <c r="PJ91" s="264">
        <f t="shared" ca="1" si="75"/>
        <v>17.819791512244425</v>
      </c>
      <c r="PK91" s="264">
        <f t="shared" ca="1" si="75"/>
        <v>17.858081267040561</v>
      </c>
      <c r="PL91" s="264">
        <f t="shared" ca="1" si="75"/>
        <v>17.89649506000783</v>
      </c>
      <c r="PM91" s="264">
        <f t="shared" ca="1" si="75"/>
        <v>17.935033292963055</v>
      </c>
      <c r="PN91" s="264">
        <f t="shared" ca="1" si="75"/>
        <v>17.973696369024751</v>
      </c>
      <c r="PO91" s="264">
        <f t="shared" ca="1" si="75"/>
        <v>18.012484692617292</v>
      </c>
      <c r="PP91" s="264">
        <f t="shared" ca="1" si="75"/>
        <v>18.051398669475184</v>
      </c>
      <c r="PQ91" s="264">
        <f t="shared" ca="1" si="75"/>
        <v>18.090438706647301</v>
      </c>
      <c r="PR91" s="264">
        <f t="shared" ca="1" si="75"/>
        <v>18.129605212501119</v>
      </c>
      <c r="PS91" s="264">
        <f t="shared" ca="1" si="75"/>
        <v>18.168898596727011</v>
      </c>
      <c r="PT91" s="264">
        <f t="shared" ca="1" si="75"/>
        <v>18.208319270342528</v>
      </c>
      <c r="PU91" s="264">
        <f t="shared" ca="1" si="75"/>
        <v>18.247867645696704</v>
      </c>
      <c r="PV91" s="264">
        <f t="shared" ca="1" si="75"/>
        <v>18.287544136474345</v>
      </c>
      <c r="PW91" s="264">
        <f t="shared" ca="1" si="75"/>
        <v>18.32734915770039</v>
      </c>
      <c r="PX91" s="264">
        <f t="shared" ca="1" si="75"/>
        <v>18.367283125744216</v>
      </c>
      <c r="PY91" s="264">
        <f t="shared" ca="1" si="75"/>
        <v>18.407346458324032</v>
      </c>
      <c r="PZ91" s="264">
        <f t="shared" ca="1" si="75"/>
        <v>18.447539574511211</v>
      </c>
      <c r="QA91" s="264">
        <f t="shared" ca="1" si="75"/>
        <v>18.487862894734711</v>
      </c>
      <c r="QB91" s="264">
        <f t="shared" ca="1" si="75"/>
        <v>18.528316840785433</v>
      </c>
      <c r="QC91" s="264">
        <f t="shared" ca="1" si="75"/>
        <v>18.568901835820668</v>
      </c>
      <c r="QD91" s="264">
        <f t="shared" ca="1" si="75"/>
        <v>18.609618304368503</v>
      </c>
      <c r="QE91" s="264">
        <f t="shared" ca="1" si="75"/>
        <v>18.650466672332264</v>
      </c>
      <c r="QF91" s="264">
        <f t="shared" ca="1" si="75"/>
        <v>18.691447366994979</v>
      </c>
      <c r="QG91" s="264">
        <f t="shared" ca="1" si="75"/>
        <v>18.732560817023845</v>
      </c>
      <c r="QH91" s="264">
        <f t="shared" ca="1" si="75"/>
        <v>18.773807452474706</v>
      </c>
      <c r="QI91" s="264">
        <f t="shared" ca="1" si="75"/>
        <v>18.815187704796553</v>
      </c>
      <c r="QJ91" s="264">
        <f t="shared" ca="1" si="75"/>
        <v>18.856702006836038</v>
      </c>
      <c r="QK91" s="264">
        <f t="shared" ca="1" si="75"/>
        <v>18.898350792842017</v>
      </c>
      <c r="QL91" s="264">
        <f t="shared" ca="1" si="75"/>
        <v>18.940134498470059</v>
      </c>
      <c r="QM91" s="264">
        <f t="shared" ref="QM91:RR91" ca="1" si="76">$D$42+(QM90*(1+$E$42))</f>
        <v>18.98205356078703</v>
      </c>
      <c r="QN91" s="264">
        <f t="shared" ca="1" si="76"/>
        <v>19.024108418275667</v>
      </c>
      <c r="QO91" s="264">
        <f t="shared" ca="1" si="76"/>
        <v>19.066299510839137</v>
      </c>
      <c r="QP91" s="264">
        <f t="shared" ca="1" si="76"/>
        <v>19.108627279805667</v>
      </c>
      <c r="QQ91" s="264">
        <f t="shared" ca="1" si="76"/>
        <v>19.151092167933157</v>
      </c>
      <c r="QR91" s="264">
        <f t="shared" ca="1" si="76"/>
        <v>19.193694619413783</v>
      </c>
      <c r="QS91" s="264">
        <f t="shared" ca="1" si="76"/>
        <v>19.236435079878682</v>
      </c>
      <c r="QT91" s="264">
        <f t="shared" ca="1" si="76"/>
        <v>19.279313996402585</v>
      </c>
      <c r="QU91" s="264">
        <f t="shared" ca="1" si="76"/>
        <v>19.32233181750852</v>
      </c>
      <c r="QV91" s="264">
        <f t="shared" ca="1" si="76"/>
        <v>19.365488993172463</v>
      </c>
      <c r="QW91" s="264">
        <f t="shared" ca="1" si="76"/>
        <v>19.408785974828092</v>
      </c>
      <c r="QX91" s="264">
        <f t="shared" ca="1" si="76"/>
        <v>19.452223215371475</v>
      </c>
      <c r="QY91" s="264">
        <f t="shared" ca="1" si="76"/>
        <v>19.49580116916583</v>
      </c>
      <c r="QZ91" s="264">
        <f t="shared" ca="1" si="76"/>
        <v>19.539520292046245</v>
      </c>
      <c r="RA91" s="264">
        <f t="shared" ca="1" si="76"/>
        <v>19.583381041324493</v>
      </c>
      <c r="RB91" s="264">
        <f t="shared" ca="1" si="76"/>
        <v>19.627383875793782</v>
      </c>
      <c r="RC91" s="264">
        <f t="shared" ca="1" si="76"/>
        <v>19.671529255733553</v>
      </c>
      <c r="RD91" s="264">
        <f t="shared" ca="1" si="76"/>
        <v>19.715817642914324</v>
      </c>
      <c r="RE91" s="264">
        <f t="shared" ca="1" si="76"/>
        <v>19.760249500602477</v>
      </c>
      <c r="RF91" s="264">
        <f t="shared" ca="1" si="76"/>
        <v>19.804825293565145</v>
      </c>
      <c r="RG91" s="264">
        <f t="shared" ca="1" si="76"/>
        <v>19.849545488075044</v>
      </c>
      <c r="RH91" s="264">
        <f t="shared" ca="1" si="76"/>
        <v>19.894410551915382</v>
      </c>
      <c r="RI91" s="264">
        <f t="shared" ca="1" si="76"/>
        <v>19.939420954384708</v>
      </c>
      <c r="RJ91" s="264">
        <f t="shared" ca="1" si="76"/>
        <v>19.984577166301861</v>
      </c>
      <c r="RK91" s="264">
        <f t="shared" ca="1" si="76"/>
        <v>20.029879660010877</v>
      </c>
      <c r="RL91" s="264">
        <f t="shared" ca="1" si="76"/>
        <v>20.075328909385924</v>
      </c>
      <c r="RM91" s="264">
        <f t="shared" ca="1" si="76"/>
        <v>20.12092538983628</v>
      </c>
      <c r="RN91" s="264">
        <f t="shared" ca="1" si="76"/>
        <v>20.166669578311279</v>
      </c>
      <c r="RO91" s="264">
        <f t="shared" ca="1" si="76"/>
        <v>20.212561953305325</v>
      </c>
      <c r="RP91" s="264">
        <f t="shared" ca="1" si="76"/>
        <v>20.258602994862883</v>
      </c>
      <c r="RQ91" s="264">
        <f t="shared" ca="1" si="76"/>
        <v>20.304793184583502</v>
      </c>
      <c r="RR91" s="264">
        <f t="shared" ca="1" si="76"/>
        <v>20.351133005626853</v>
      </c>
    </row>
    <row r="92" spans="1:486" s="9" customFormat="1"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</row>
    <row r="93" spans="1:486" s="9" customFormat="1">
      <c r="A93" s="286" t="s">
        <v>262</v>
      </c>
      <c r="B93" s="39" t="s">
        <v>128</v>
      </c>
      <c r="E93" s="138">
        <f>(($C26/12*OR(E$66,E$67)*E68)+(($G26-$C26)/12*E$67*E75))*1000</f>
        <v>6784093.0427884618</v>
      </c>
      <c r="F93" s="138">
        <f t="shared" ref="F93:BQ93" si="77">(($C26/12*OR(F$66,F$67)*F68)+(($G26-$C26)/12*F$67*F75))*1000</f>
        <v>6784093.0427884618</v>
      </c>
      <c r="G93" s="138">
        <f t="shared" si="77"/>
        <v>6784093.0427884618</v>
      </c>
      <c r="H93" s="138">
        <f t="shared" si="77"/>
        <v>6784093.0427884618</v>
      </c>
      <c r="I93" s="138">
        <f t="shared" si="77"/>
        <v>6784093.0427884618</v>
      </c>
      <c r="J93" s="138">
        <f t="shared" si="77"/>
        <v>6784093.0427884618</v>
      </c>
      <c r="K93" s="138">
        <f t="shared" si="77"/>
        <v>6784093.0427884618</v>
      </c>
      <c r="L93" s="138">
        <f t="shared" si="77"/>
        <v>6784093.0427884618</v>
      </c>
      <c r="M93" s="138">
        <f t="shared" si="77"/>
        <v>6784093.0427884618</v>
      </c>
      <c r="N93" s="138">
        <f t="shared" si="77"/>
        <v>6784093.0427884618</v>
      </c>
      <c r="O93" s="138">
        <f t="shared" si="77"/>
        <v>6784093.0427884618</v>
      </c>
      <c r="P93" s="138">
        <f t="shared" si="77"/>
        <v>6784093.0427884618</v>
      </c>
      <c r="Q93" s="138">
        <f t="shared" si="77"/>
        <v>6784093.0427884618</v>
      </c>
      <c r="R93" s="138">
        <f t="shared" si="77"/>
        <v>6784093.0427884618</v>
      </c>
      <c r="S93" s="138">
        <f t="shared" si="77"/>
        <v>6784093.0427884618</v>
      </c>
      <c r="T93" s="138">
        <f t="shared" si="77"/>
        <v>6784093.0427884618</v>
      </c>
      <c r="U93" s="138">
        <f t="shared" si="77"/>
        <v>6784093.0427884618</v>
      </c>
      <c r="V93" s="138">
        <f t="shared" si="77"/>
        <v>6784093.0427884618</v>
      </c>
      <c r="W93" s="138">
        <f t="shared" si="77"/>
        <v>6784093.0427884618</v>
      </c>
      <c r="X93" s="138">
        <f t="shared" si="77"/>
        <v>6784093.0427884618</v>
      </c>
      <c r="Y93" s="138">
        <f t="shared" si="77"/>
        <v>6784093.0427884618</v>
      </c>
      <c r="Z93" s="138">
        <f t="shared" si="77"/>
        <v>6784093.0427884618</v>
      </c>
      <c r="AA93" s="138">
        <f t="shared" si="77"/>
        <v>6784093.0427884618</v>
      </c>
      <c r="AB93" s="138">
        <f t="shared" si="77"/>
        <v>6784093.0427884618</v>
      </c>
      <c r="AC93" s="138">
        <f t="shared" si="77"/>
        <v>6784093.0427884618</v>
      </c>
      <c r="AD93" s="138">
        <f t="shared" si="77"/>
        <v>6784093.0427884618</v>
      </c>
      <c r="AE93" s="138">
        <f t="shared" si="77"/>
        <v>6784093.0427884618</v>
      </c>
      <c r="AF93" s="138">
        <f t="shared" si="77"/>
        <v>6784093.0427884618</v>
      </c>
      <c r="AG93" s="138">
        <f t="shared" si="77"/>
        <v>6784093.0427884618</v>
      </c>
      <c r="AH93" s="138">
        <f t="shared" si="77"/>
        <v>6784093.0427884618</v>
      </c>
      <c r="AI93" s="138">
        <f t="shared" si="77"/>
        <v>6784093.0427884618</v>
      </c>
      <c r="AJ93" s="138">
        <f t="shared" si="77"/>
        <v>6784093.0427884618</v>
      </c>
      <c r="AK93" s="138">
        <f t="shared" si="77"/>
        <v>6784093.0427884618</v>
      </c>
      <c r="AL93" s="138">
        <f t="shared" si="77"/>
        <v>6784093.0427884618</v>
      </c>
      <c r="AM93" s="138">
        <f t="shared" si="77"/>
        <v>6784093.0427884618</v>
      </c>
      <c r="AN93" s="138">
        <f t="shared" si="77"/>
        <v>6784093.0427884618</v>
      </c>
      <c r="AO93" s="138">
        <f t="shared" si="77"/>
        <v>6784093.0427884618</v>
      </c>
      <c r="AP93" s="138">
        <f t="shared" si="77"/>
        <v>6784093.0427884618</v>
      </c>
      <c r="AQ93" s="138">
        <f t="shared" si="77"/>
        <v>6784093.0427884618</v>
      </c>
      <c r="AR93" s="138">
        <f t="shared" si="77"/>
        <v>6784093.0427884618</v>
      </c>
      <c r="AS93" s="138">
        <f t="shared" si="77"/>
        <v>6784093.0427884618</v>
      </c>
      <c r="AT93" s="138">
        <f t="shared" si="77"/>
        <v>6784093.0427884618</v>
      </c>
      <c r="AU93" s="138">
        <f t="shared" si="77"/>
        <v>6784093.0427884618</v>
      </c>
      <c r="AV93" s="138">
        <f t="shared" si="77"/>
        <v>6784093.0427884618</v>
      </c>
      <c r="AW93" s="138">
        <f t="shared" si="77"/>
        <v>6784093.0427884618</v>
      </c>
      <c r="AX93" s="138">
        <f t="shared" si="77"/>
        <v>6784093.0427884618</v>
      </c>
      <c r="AY93" s="138">
        <f t="shared" si="77"/>
        <v>6784093.0427884618</v>
      </c>
      <c r="AZ93" s="138">
        <f t="shared" si="77"/>
        <v>6784093.0427884618</v>
      </c>
      <c r="BA93" s="138">
        <f t="shared" si="77"/>
        <v>6784093.0427884618</v>
      </c>
      <c r="BB93" s="138">
        <f t="shared" si="77"/>
        <v>6784093.0427884618</v>
      </c>
      <c r="BC93" s="138">
        <f t="shared" si="77"/>
        <v>6784093.0427884618</v>
      </c>
      <c r="BD93" s="138">
        <f t="shared" si="77"/>
        <v>6784093.0427884618</v>
      </c>
      <c r="BE93" s="138">
        <f t="shared" si="77"/>
        <v>6784093.0427884618</v>
      </c>
      <c r="BF93" s="138">
        <f t="shared" si="77"/>
        <v>6784093.0427884618</v>
      </c>
      <c r="BG93" s="138">
        <f t="shared" si="77"/>
        <v>6784093.0427884618</v>
      </c>
      <c r="BH93" s="138">
        <f t="shared" si="77"/>
        <v>6784093.0427884618</v>
      </c>
      <c r="BI93" s="138">
        <f t="shared" si="77"/>
        <v>6784093.0427884618</v>
      </c>
      <c r="BJ93" s="138">
        <f t="shared" si="77"/>
        <v>6784093.0427884618</v>
      </c>
      <c r="BK93" s="138">
        <f t="shared" si="77"/>
        <v>6784093.0427884618</v>
      </c>
      <c r="BL93" s="138">
        <f t="shared" si="77"/>
        <v>6784093.0427884618</v>
      </c>
      <c r="BM93" s="138">
        <f t="shared" si="77"/>
        <v>12706166.639225148</v>
      </c>
      <c r="BN93" s="138">
        <f t="shared" si="77"/>
        <v>12706166.639225148</v>
      </c>
      <c r="BO93" s="138">
        <f t="shared" si="77"/>
        <v>12706166.639225148</v>
      </c>
      <c r="BP93" s="138">
        <f t="shared" si="77"/>
        <v>12706166.639225148</v>
      </c>
      <c r="BQ93" s="138">
        <f t="shared" si="77"/>
        <v>12706166.639225148</v>
      </c>
      <c r="BR93" s="138">
        <f t="shared" ref="BR93:EC93" si="78">(($C26/12*OR(BR$66,BR$67)*BR68)+(($G26-$C26)/12*BR$67*BR75))*1000</f>
        <v>12706166.639225148</v>
      </c>
      <c r="BS93" s="138">
        <f t="shared" si="78"/>
        <v>12706166.639225148</v>
      </c>
      <c r="BT93" s="138">
        <f t="shared" si="78"/>
        <v>12706166.639225148</v>
      </c>
      <c r="BU93" s="138">
        <f t="shared" si="78"/>
        <v>12706166.639225148</v>
      </c>
      <c r="BV93" s="138">
        <f t="shared" si="78"/>
        <v>12706166.639225148</v>
      </c>
      <c r="BW93" s="138">
        <f t="shared" si="78"/>
        <v>12706166.639225148</v>
      </c>
      <c r="BX93" s="138">
        <f t="shared" si="78"/>
        <v>12706166.639225148</v>
      </c>
      <c r="BY93" s="138">
        <f t="shared" si="78"/>
        <v>12706166.639225148</v>
      </c>
      <c r="BZ93" s="138">
        <f t="shared" si="78"/>
        <v>12706166.639225148</v>
      </c>
      <c r="CA93" s="138">
        <f t="shared" si="78"/>
        <v>12706166.639225148</v>
      </c>
      <c r="CB93" s="138">
        <f t="shared" si="78"/>
        <v>12706166.639225148</v>
      </c>
      <c r="CC93" s="138">
        <f t="shared" si="78"/>
        <v>12706166.639225148</v>
      </c>
      <c r="CD93" s="138">
        <f t="shared" si="78"/>
        <v>12706166.639225148</v>
      </c>
      <c r="CE93" s="138">
        <f t="shared" si="78"/>
        <v>12706166.639225148</v>
      </c>
      <c r="CF93" s="138">
        <f t="shared" si="78"/>
        <v>12706166.639225148</v>
      </c>
      <c r="CG93" s="138">
        <f t="shared" si="78"/>
        <v>12706166.639225148</v>
      </c>
      <c r="CH93" s="138">
        <f t="shared" si="78"/>
        <v>12706166.639225148</v>
      </c>
      <c r="CI93" s="138">
        <f t="shared" si="78"/>
        <v>12706166.639225148</v>
      </c>
      <c r="CJ93" s="138">
        <f t="shared" si="78"/>
        <v>12706166.639225148</v>
      </c>
      <c r="CK93" s="138">
        <f t="shared" si="78"/>
        <v>12706166.639225148</v>
      </c>
      <c r="CL93" s="138">
        <f t="shared" si="78"/>
        <v>12706166.639225148</v>
      </c>
      <c r="CM93" s="138">
        <f t="shared" si="78"/>
        <v>12706166.639225148</v>
      </c>
      <c r="CN93" s="138">
        <f t="shared" si="78"/>
        <v>12706166.639225148</v>
      </c>
      <c r="CO93" s="138">
        <f t="shared" si="78"/>
        <v>12706166.639225148</v>
      </c>
      <c r="CP93" s="138">
        <f t="shared" si="78"/>
        <v>12706166.639225148</v>
      </c>
      <c r="CQ93" s="138">
        <f t="shared" si="78"/>
        <v>12706166.639225148</v>
      </c>
      <c r="CR93" s="138">
        <f t="shared" si="78"/>
        <v>12706166.639225148</v>
      </c>
      <c r="CS93" s="138">
        <f t="shared" si="78"/>
        <v>12706166.639225148</v>
      </c>
      <c r="CT93" s="138">
        <f t="shared" si="78"/>
        <v>12706166.639225148</v>
      </c>
      <c r="CU93" s="138">
        <f t="shared" si="78"/>
        <v>12706166.639225148</v>
      </c>
      <c r="CV93" s="138">
        <f t="shared" si="78"/>
        <v>12706166.639225148</v>
      </c>
      <c r="CW93" s="138">
        <f t="shared" si="78"/>
        <v>12706166.639225148</v>
      </c>
      <c r="CX93" s="138">
        <f t="shared" si="78"/>
        <v>12706166.639225148</v>
      </c>
      <c r="CY93" s="138">
        <f t="shared" si="78"/>
        <v>12706166.639225148</v>
      </c>
      <c r="CZ93" s="138">
        <f t="shared" si="78"/>
        <v>12706166.639225148</v>
      </c>
      <c r="DA93" s="138">
        <f t="shared" si="78"/>
        <v>12706166.639225148</v>
      </c>
      <c r="DB93" s="138">
        <f t="shared" si="78"/>
        <v>12706166.639225148</v>
      </c>
      <c r="DC93" s="138">
        <f t="shared" si="78"/>
        <v>12706166.639225148</v>
      </c>
      <c r="DD93" s="138">
        <f t="shared" si="78"/>
        <v>12706166.639225148</v>
      </c>
      <c r="DE93" s="138">
        <f t="shared" si="78"/>
        <v>12706166.639225148</v>
      </c>
      <c r="DF93" s="138">
        <f t="shared" si="78"/>
        <v>12706166.639225148</v>
      </c>
      <c r="DG93" s="138">
        <f t="shared" si="78"/>
        <v>12706166.639225148</v>
      </c>
      <c r="DH93" s="138">
        <f t="shared" si="78"/>
        <v>12706166.639225148</v>
      </c>
      <c r="DI93" s="138">
        <f t="shared" si="78"/>
        <v>12706166.639225148</v>
      </c>
      <c r="DJ93" s="138">
        <f t="shared" si="78"/>
        <v>12706166.639225148</v>
      </c>
      <c r="DK93" s="138">
        <f t="shared" si="78"/>
        <v>12706166.639225148</v>
      </c>
      <c r="DL93" s="138">
        <f t="shared" si="78"/>
        <v>12706166.639225148</v>
      </c>
      <c r="DM93" s="138">
        <f t="shared" si="78"/>
        <v>12706166.639225148</v>
      </c>
      <c r="DN93" s="138">
        <f t="shared" si="78"/>
        <v>12706166.639225148</v>
      </c>
      <c r="DO93" s="138">
        <f t="shared" si="78"/>
        <v>12706166.639225148</v>
      </c>
      <c r="DP93" s="138">
        <f t="shared" si="78"/>
        <v>12706166.639225148</v>
      </c>
      <c r="DQ93" s="138">
        <f t="shared" si="78"/>
        <v>12706166.639225148</v>
      </c>
      <c r="DR93" s="138">
        <f t="shared" si="78"/>
        <v>12706166.639225148</v>
      </c>
      <c r="DS93" s="138">
        <f t="shared" si="78"/>
        <v>12706166.639225148</v>
      </c>
      <c r="DT93" s="138">
        <f t="shared" si="78"/>
        <v>12706166.639225148</v>
      </c>
      <c r="DU93" s="138">
        <f t="shared" si="78"/>
        <v>12706166.639225148</v>
      </c>
      <c r="DV93" s="138">
        <f t="shared" si="78"/>
        <v>12706166.639225148</v>
      </c>
      <c r="DW93" s="138">
        <f t="shared" si="78"/>
        <v>12706166.639225148</v>
      </c>
      <c r="DX93" s="138">
        <f t="shared" si="78"/>
        <v>12706166.639225148</v>
      </c>
      <c r="DY93" s="138">
        <f t="shared" si="78"/>
        <v>12706166.639225148</v>
      </c>
      <c r="DZ93" s="138">
        <f t="shared" si="78"/>
        <v>12706166.639225148</v>
      </c>
      <c r="EA93" s="138">
        <f t="shared" si="78"/>
        <v>12706166.639225148</v>
      </c>
      <c r="EB93" s="138">
        <f t="shared" si="78"/>
        <v>12706166.639225148</v>
      </c>
      <c r="EC93" s="138">
        <f t="shared" si="78"/>
        <v>12706166.639225148</v>
      </c>
      <c r="ED93" s="138">
        <f t="shared" ref="ED93:GO93" si="79">(($C26/12*OR(ED$66,ED$67)*ED68)+(($G26-$C26)/12*ED$67*ED75))*1000</f>
        <v>12706166.639225148</v>
      </c>
      <c r="EE93" s="138">
        <f t="shared" si="79"/>
        <v>12706166.639225148</v>
      </c>
      <c r="EF93" s="138">
        <f t="shared" si="79"/>
        <v>12706166.639225148</v>
      </c>
      <c r="EG93" s="138">
        <f t="shared" si="79"/>
        <v>12706166.639225148</v>
      </c>
      <c r="EH93" s="138">
        <f t="shared" si="79"/>
        <v>12706166.639225148</v>
      </c>
      <c r="EI93" s="138">
        <f t="shared" si="79"/>
        <v>12706166.639225148</v>
      </c>
      <c r="EJ93" s="138">
        <f t="shared" si="79"/>
        <v>12706166.639225148</v>
      </c>
      <c r="EK93" s="138">
        <f t="shared" si="79"/>
        <v>12706166.639225148</v>
      </c>
      <c r="EL93" s="138">
        <f t="shared" si="79"/>
        <v>12706166.639225148</v>
      </c>
      <c r="EM93" s="138">
        <f t="shared" si="79"/>
        <v>12706166.639225148</v>
      </c>
      <c r="EN93" s="138">
        <f t="shared" si="79"/>
        <v>12706166.639225148</v>
      </c>
      <c r="EO93" s="138">
        <f t="shared" si="79"/>
        <v>12706166.639225148</v>
      </c>
      <c r="EP93" s="138">
        <f t="shared" si="79"/>
        <v>12706166.639225148</v>
      </c>
      <c r="EQ93" s="138">
        <f t="shared" si="79"/>
        <v>12706166.639225148</v>
      </c>
      <c r="ER93" s="138">
        <f t="shared" si="79"/>
        <v>12706166.639225148</v>
      </c>
      <c r="ES93" s="138">
        <f t="shared" si="79"/>
        <v>12706166.639225148</v>
      </c>
      <c r="ET93" s="138">
        <f t="shared" si="79"/>
        <v>12706166.639225148</v>
      </c>
      <c r="EU93" s="138">
        <f t="shared" si="79"/>
        <v>12706166.639225148</v>
      </c>
      <c r="EV93" s="138">
        <f t="shared" si="79"/>
        <v>12706166.639225148</v>
      </c>
      <c r="EW93" s="138">
        <f t="shared" si="79"/>
        <v>12706166.639225148</v>
      </c>
      <c r="EX93" s="138">
        <f t="shared" si="79"/>
        <v>12706166.639225148</v>
      </c>
      <c r="EY93" s="138">
        <f t="shared" si="79"/>
        <v>12706166.639225148</v>
      </c>
      <c r="EZ93" s="138">
        <f t="shared" si="79"/>
        <v>12706166.639225148</v>
      </c>
      <c r="FA93" s="138">
        <f t="shared" si="79"/>
        <v>12706166.639225148</v>
      </c>
      <c r="FB93" s="138">
        <f t="shared" si="79"/>
        <v>12706166.639225148</v>
      </c>
      <c r="FC93" s="138">
        <f t="shared" si="79"/>
        <v>12706166.639225148</v>
      </c>
      <c r="FD93" s="138">
        <f t="shared" si="79"/>
        <v>12706166.639225148</v>
      </c>
      <c r="FE93" s="138">
        <f t="shared" si="79"/>
        <v>12706166.639225148</v>
      </c>
      <c r="FF93" s="138">
        <f t="shared" si="79"/>
        <v>12706166.639225148</v>
      </c>
      <c r="FG93" s="138">
        <f t="shared" si="79"/>
        <v>12706166.639225148</v>
      </c>
      <c r="FH93" s="138">
        <f t="shared" si="79"/>
        <v>12706166.639225148</v>
      </c>
      <c r="FI93" s="138">
        <f t="shared" si="79"/>
        <v>12706166.639225148</v>
      </c>
      <c r="FJ93" s="138">
        <f t="shared" si="79"/>
        <v>12706166.639225148</v>
      </c>
      <c r="FK93" s="138">
        <f t="shared" si="79"/>
        <v>12706166.639225148</v>
      </c>
      <c r="FL93" s="138">
        <f t="shared" si="79"/>
        <v>12706166.639225148</v>
      </c>
      <c r="FM93" s="138">
        <f t="shared" si="79"/>
        <v>12706166.639225148</v>
      </c>
      <c r="FN93" s="138">
        <f t="shared" si="79"/>
        <v>12706166.639225148</v>
      </c>
      <c r="FO93" s="138">
        <f t="shared" si="79"/>
        <v>12706166.639225148</v>
      </c>
      <c r="FP93" s="138">
        <f t="shared" si="79"/>
        <v>12706166.639225148</v>
      </c>
      <c r="FQ93" s="138">
        <f t="shared" si="79"/>
        <v>12706166.639225148</v>
      </c>
      <c r="FR93" s="138">
        <f t="shared" si="79"/>
        <v>12706166.639225148</v>
      </c>
      <c r="FS93" s="138">
        <f t="shared" si="79"/>
        <v>12706166.639225148</v>
      </c>
      <c r="FT93" s="138">
        <f t="shared" si="79"/>
        <v>12706166.639225148</v>
      </c>
      <c r="FU93" s="138">
        <f t="shared" si="79"/>
        <v>12706166.639225148</v>
      </c>
      <c r="FV93" s="138">
        <f t="shared" si="79"/>
        <v>12706166.639225148</v>
      </c>
      <c r="FW93" s="138">
        <f t="shared" si="79"/>
        <v>12706166.639225148</v>
      </c>
      <c r="FX93" s="138">
        <f t="shared" si="79"/>
        <v>12706166.639225148</v>
      </c>
      <c r="FY93" s="138">
        <f t="shared" si="79"/>
        <v>12706166.639225148</v>
      </c>
      <c r="FZ93" s="138">
        <f t="shared" si="79"/>
        <v>12706166.639225148</v>
      </c>
      <c r="GA93" s="138">
        <f t="shared" si="79"/>
        <v>12706166.639225148</v>
      </c>
      <c r="GB93" s="138">
        <f t="shared" si="79"/>
        <v>12706166.639225148</v>
      </c>
      <c r="GC93" s="138">
        <f t="shared" si="79"/>
        <v>12706166.639225148</v>
      </c>
      <c r="GD93" s="138">
        <f t="shared" si="79"/>
        <v>12706166.639225148</v>
      </c>
      <c r="GE93" s="138">
        <f t="shared" si="79"/>
        <v>12706166.639225148</v>
      </c>
      <c r="GF93" s="138">
        <f t="shared" si="79"/>
        <v>12706166.639225148</v>
      </c>
      <c r="GG93" s="138">
        <f t="shared" si="79"/>
        <v>12706166.639225148</v>
      </c>
      <c r="GH93" s="138">
        <f t="shared" si="79"/>
        <v>12706166.639225148</v>
      </c>
      <c r="GI93" s="138">
        <f t="shared" si="79"/>
        <v>12706166.639225148</v>
      </c>
      <c r="GJ93" s="138">
        <f t="shared" si="79"/>
        <v>12706166.639225148</v>
      </c>
      <c r="GK93" s="138">
        <f t="shared" si="79"/>
        <v>12706166.639225148</v>
      </c>
      <c r="GL93" s="138">
        <f t="shared" si="79"/>
        <v>12706166.639225148</v>
      </c>
      <c r="GM93" s="138">
        <f t="shared" si="79"/>
        <v>12706166.639225148</v>
      </c>
      <c r="GN93" s="138">
        <f t="shared" si="79"/>
        <v>12706166.639225148</v>
      </c>
      <c r="GO93" s="138">
        <f t="shared" si="79"/>
        <v>12706166.639225148</v>
      </c>
      <c r="GP93" s="138">
        <f t="shared" ref="GP93:JA93" si="80">(($C26/12*OR(GP$66,GP$67)*GP68)+(($G26-$C26)/12*GP$67*GP75))*1000</f>
        <v>12706166.639225148</v>
      </c>
      <c r="GQ93" s="138">
        <f t="shared" si="80"/>
        <v>12706166.639225148</v>
      </c>
      <c r="GR93" s="138">
        <f t="shared" si="80"/>
        <v>12706166.639225148</v>
      </c>
      <c r="GS93" s="138">
        <f t="shared" si="80"/>
        <v>12706166.639225148</v>
      </c>
      <c r="GT93" s="138">
        <f t="shared" si="80"/>
        <v>12706166.639225148</v>
      </c>
      <c r="GU93" s="138">
        <f t="shared" si="80"/>
        <v>12706166.639225148</v>
      </c>
      <c r="GV93" s="138">
        <f t="shared" si="80"/>
        <v>12706166.639225148</v>
      </c>
      <c r="GW93" s="138">
        <f t="shared" si="80"/>
        <v>12706166.639225148</v>
      </c>
      <c r="GX93" s="138">
        <f t="shared" si="80"/>
        <v>12706166.639225148</v>
      </c>
      <c r="GY93" s="138">
        <f t="shared" si="80"/>
        <v>12706166.639225148</v>
      </c>
      <c r="GZ93" s="138">
        <f t="shared" si="80"/>
        <v>12706166.639225148</v>
      </c>
      <c r="HA93" s="138">
        <f t="shared" si="80"/>
        <v>12706166.639225148</v>
      </c>
      <c r="HB93" s="138">
        <f t="shared" si="80"/>
        <v>12706166.639225148</v>
      </c>
      <c r="HC93" s="138">
        <f t="shared" si="80"/>
        <v>12706166.639225148</v>
      </c>
      <c r="HD93" s="138">
        <f t="shared" si="80"/>
        <v>12706166.639225148</v>
      </c>
      <c r="HE93" s="138">
        <f t="shared" si="80"/>
        <v>12706166.639225148</v>
      </c>
      <c r="HF93" s="138">
        <f t="shared" si="80"/>
        <v>12706166.639225148</v>
      </c>
      <c r="HG93" s="138">
        <f t="shared" si="80"/>
        <v>12706166.639225148</v>
      </c>
      <c r="HH93" s="138">
        <f t="shared" si="80"/>
        <v>12706166.639225148</v>
      </c>
      <c r="HI93" s="138">
        <f t="shared" si="80"/>
        <v>12706166.639225148</v>
      </c>
      <c r="HJ93" s="138">
        <f t="shared" si="80"/>
        <v>12706166.639225148</v>
      </c>
      <c r="HK93" s="138">
        <f t="shared" si="80"/>
        <v>12706166.639225148</v>
      </c>
      <c r="HL93" s="138">
        <f t="shared" si="80"/>
        <v>12706166.639225148</v>
      </c>
      <c r="HM93" s="138">
        <f t="shared" si="80"/>
        <v>12706166.639225148</v>
      </c>
      <c r="HN93" s="138">
        <f t="shared" si="80"/>
        <v>12706166.639225148</v>
      </c>
      <c r="HO93" s="138">
        <f t="shared" si="80"/>
        <v>12706166.639225148</v>
      </c>
      <c r="HP93" s="138">
        <f t="shared" si="80"/>
        <v>12706166.639225148</v>
      </c>
      <c r="HQ93" s="138">
        <f t="shared" si="80"/>
        <v>12706166.639225148</v>
      </c>
      <c r="HR93" s="138">
        <f t="shared" si="80"/>
        <v>12706166.639225148</v>
      </c>
      <c r="HS93" s="138">
        <f t="shared" si="80"/>
        <v>12706166.639225148</v>
      </c>
      <c r="HT93" s="138">
        <f t="shared" si="80"/>
        <v>12706166.639225148</v>
      </c>
      <c r="HU93" s="138">
        <f t="shared" si="80"/>
        <v>12706166.639225148</v>
      </c>
      <c r="HV93" s="138">
        <f t="shared" si="80"/>
        <v>12706166.639225148</v>
      </c>
      <c r="HW93" s="138">
        <f t="shared" si="80"/>
        <v>12706166.639225148</v>
      </c>
      <c r="HX93" s="138">
        <f t="shared" si="80"/>
        <v>12706166.639225148</v>
      </c>
      <c r="HY93" s="138">
        <f t="shared" si="80"/>
        <v>12706166.639225148</v>
      </c>
      <c r="HZ93" s="138">
        <f t="shared" si="80"/>
        <v>12706166.639225148</v>
      </c>
      <c r="IA93" s="138">
        <f t="shared" si="80"/>
        <v>12706166.639225148</v>
      </c>
      <c r="IB93" s="138">
        <f t="shared" si="80"/>
        <v>12706166.639225148</v>
      </c>
      <c r="IC93" s="138">
        <f t="shared" si="80"/>
        <v>12706166.639225148</v>
      </c>
      <c r="ID93" s="138">
        <f t="shared" si="80"/>
        <v>12706166.639225148</v>
      </c>
      <c r="IE93" s="138">
        <f t="shared" si="80"/>
        <v>12706166.639225148</v>
      </c>
      <c r="IF93" s="138">
        <f t="shared" si="80"/>
        <v>12706166.639225148</v>
      </c>
      <c r="IG93" s="138">
        <f t="shared" si="80"/>
        <v>12706166.639225148</v>
      </c>
      <c r="IH93" s="138">
        <f t="shared" si="80"/>
        <v>12706166.639225148</v>
      </c>
      <c r="II93" s="138">
        <f t="shared" si="80"/>
        <v>12706166.639225148</v>
      </c>
      <c r="IJ93" s="138">
        <f t="shared" si="80"/>
        <v>12706166.639225148</v>
      </c>
      <c r="IK93" s="138">
        <f t="shared" si="80"/>
        <v>0</v>
      </c>
      <c r="IL93" s="138">
        <f t="shared" si="80"/>
        <v>0</v>
      </c>
      <c r="IM93" s="138">
        <f t="shared" si="80"/>
        <v>0</v>
      </c>
      <c r="IN93" s="138">
        <f t="shared" si="80"/>
        <v>0</v>
      </c>
      <c r="IO93" s="138">
        <f t="shared" si="80"/>
        <v>0</v>
      </c>
      <c r="IP93" s="138">
        <f t="shared" si="80"/>
        <v>0</v>
      </c>
      <c r="IQ93" s="138">
        <f t="shared" si="80"/>
        <v>0</v>
      </c>
      <c r="IR93" s="138">
        <f t="shared" si="80"/>
        <v>0</v>
      </c>
      <c r="IS93" s="138">
        <f t="shared" si="80"/>
        <v>0</v>
      </c>
      <c r="IT93" s="138">
        <f t="shared" si="80"/>
        <v>0</v>
      </c>
      <c r="IU93" s="138">
        <f t="shared" si="80"/>
        <v>0</v>
      </c>
      <c r="IV93" s="138">
        <f t="shared" si="80"/>
        <v>0</v>
      </c>
      <c r="IW93" s="138">
        <f t="shared" si="80"/>
        <v>0</v>
      </c>
      <c r="IX93" s="138">
        <f t="shared" si="80"/>
        <v>0</v>
      </c>
      <c r="IY93" s="138">
        <f t="shared" si="80"/>
        <v>0</v>
      </c>
      <c r="IZ93" s="138">
        <f t="shared" si="80"/>
        <v>0</v>
      </c>
      <c r="JA93" s="138">
        <f t="shared" si="80"/>
        <v>0</v>
      </c>
      <c r="JB93" s="138">
        <f t="shared" ref="JB93:LM93" si="81">(($C26/12*OR(JB$66,JB$67)*JB68)+(($G26-$C26)/12*JB$67*JB75))*1000</f>
        <v>0</v>
      </c>
      <c r="JC93" s="138">
        <f t="shared" si="81"/>
        <v>0</v>
      </c>
      <c r="JD93" s="138">
        <f t="shared" si="81"/>
        <v>0</v>
      </c>
      <c r="JE93" s="138">
        <f t="shared" si="81"/>
        <v>0</v>
      </c>
      <c r="JF93" s="138">
        <f t="shared" si="81"/>
        <v>0</v>
      </c>
      <c r="JG93" s="138">
        <f t="shared" si="81"/>
        <v>0</v>
      </c>
      <c r="JH93" s="138">
        <f t="shared" si="81"/>
        <v>0</v>
      </c>
      <c r="JI93" s="138">
        <f t="shared" si="81"/>
        <v>0</v>
      </c>
      <c r="JJ93" s="138">
        <f t="shared" si="81"/>
        <v>0</v>
      </c>
      <c r="JK93" s="138">
        <f t="shared" si="81"/>
        <v>0</v>
      </c>
      <c r="JL93" s="138">
        <f t="shared" si="81"/>
        <v>0</v>
      </c>
      <c r="JM93" s="138">
        <f t="shared" si="81"/>
        <v>0</v>
      </c>
      <c r="JN93" s="138">
        <f t="shared" si="81"/>
        <v>0</v>
      </c>
      <c r="JO93" s="138">
        <f t="shared" si="81"/>
        <v>0</v>
      </c>
      <c r="JP93" s="138">
        <f t="shared" si="81"/>
        <v>0</v>
      </c>
      <c r="JQ93" s="138">
        <f t="shared" si="81"/>
        <v>0</v>
      </c>
      <c r="JR93" s="138">
        <f t="shared" si="81"/>
        <v>0</v>
      </c>
      <c r="JS93" s="138">
        <f t="shared" si="81"/>
        <v>0</v>
      </c>
      <c r="JT93" s="138">
        <f t="shared" si="81"/>
        <v>0</v>
      </c>
      <c r="JU93" s="138">
        <f t="shared" si="81"/>
        <v>0</v>
      </c>
      <c r="JV93" s="138">
        <f t="shared" si="81"/>
        <v>0</v>
      </c>
      <c r="JW93" s="138">
        <f t="shared" si="81"/>
        <v>0</v>
      </c>
      <c r="JX93" s="138">
        <f t="shared" si="81"/>
        <v>0</v>
      </c>
      <c r="JY93" s="138">
        <f t="shared" si="81"/>
        <v>0</v>
      </c>
      <c r="JZ93" s="138">
        <f t="shared" si="81"/>
        <v>0</v>
      </c>
      <c r="KA93" s="138">
        <f t="shared" si="81"/>
        <v>0</v>
      </c>
      <c r="KB93" s="138">
        <f t="shared" si="81"/>
        <v>0</v>
      </c>
      <c r="KC93" s="138">
        <f t="shared" si="81"/>
        <v>0</v>
      </c>
      <c r="KD93" s="138">
        <f t="shared" si="81"/>
        <v>0</v>
      </c>
      <c r="KE93" s="138">
        <f t="shared" si="81"/>
        <v>0</v>
      </c>
      <c r="KF93" s="138">
        <f t="shared" si="81"/>
        <v>0</v>
      </c>
      <c r="KG93" s="138">
        <f t="shared" si="81"/>
        <v>0</v>
      </c>
      <c r="KH93" s="138">
        <f t="shared" si="81"/>
        <v>0</v>
      </c>
      <c r="KI93" s="138">
        <f t="shared" si="81"/>
        <v>0</v>
      </c>
      <c r="KJ93" s="138">
        <f t="shared" si="81"/>
        <v>0</v>
      </c>
      <c r="KK93" s="138">
        <f t="shared" si="81"/>
        <v>0</v>
      </c>
      <c r="KL93" s="138">
        <f t="shared" si="81"/>
        <v>0</v>
      </c>
      <c r="KM93" s="138">
        <f t="shared" si="81"/>
        <v>0</v>
      </c>
      <c r="KN93" s="138">
        <f t="shared" si="81"/>
        <v>0</v>
      </c>
      <c r="KO93" s="138">
        <f t="shared" si="81"/>
        <v>0</v>
      </c>
      <c r="KP93" s="138">
        <f t="shared" si="81"/>
        <v>0</v>
      </c>
      <c r="KQ93" s="138">
        <f t="shared" si="81"/>
        <v>0</v>
      </c>
      <c r="KR93" s="138">
        <f t="shared" si="81"/>
        <v>0</v>
      </c>
      <c r="KS93" s="138">
        <f t="shared" si="81"/>
        <v>0</v>
      </c>
      <c r="KT93" s="138">
        <f t="shared" si="81"/>
        <v>0</v>
      </c>
      <c r="KU93" s="138">
        <f t="shared" si="81"/>
        <v>0</v>
      </c>
      <c r="KV93" s="138">
        <f t="shared" si="81"/>
        <v>0</v>
      </c>
      <c r="KW93" s="138">
        <f t="shared" si="81"/>
        <v>0</v>
      </c>
      <c r="KX93" s="138">
        <f t="shared" si="81"/>
        <v>0</v>
      </c>
      <c r="KY93" s="138">
        <f t="shared" si="81"/>
        <v>0</v>
      </c>
      <c r="KZ93" s="138">
        <f t="shared" si="81"/>
        <v>0</v>
      </c>
      <c r="LA93" s="138">
        <f t="shared" si="81"/>
        <v>0</v>
      </c>
      <c r="LB93" s="138">
        <f t="shared" si="81"/>
        <v>0</v>
      </c>
      <c r="LC93" s="138">
        <f t="shared" si="81"/>
        <v>0</v>
      </c>
      <c r="LD93" s="138">
        <f t="shared" si="81"/>
        <v>0</v>
      </c>
      <c r="LE93" s="138">
        <f t="shared" si="81"/>
        <v>0</v>
      </c>
      <c r="LF93" s="138">
        <f t="shared" si="81"/>
        <v>0</v>
      </c>
      <c r="LG93" s="138">
        <f t="shared" si="81"/>
        <v>0</v>
      </c>
      <c r="LH93" s="138">
        <f t="shared" si="81"/>
        <v>0</v>
      </c>
      <c r="LI93" s="138">
        <f t="shared" si="81"/>
        <v>0</v>
      </c>
      <c r="LJ93" s="138">
        <f t="shared" si="81"/>
        <v>0</v>
      </c>
      <c r="LK93" s="138">
        <f t="shared" si="81"/>
        <v>0</v>
      </c>
      <c r="LL93" s="138">
        <f t="shared" si="81"/>
        <v>0</v>
      </c>
      <c r="LM93" s="138">
        <f t="shared" si="81"/>
        <v>0</v>
      </c>
      <c r="LN93" s="138">
        <f t="shared" ref="LN93:NY93" si="82">(($C26/12*OR(LN$66,LN$67)*LN68)+(($G26-$C26)/12*LN$67*LN75))*1000</f>
        <v>0</v>
      </c>
      <c r="LO93" s="138">
        <f t="shared" si="82"/>
        <v>0</v>
      </c>
      <c r="LP93" s="138">
        <f t="shared" si="82"/>
        <v>0</v>
      </c>
      <c r="LQ93" s="138">
        <f t="shared" si="82"/>
        <v>0</v>
      </c>
      <c r="LR93" s="138">
        <f t="shared" si="82"/>
        <v>0</v>
      </c>
      <c r="LS93" s="138">
        <f t="shared" si="82"/>
        <v>0</v>
      </c>
      <c r="LT93" s="138">
        <f t="shared" si="82"/>
        <v>0</v>
      </c>
      <c r="LU93" s="138">
        <f t="shared" si="82"/>
        <v>0</v>
      </c>
      <c r="LV93" s="138">
        <f t="shared" si="82"/>
        <v>0</v>
      </c>
      <c r="LW93" s="138">
        <f t="shared" si="82"/>
        <v>0</v>
      </c>
      <c r="LX93" s="138">
        <f t="shared" si="82"/>
        <v>0</v>
      </c>
      <c r="LY93" s="138">
        <f t="shared" si="82"/>
        <v>0</v>
      </c>
      <c r="LZ93" s="138">
        <f t="shared" si="82"/>
        <v>0</v>
      </c>
      <c r="MA93" s="138">
        <f t="shared" si="82"/>
        <v>0</v>
      </c>
      <c r="MB93" s="138">
        <f t="shared" si="82"/>
        <v>0</v>
      </c>
      <c r="MC93" s="138">
        <f t="shared" si="82"/>
        <v>0</v>
      </c>
      <c r="MD93" s="138">
        <f t="shared" si="82"/>
        <v>0</v>
      </c>
      <c r="ME93" s="138">
        <f t="shared" si="82"/>
        <v>0</v>
      </c>
      <c r="MF93" s="138">
        <f t="shared" si="82"/>
        <v>0</v>
      </c>
      <c r="MG93" s="138">
        <f t="shared" si="82"/>
        <v>0</v>
      </c>
      <c r="MH93" s="138">
        <f t="shared" si="82"/>
        <v>0</v>
      </c>
      <c r="MI93" s="138">
        <f t="shared" si="82"/>
        <v>0</v>
      </c>
      <c r="MJ93" s="138">
        <f t="shared" si="82"/>
        <v>0</v>
      </c>
      <c r="MK93" s="138">
        <f t="shared" si="82"/>
        <v>0</v>
      </c>
      <c r="ML93" s="138">
        <f t="shared" si="82"/>
        <v>0</v>
      </c>
      <c r="MM93" s="138">
        <f t="shared" si="82"/>
        <v>0</v>
      </c>
      <c r="MN93" s="138">
        <f t="shared" si="82"/>
        <v>0</v>
      </c>
      <c r="MO93" s="138">
        <f t="shared" si="82"/>
        <v>0</v>
      </c>
      <c r="MP93" s="138">
        <f t="shared" si="82"/>
        <v>0</v>
      </c>
      <c r="MQ93" s="138">
        <f t="shared" si="82"/>
        <v>0</v>
      </c>
      <c r="MR93" s="138">
        <f t="shared" si="82"/>
        <v>0</v>
      </c>
      <c r="MS93" s="138">
        <f t="shared" si="82"/>
        <v>0</v>
      </c>
      <c r="MT93" s="138">
        <f t="shared" si="82"/>
        <v>0</v>
      </c>
      <c r="MU93" s="138">
        <f t="shared" si="82"/>
        <v>0</v>
      </c>
      <c r="MV93" s="138">
        <f t="shared" si="82"/>
        <v>0</v>
      </c>
      <c r="MW93" s="138">
        <f t="shared" si="82"/>
        <v>0</v>
      </c>
      <c r="MX93" s="138">
        <f t="shared" si="82"/>
        <v>0</v>
      </c>
      <c r="MY93" s="138">
        <f t="shared" si="82"/>
        <v>0</v>
      </c>
      <c r="MZ93" s="138">
        <f t="shared" si="82"/>
        <v>0</v>
      </c>
      <c r="NA93" s="138">
        <f t="shared" si="82"/>
        <v>0</v>
      </c>
      <c r="NB93" s="138">
        <f t="shared" si="82"/>
        <v>0</v>
      </c>
      <c r="NC93" s="138">
        <f t="shared" si="82"/>
        <v>0</v>
      </c>
      <c r="ND93" s="138">
        <f t="shared" si="82"/>
        <v>0</v>
      </c>
      <c r="NE93" s="138">
        <f t="shared" si="82"/>
        <v>0</v>
      </c>
      <c r="NF93" s="138">
        <f t="shared" si="82"/>
        <v>0</v>
      </c>
      <c r="NG93" s="138">
        <f t="shared" si="82"/>
        <v>0</v>
      </c>
      <c r="NH93" s="138">
        <f t="shared" si="82"/>
        <v>0</v>
      </c>
      <c r="NI93" s="138">
        <f t="shared" si="82"/>
        <v>0</v>
      </c>
      <c r="NJ93" s="138">
        <f t="shared" si="82"/>
        <v>0</v>
      </c>
      <c r="NK93" s="138">
        <f t="shared" si="82"/>
        <v>0</v>
      </c>
      <c r="NL93" s="138">
        <f t="shared" si="82"/>
        <v>0</v>
      </c>
      <c r="NM93" s="138">
        <f t="shared" si="82"/>
        <v>0</v>
      </c>
      <c r="NN93" s="138">
        <f t="shared" si="82"/>
        <v>0</v>
      </c>
      <c r="NO93" s="138">
        <f t="shared" si="82"/>
        <v>0</v>
      </c>
      <c r="NP93" s="138">
        <f t="shared" si="82"/>
        <v>0</v>
      </c>
      <c r="NQ93" s="138">
        <f t="shared" si="82"/>
        <v>0</v>
      </c>
      <c r="NR93" s="138">
        <f t="shared" si="82"/>
        <v>0</v>
      </c>
      <c r="NS93" s="138">
        <f t="shared" si="82"/>
        <v>0</v>
      </c>
      <c r="NT93" s="138">
        <f t="shared" si="82"/>
        <v>0</v>
      </c>
      <c r="NU93" s="138">
        <f t="shared" si="82"/>
        <v>0</v>
      </c>
      <c r="NV93" s="138">
        <f t="shared" si="82"/>
        <v>0</v>
      </c>
      <c r="NW93" s="138">
        <f t="shared" si="82"/>
        <v>0</v>
      </c>
      <c r="NX93" s="138">
        <f t="shared" si="82"/>
        <v>0</v>
      </c>
      <c r="NY93" s="138">
        <f t="shared" si="82"/>
        <v>0</v>
      </c>
      <c r="NZ93" s="138">
        <f t="shared" ref="NZ93:QK93" si="83">(($C26/12*OR(NZ$66,NZ$67)*NZ68)+(($G26-$C26)/12*NZ$67*NZ75))*1000</f>
        <v>0</v>
      </c>
      <c r="OA93" s="138">
        <f t="shared" si="83"/>
        <v>0</v>
      </c>
      <c r="OB93" s="138">
        <f t="shared" si="83"/>
        <v>0</v>
      </c>
      <c r="OC93" s="138">
        <f t="shared" si="83"/>
        <v>0</v>
      </c>
      <c r="OD93" s="138">
        <f t="shared" si="83"/>
        <v>0</v>
      </c>
      <c r="OE93" s="138">
        <f t="shared" si="83"/>
        <v>0</v>
      </c>
      <c r="OF93" s="138">
        <f t="shared" si="83"/>
        <v>0</v>
      </c>
      <c r="OG93" s="138">
        <f t="shared" si="83"/>
        <v>0</v>
      </c>
      <c r="OH93" s="138">
        <f t="shared" si="83"/>
        <v>0</v>
      </c>
      <c r="OI93" s="138">
        <f t="shared" si="83"/>
        <v>0</v>
      </c>
      <c r="OJ93" s="138">
        <f t="shared" si="83"/>
        <v>0</v>
      </c>
      <c r="OK93" s="138">
        <f t="shared" si="83"/>
        <v>0</v>
      </c>
      <c r="OL93" s="138">
        <f t="shared" si="83"/>
        <v>0</v>
      </c>
      <c r="OM93" s="138">
        <f t="shared" si="83"/>
        <v>0</v>
      </c>
      <c r="ON93" s="138">
        <f t="shared" si="83"/>
        <v>0</v>
      </c>
      <c r="OO93" s="138">
        <f t="shared" si="83"/>
        <v>0</v>
      </c>
      <c r="OP93" s="138">
        <f t="shared" si="83"/>
        <v>0</v>
      </c>
      <c r="OQ93" s="138">
        <f t="shared" si="83"/>
        <v>0</v>
      </c>
      <c r="OR93" s="138">
        <f t="shared" si="83"/>
        <v>0</v>
      </c>
      <c r="OS93" s="138">
        <f t="shared" si="83"/>
        <v>0</v>
      </c>
      <c r="OT93" s="138">
        <f t="shared" si="83"/>
        <v>0</v>
      </c>
      <c r="OU93" s="138">
        <f t="shared" si="83"/>
        <v>0</v>
      </c>
      <c r="OV93" s="138">
        <f t="shared" si="83"/>
        <v>0</v>
      </c>
      <c r="OW93" s="138">
        <f t="shared" si="83"/>
        <v>0</v>
      </c>
      <c r="OX93" s="138">
        <f t="shared" si="83"/>
        <v>0</v>
      </c>
      <c r="OY93" s="138">
        <f t="shared" si="83"/>
        <v>0</v>
      </c>
      <c r="OZ93" s="138">
        <f t="shared" si="83"/>
        <v>0</v>
      </c>
      <c r="PA93" s="138">
        <f t="shared" si="83"/>
        <v>0</v>
      </c>
      <c r="PB93" s="138">
        <f t="shared" si="83"/>
        <v>0</v>
      </c>
      <c r="PC93" s="138">
        <f t="shared" si="83"/>
        <v>0</v>
      </c>
      <c r="PD93" s="138">
        <f t="shared" si="83"/>
        <v>0</v>
      </c>
      <c r="PE93" s="138">
        <f t="shared" si="83"/>
        <v>0</v>
      </c>
      <c r="PF93" s="138">
        <f t="shared" si="83"/>
        <v>0</v>
      </c>
      <c r="PG93" s="138">
        <f t="shared" si="83"/>
        <v>0</v>
      </c>
      <c r="PH93" s="138">
        <f t="shared" si="83"/>
        <v>0</v>
      </c>
      <c r="PI93" s="138">
        <f t="shared" si="83"/>
        <v>0</v>
      </c>
      <c r="PJ93" s="138">
        <f t="shared" si="83"/>
        <v>0</v>
      </c>
      <c r="PK93" s="138">
        <f t="shared" si="83"/>
        <v>0</v>
      </c>
      <c r="PL93" s="138">
        <f t="shared" si="83"/>
        <v>0</v>
      </c>
      <c r="PM93" s="138">
        <f t="shared" si="83"/>
        <v>0</v>
      </c>
      <c r="PN93" s="138">
        <f t="shared" si="83"/>
        <v>0</v>
      </c>
      <c r="PO93" s="138">
        <f t="shared" si="83"/>
        <v>0</v>
      </c>
      <c r="PP93" s="138">
        <f t="shared" si="83"/>
        <v>0</v>
      </c>
      <c r="PQ93" s="138">
        <f t="shared" si="83"/>
        <v>0</v>
      </c>
      <c r="PR93" s="138">
        <f t="shared" si="83"/>
        <v>0</v>
      </c>
      <c r="PS93" s="138">
        <f t="shared" si="83"/>
        <v>0</v>
      </c>
      <c r="PT93" s="138">
        <f t="shared" si="83"/>
        <v>0</v>
      </c>
      <c r="PU93" s="138">
        <f t="shared" si="83"/>
        <v>0</v>
      </c>
      <c r="PV93" s="138">
        <f t="shared" si="83"/>
        <v>0</v>
      </c>
      <c r="PW93" s="138">
        <f t="shared" si="83"/>
        <v>0</v>
      </c>
      <c r="PX93" s="138">
        <f t="shared" si="83"/>
        <v>0</v>
      </c>
      <c r="PY93" s="138">
        <f t="shared" si="83"/>
        <v>0</v>
      </c>
      <c r="PZ93" s="138">
        <f t="shared" si="83"/>
        <v>0</v>
      </c>
      <c r="QA93" s="138">
        <f t="shared" si="83"/>
        <v>0</v>
      </c>
      <c r="QB93" s="138">
        <f t="shared" si="83"/>
        <v>0</v>
      </c>
      <c r="QC93" s="138">
        <f t="shared" si="83"/>
        <v>0</v>
      </c>
      <c r="QD93" s="138">
        <f t="shared" si="83"/>
        <v>0</v>
      </c>
      <c r="QE93" s="138">
        <f t="shared" si="83"/>
        <v>0</v>
      </c>
      <c r="QF93" s="138">
        <f t="shared" si="83"/>
        <v>0</v>
      </c>
      <c r="QG93" s="138">
        <f t="shared" si="83"/>
        <v>0</v>
      </c>
      <c r="QH93" s="138">
        <f t="shared" si="83"/>
        <v>0</v>
      </c>
      <c r="QI93" s="138">
        <f t="shared" si="83"/>
        <v>0</v>
      </c>
      <c r="QJ93" s="138">
        <f t="shared" si="83"/>
        <v>0</v>
      </c>
      <c r="QK93" s="138">
        <f t="shared" si="83"/>
        <v>0</v>
      </c>
      <c r="QL93" s="138">
        <f t="shared" ref="QL93:RR93" si="84">(($C26/12*OR(QL$66,QL$67)*QL68)+(($G26-$C26)/12*QL$67*QL75))*1000</f>
        <v>0</v>
      </c>
      <c r="QM93" s="138">
        <f t="shared" si="84"/>
        <v>0</v>
      </c>
      <c r="QN93" s="138">
        <f t="shared" si="84"/>
        <v>0</v>
      </c>
      <c r="QO93" s="138">
        <f t="shared" si="84"/>
        <v>0</v>
      </c>
      <c r="QP93" s="138">
        <f t="shared" si="84"/>
        <v>0</v>
      </c>
      <c r="QQ93" s="138">
        <f t="shared" si="84"/>
        <v>0</v>
      </c>
      <c r="QR93" s="138">
        <f t="shared" si="84"/>
        <v>0</v>
      </c>
      <c r="QS93" s="138">
        <f t="shared" si="84"/>
        <v>0</v>
      </c>
      <c r="QT93" s="138">
        <f t="shared" si="84"/>
        <v>0</v>
      </c>
      <c r="QU93" s="138">
        <f t="shared" si="84"/>
        <v>0</v>
      </c>
      <c r="QV93" s="138">
        <f t="shared" si="84"/>
        <v>0</v>
      </c>
      <c r="QW93" s="138">
        <f t="shared" si="84"/>
        <v>0</v>
      </c>
      <c r="QX93" s="138">
        <f t="shared" si="84"/>
        <v>0</v>
      </c>
      <c r="QY93" s="138">
        <f t="shared" si="84"/>
        <v>0</v>
      </c>
      <c r="QZ93" s="138">
        <f t="shared" si="84"/>
        <v>0</v>
      </c>
      <c r="RA93" s="138">
        <f t="shared" si="84"/>
        <v>0</v>
      </c>
      <c r="RB93" s="138">
        <f t="shared" si="84"/>
        <v>0</v>
      </c>
      <c r="RC93" s="138">
        <f t="shared" si="84"/>
        <v>0</v>
      </c>
      <c r="RD93" s="138">
        <f t="shared" si="84"/>
        <v>0</v>
      </c>
      <c r="RE93" s="138">
        <f t="shared" si="84"/>
        <v>0</v>
      </c>
      <c r="RF93" s="138">
        <f t="shared" si="84"/>
        <v>0</v>
      </c>
      <c r="RG93" s="138">
        <f t="shared" si="84"/>
        <v>0</v>
      </c>
      <c r="RH93" s="138">
        <f t="shared" si="84"/>
        <v>0</v>
      </c>
      <c r="RI93" s="138">
        <f t="shared" si="84"/>
        <v>0</v>
      </c>
      <c r="RJ93" s="138">
        <f t="shared" si="84"/>
        <v>0</v>
      </c>
      <c r="RK93" s="138">
        <f t="shared" si="84"/>
        <v>0</v>
      </c>
      <c r="RL93" s="138">
        <f t="shared" si="84"/>
        <v>0</v>
      </c>
      <c r="RM93" s="138">
        <f t="shared" si="84"/>
        <v>0</v>
      </c>
      <c r="RN93" s="138">
        <f t="shared" si="84"/>
        <v>0</v>
      </c>
      <c r="RO93" s="138">
        <f t="shared" si="84"/>
        <v>0</v>
      </c>
      <c r="RP93" s="138">
        <f t="shared" si="84"/>
        <v>0</v>
      </c>
      <c r="RQ93" s="138">
        <f t="shared" si="84"/>
        <v>0</v>
      </c>
      <c r="RR93" s="138">
        <f t="shared" si="84"/>
        <v>0</v>
      </c>
    </row>
    <row r="94" spans="1:486" s="9" customFormat="1">
      <c r="A94" s="286"/>
      <c r="B94" s="39" t="s">
        <v>131</v>
      </c>
      <c r="E94" s="138">
        <f t="shared" ref="E94:BP94" si="85">(($C27/12*OR(E$66,E$67)*E69)+(($G27-$C27)/12*E$67*E76))*1000</f>
        <v>3514113.0695723682</v>
      </c>
      <c r="F94" s="138">
        <f t="shared" si="85"/>
        <v>3514113.0695723682</v>
      </c>
      <c r="G94" s="138">
        <f t="shared" si="85"/>
        <v>3514113.0695723682</v>
      </c>
      <c r="H94" s="138">
        <f t="shared" si="85"/>
        <v>3514113.0695723682</v>
      </c>
      <c r="I94" s="138">
        <f t="shared" si="85"/>
        <v>3514113.0695723682</v>
      </c>
      <c r="J94" s="138">
        <f t="shared" si="85"/>
        <v>3514113.0695723682</v>
      </c>
      <c r="K94" s="138">
        <f t="shared" si="85"/>
        <v>3514113.0695723682</v>
      </c>
      <c r="L94" s="138">
        <f t="shared" si="85"/>
        <v>3514113.0695723682</v>
      </c>
      <c r="M94" s="138">
        <f t="shared" si="85"/>
        <v>3514113.0695723682</v>
      </c>
      <c r="N94" s="138">
        <f t="shared" si="85"/>
        <v>3514113.0695723682</v>
      </c>
      <c r="O94" s="138">
        <f t="shared" si="85"/>
        <v>3514113.0695723682</v>
      </c>
      <c r="P94" s="138">
        <f t="shared" si="85"/>
        <v>3514113.0695723682</v>
      </c>
      <c r="Q94" s="138">
        <f t="shared" si="85"/>
        <v>3514113.0695723682</v>
      </c>
      <c r="R94" s="138">
        <f t="shared" si="85"/>
        <v>3514113.0695723682</v>
      </c>
      <c r="S94" s="138">
        <f t="shared" si="85"/>
        <v>3514113.0695723682</v>
      </c>
      <c r="T94" s="138">
        <f t="shared" si="85"/>
        <v>3514113.0695723682</v>
      </c>
      <c r="U94" s="138">
        <f t="shared" si="85"/>
        <v>3514113.0695723682</v>
      </c>
      <c r="V94" s="138">
        <f t="shared" si="85"/>
        <v>3514113.0695723682</v>
      </c>
      <c r="W94" s="138">
        <f t="shared" si="85"/>
        <v>3514113.0695723682</v>
      </c>
      <c r="X94" s="138">
        <f t="shared" si="85"/>
        <v>3514113.0695723682</v>
      </c>
      <c r="Y94" s="138">
        <f t="shared" si="85"/>
        <v>3514113.0695723682</v>
      </c>
      <c r="Z94" s="138">
        <f t="shared" si="85"/>
        <v>3514113.0695723682</v>
      </c>
      <c r="AA94" s="138">
        <f t="shared" si="85"/>
        <v>3514113.0695723682</v>
      </c>
      <c r="AB94" s="138">
        <f t="shared" si="85"/>
        <v>3514113.0695723682</v>
      </c>
      <c r="AC94" s="138">
        <f t="shared" si="85"/>
        <v>3514113.0695723682</v>
      </c>
      <c r="AD94" s="138">
        <f t="shared" si="85"/>
        <v>3514113.0695723682</v>
      </c>
      <c r="AE94" s="138">
        <f t="shared" si="85"/>
        <v>3514113.0695723682</v>
      </c>
      <c r="AF94" s="138">
        <f t="shared" si="85"/>
        <v>3514113.0695723682</v>
      </c>
      <c r="AG94" s="138">
        <f t="shared" si="85"/>
        <v>3514113.0695723682</v>
      </c>
      <c r="AH94" s="138">
        <f t="shared" si="85"/>
        <v>3514113.0695723682</v>
      </c>
      <c r="AI94" s="138">
        <f t="shared" si="85"/>
        <v>3514113.0695723682</v>
      </c>
      <c r="AJ94" s="138">
        <f t="shared" si="85"/>
        <v>3514113.0695723682</v>
      </c>
      <c r="AK94" s="138">
        <f t="shared" si="85"/>
        <v>3514113.0695723682</v>
      </c>
      <c r="AL94" s="138">
        <f t="shared" si="85"/>
        <v>3514113.0695723682</v>
      </c>
      <c r="AM94" s="138">
        <f t="shared" si="85"/>
        <v>3514113.0695723682</v>
      </c>
      <c r="AN94" s="138">
        <f t="shared" si="85"/>
        <v>3514113.0695723682</v>
      </c>
      <c r="AO94" s="138">
        <f t="shared" si="85"/>
        <v>3514113.0695723682</v>
      </c>
      <c r="AP94" s="138">
        <f t="shared" si="85"/>
        <v>3514113.0695723682</v>
      </c>
      <c r="AQ94" s="138">
        <f t="shared" si="85"/>
        <v>3514113.0695723682</v>
      </c>
      <c r="AR94" s="138">
        <f t="shared" si="85"/>
        <v>3514113.0695723682</v>
      </c>
      <c r="AS94" s="138">
        <f t="shared" si="85"/>
        <v>3514113.0695723682</v>
      </c>
      <c r="AT94" s="138">
        <f t="shared" si="85"/>
        <v>3514113.0695723682</v>
      </c>
      <c r="AU94" s="138">
        <f t="shared" si="85"/>
        <v>3514113.0695723682</v>
      </c>
      <c r="AV94" s="138">
        <f t="shared" si="85"/>
        <v>3514113.0695723682</v>
      </c>
      <c r="AW94" s="138">
        <f t="shared" si="85"/>
        <v>3514113.0695723682</v>
      </c>
      <c r="AX94" s="138">
        <f t="shared" si="85"/>
        <v>3514113.0695723682</v>
      </c>
      <c r="AY94" s="138">
        <f t="shared" si="85"/>
        <v>3514113.0695723682</v>
      </c>
      <c r="AZ94" s="138">
        <f t="shared" si="85"/>
        <v>3514113.0695723682</v>
      </c>
      <c r="BA94" s="138">
        <f t="shared" si="85"/>
        <v>3514113.0695723682</v>
      </c>
      <c r="BB94" s="138">
        <f t="shared" si="85"/>
        <v>3514113.0695723682</v>
      </c>
      <c r="BC94" s="138">
        <f t="shared" si="85"/>
        <v>3514113.0695723682</v>
      </c>
      <c r="BD94" s="138">
        <f t="shared" si="85"/>
        <v>3514113.0695723682</v>
      </c>
      <c r="BE94" s="138">
        <f t="shared" si="85"/>
        <v>3514113.0695723682</v>
      </c>
      <c r="BF94" s="138">
        <f t="shared" si="85"/>
        <v>3514113.0695723682</v>
      </c>
      <c r="BG94" s="138">
        <f t="shared" si="85"/>
        <v>3514113.0695723682</v>
      </c>
      <c r="BH94" s="138">
        <f t="shared" si="85"/>
        <v>3514113.0695723682</v>
      </c>
      <c r="BI94" s="138">
        <f t="shared" si="85"/>
        <v>3514113.0695723682</v>
      </c>
      <c r="BJ94" s="138">
        <f t="shared" si="85"/>
        <v>3514113.0695723682</v>
      </c>
      <c r="BK94" s="138">
        <f t="shared" si="85"/>
        <v>3514113.0695723682</v>
      </c>
      <c r="BL94" s="138">
        <f t="shared" si="85"/>
        <v>3514113.0695723682</v>
      </c>
      <c r="BM94" s="138">
        <f t="shared" si="85"/>
        <v>5826029.5627120845</v>
      </c>
      <c r="BN94" s="138">
        <f t="shared" si="85"/>
        <v>5826029.5627120845</v>
      </c>
      <c r="BO94" s="138">
        <f t="shared" si="85"/>
        <v>5826029.5627120845</v>
      </c>
      <c r="BP94" s="138">
        <f t="shared" si="85"/>
        <v>5826029.5627120845</v>
      </c>
      <c r="BQ94" s="138">
        <f t="shared" ref="BQ94:EB94" si="86">(($C27/12*OR(BQ$66,BQ$67)*BQ69)+(($G27-$C27)/12*BQ$67*BQ76))*1000</f>
        <v>5826029.5627120845</v>
      </c>
      <c r="BR94" s="138">
        <f t="shared" si="86"/>
        <v>5826029.5627120845</v>
      </c>
      <c r="BS94" s="138">
        <f t="shared" si="86"/>
        <v>5826029.5627120845</v>
      </c>
      <c r="BT94" s="138">
        <f t="shared" si="86"/>
        <v>5826029.5627120845</v>
      </c>
      <c r="BU94" s="138">
        <f t="shared" si="86"/>
        <v>5826029.5627120845</v>
      </c>
      <c r="BV94" s="138">
        <f t="shared" si="86"/>
        <v>5826029.5627120845</v>
      </c>
      <c r="BW94" s="138">
        <f t="shared" si="86"/>
        <v>5826029.5627120845</v>
      </c>
      <c r="BX94" s="138">
        <f t="shared" si="86"/>
        <v>5826029.5627120845</v>
      </c>
      <c r="BY94" s="138">
        <f t="shared" si="86"/>
        <v>5826029.5627120845</v>
      </c>
      <c r="BZ94" s="138">
        <f t="shared" si="86"/>
        <v>5826029.5627120845</v>
      </c>
      <c r="CA94" s="138">
        <f t="shared" si="86"/>
        <v>5826029.5627120845</v>
      </c>
      <c r="CB94" s="138">
        <f t="shared" si="86"/>
        <v>5826029.5627120845</v>
      </c>
      <c r="CC94" s="138">
        <f t="shared" si="86"/>
        <v>5826029.5627120845</v>
      </c>
      <c r="CD94" s="138">
        <f t="shared" si="86"/>
        <v>5826029.5627120845</v>
      </c>
      <c r="CE94" s="138">
        <f t="shared" si="86"/>
        <v>5826029.5627120845</v>
      </c>
      <c r="CF94" s="138">
        <f t="shared" si="86"/>
        <v>5826029.5627120845</v>
      </c>
      <c r="CG94" s="138">
        <f t="shared" si="86"/>
        <v>5826029.5627120845</v>
      </c>
      <c r="CH94" s="138">
        <f t="shared" si="86"/>
        <v>5826029.5627120845</v>
      </c>
      <c r="CI94" s="138">
        <f t="shared" si="86"/>
        <v>5826029.5627120845</v>
      </c>
      <c r="CJ94" s="138">
        <f t="shared" si="86"/>
        <v>5826029.5627120845</v>
      </c>
      <c r="CK94" s="138">
        <f t="shared" si="86"/>
        <v>5826029.5627120845</v>
      </c>
      <c r="CL94" s="138">
        <f t="shared" si="86"/>
        <v>5826029.5627120845</v>
      </c>
      <c r="CM94" s="138">
        <f t="shared" si="86"/>
        <v>5826029.5627120845</v>
      </c>
      <c r="CN94" s="138">
        <f t="shared" si="86"/>
        <v>5826029.5627120845</v>
      </c>
      <c r="CO94" s="138">
        <f t="shared" si="86"/>
        <v>5826029.5627120845</v>
      </c>
      <c r="CP94" s="138">
        <f t="shared" si="86"/>
        <v>5826029.5627120845</v>
      </c>
      <c r="CQ94" s="138">
        <f t="shared" si="86"/>
        <v>5826029.5627120845</v>
      </c>
      <c r="CR94" s="138">
        <f t="shared" si="86"/>
        <v>5826029.5627120845</v>
      </c>
      <c r="CS94" s="138">
        <f t="shared" si="86"/>
        <v>5826029.5627120845</v>
      </c>
      <c r="CT94" s="138">
        <f t="shared" si="86"/>
        <v>5826029.5627120845</v>
      </c>
      <c r="CU94" s="138">
        <f t="shared" si="86"/>
        <v>5826029.5627120845</v>
      </c>
      <c r="CV94" s="138">
        <f t="shared" si="86"/>
        <v>5826029.5627120845</v>
      </c>
      <c r="CW94" s="138">
        <f t="shared" si="86"/>
        <v>5826029.5627120845</v>
      </c>
      <c r="CX94" s="138">
        <f t="shared" si="86"/>
        <v>5826029.5627120845</v>
      </c>
      <c r="CY94" s="138">
        <f t="shared" si="86"/>
        <v>5826029.5627120845</v>
      </c>
      <c r="CZ94" s="138">
        <f t="shared" si="86"/>
        <v>5826029.5627120845</v>
      </c>
      <c r="DA94" s="138">
        <f t="shared" si="86"/>
        <v>5826029.5627120845</v>
      </c>
      <c r="DB94" s="138">
        <f t="shared" si="86"/>
        <v>5826029.5627120845</v>
      </c>
      <c r="DC94" s="138">
        <f t="shared" si="86"/>
        <v>5826029.5627120845</v>
      </c>
      <c r="DD94" s="138">
        <f t="shared" si="86"/>
        <v>5826029.5627120845</v>
      </c>
      <c r="DE94" s="138">
        <f t="shared" si="86"/>
        <v>5826029.5627120845</v>
      </c>
      <c r="DF94" s="138">
        <f t="shared" si="86"/>
        <v>5826029.5627120845</v>
      </c>
      <c r="DG94" s="138">
        <f t="shared" si="86"/>
        <v>5826029.5627120845</v>
      </c>
      <c r="DH94" s="138">
        <f t="shared" si="86"/>
        <v>5826029.5627120845</v>
      </c>
      <c r="DI94" s="138">
        <f t="shared" si="86"/>
        <v>5826029.5627120845</v>
      </c>
      <c r="DJ94" s="138">
        <f t="shared" si="86"/>
        <v>5826029.5627120845</v>
      </c>
      <c r="DK94" s="138">
        <f t="shared" si="86"/>
        <v>5826029.5627120845</v>
      </c>
      <c r="DL94" s="138">
        <f t="shared" si="86"/>
        <v>5826029.5627120845</v>
      </c>
      <c r="DM94" s="138">
        <f t="shared" si="86"/>
        <v>5826029.5627120845</v>
      </c>
      <c r="DN94" s="138">
        <f t="shared" si="86"/>
        <v>5826029.5627120845</v>
      </c>
      <c r="DO94" s="138">
        <f t="shared" si="86"/>
        <v>5826029.5627120845</v>
      </c>
      <c r="DP94" s="138">
        <f t="shared" si="86"/>
        <v>5826029.5627120845</v>
      </c>
      <c r="DQ94" s="138">
        <f t="shared" si="86"/>
        <v>5826029.5627120845</v>
      </c>
      <c r="DR94" s="138">
        <f t="shared" si="86"/>
        <v>5826029.5627120845</v>
      </c>
      <c r="DS94" s="138">
        <f t="shared" si="86"/>
        <v>5826029.5627120845</v>
      </c>
      <c r="DT94" s="138">
        <f t="shared" si="86"/>
        <v>5826029.5627120845</v>
      </c>
      <c r="DU94" s="138">
        <f t="shared" si="86"/>
        <v>5826029.5627120845</v>
      </c>
      <c r="DV94" s="138">
        <f t="shared" si="86"/>
        <v>5826029.5627120845</v>
      </c>
      <c r="DW94" s="138">
        <f t="shared" si="86"/>
        <v>5826029.5627120845</v>
      </c>
      <c r="DX94" s="138">
        <f t="shared" si="86"/>
        <v>5826029.5627120845</v>
      </c>
      <c r="DY94" s="138">
        <f t="shared" si="86"/>
        <v>5826029.5627120845</v>
      </c>
      <c r="DZ94" s="138">
        <f t="shared" si="86"/>
        <v>5826029.5627120845</v>
      </c>
      <c r="EA94" s="138">
        <f t="shared" si="86"/>
        <v>5826029.5627120845</v>
      </c>
      <c r="EB94" s="138">
        <f t="shared" si="86"/>
        <v>5826029.5627120845</v>
      </c>
      <c r="EC94" s="138">
        <f t="shared" ref="EC94:GN94" si="87">(($C27/12*OR(EC$66,EC$67)*EC69)+(($G27-$C27)/12*EC$67*EC76))*1000</f>
        <v>5826029.5627120845</v>
      </c>
      <c r="ED94" s="138">
        <f t="shared" si="87"/>
        <v>5826029.5627120845</v>
      </c>
      <c r="EE94" s="138">
        <f t="shared" si="87"/>
        <v>5826029.5627120845</v>
      </c>
      <c r="EF94" s="138">
        <f t="shared" si="87"/>
        <v>5826029.5627120845</v>
      </c>
      <c r="EG94" s="138">
        <f t="shared" si="87"/>
        <v>5826029.5627120845</v>
      </c>
      <c r="EH94" s="138">
        <f t="shared" si="87"/>
        <v>5826029.5627120845</v>
      </c>
      <c r="EI94" s="138">
        <f t="shared" si="87"/>
        <v>5826029.5627120845</v>
      </c>
      <c r="EJ94" s="138">
        <f t="shared" si="87"/>
        <v>5826029.5627120845</v>
      </c>
      <c r="EK94" s="138">
        <f t="shared" si="87"/>
        <v>5826029.5627120845</v>
      </c>
      <c r="EL94" s="138">
        <f t="shared" si="87"/>
        <v>5826029.5627120845</v>
      </c>
      <c r="EM94" s="138">
        <f t="shared" si="87"/>
        <v>5826029.5627120845</v>
      </c>
      <c r="EN94" s="138">
        <f t="shared" si="87"/>
        <v>5826029.5627120845</v>
      </c>
      <c r="EO94" s="138">
        <f t="shared" si="87"/>
        <v>5826029.5627120845</v>
      </c>
      <c r="EP94" s="138">
        <f t="shared" si="87"/>
        <v>5826029.5627120845</v>
      </c>
      <c r="EQ94" s="138">
        <f t="shared" si="87"/>
        <v>5826029.5627120845</v>
      </c>
      <c r="ER94" s="138">
        <f t="shared" si="87"/>
        <v>5826029.5627120845</v>
      </c>
      <c r="ES94" s="138">
        <f t="shared" si="87"/>
        <v>5826029.5627120845</v>
      </c>
      <c r="ET94" s="138">
        <f t="shared" si="87"/>
        <v>5826029.5627120845</v>
      </c>
      <c r="EU94" s="138">
        <f t="shared" si="87"/>
        <v>5826029.5627120845</v>
      </c>
      <c r="EV94" s="138">
        <f t="shared" si="87"/>
        <v>5826029.5627120845</v>
      </c>
      <c r="EW94" s="138">
        <f t="shared" si="87"/>
        <v>5826029.5627120845</v>
      </c>
      <c r="EX94" s="138">
        <f t="shared" si="87"/>
        <v>5826029.5627120845</v>
      </c>
      <c r="EY94" s="138">
        <f t="shared" si="87"/>
        <v>5826029.5627120845</v>
      </c>
      <c r="EZ94" s="138">
        <f t="shared" si="87"/>
        <v>5826029.5627120845</v>
      </c>
      <c r="FA94" s="138">
        <f t="shared" si="87"/>
        <v>5826029.5627120845</v>
      </c>
      <c r="FB94" s="138">
        <f t="shared" si="87"/>
        <v>5826029.5627120845</v>
      </c>
      <c r="FC94" s="138">
        <f t="shared" si="87"/>
        <v>5826029.5627120845</v>
      </c>
      <c r="FD94" s="138">
        <f t="shared" si="87"/>
        <v>5826029.5627120845</v>
      </c>
      <c r="FE94" s="138">
        <f t="shared" si="87"/>
        <v>5826029.5627120845</v>
      </c>
      <c r="FF94" s="138">
        <f t="shared" si="87"/>
        <v>5826029.5627120845</v>
      </c>
      <c r="FG94" s="138">
        <f t="shared" si="87"/>
        <v>5826029.5627120845</v>
      </c>
      <c r="FH94" s="138">
        <f t="shared" si="87"/>
        <v>5826029.5627120845</v>
      </c>
      <c r="FI94" s="138">
        <f t="shared" si="87"/>
        <v>5826029.5627120845</v>
      </c>
      <c r="FJ94" s="138">
        <f t="shared" si="87"/>
        <v>5826029.5627120845</v>
      </c>
      <c r="FK94" s="138">
        <f t="shared" si="87"/>
        <v>5826029.5627120845</v>
      </c>
      <c r="FL94" s="138">
        <f t="shared" si="87"/>
        <v>5826029.5627120845</v>
      </c>
      <c r="FM94" s="138">
        <f t="shared" si="87"/>
        <v>5826029.5627120845</v>
      </c>
      <c r="FN94" s="138">
        <f t="shared" si="87"/>
        <v>5826029.5627120845</v>
      </c>
      <c r="FO94" s="138">
        <f t="shared" si="87"/>
        <v>5826029.5627120845</v>
      </c>
      <c r="FP94" s="138">
        <f t="shared" si="87"/>
        <v>5826029.5627120845</v>
      </c>
      <c r="FQ94" s="138">
        <f t="shared" si="87"/>
        <v>5826029.5627120845</v>
      </c>
      <c r="FR94" s="138">
        <f t="shared" si="87"/>
        <v>5826029.5627120845</v>
      </c>
      <c r="FS94" s="138">
        <f t="shared" si="87"/>
        <v>5826029.5627120845</v>
      </c>
      <c r="FT94" s="138">
        <f t="shared" si="87"/>
        <v>5826029.5627120845</v>
      </c>
      <c r="FU94" s="138">
        <f t="shared" si="87"/>
        <v>5826029.5627120845</v>
      </c>
      <c r="FV94" s="138">
        <f t="shared" si="87"/>
        <v>5826029.5627120845</v>
      </c>
      <c r="FW94" s="138">
        <f t="shared" si="87"/>
        <v>5826029.5627120845</v>
      </c>
      <c r="FX94" s="138">
        <f t="shared" si="87"/>
        <v>5826029.5627120845</v>
      </c>
      <c r="FY94" s="138">
        <f t="shared" si="87"/>
        <v>5826029.5627120845</v>
      </c>
      <c r="FZ94" s="138">
        <f t="shared" si="87"/>
        <v>5826029.5627120845</v>
      </c>
      <c r="GA94" s="138">
        <f t="shared" si="87"/>
        <v>5826029.5627120845</v>
      </c>
      <c r="GB94" s="138">
        <f t="shared" si="87"/>
        <v>5826029.5627120845</v>
      </c>
      <c r="GC94" s="138">
        <f t="shared" si="87"/>
        <v>5826029.5627120845</v>
      </c>
      <c r="GD94" s="138">
        <f t="shared" si="87"/>
        <v>5826029.5627120845</v>
      </c>
      <c r="GE94" s="138">
        <f t="shared" si="87"/>
        <v>5826029.5627120845</v>
      </c>
      <c r="GF94" s="138">
        <f t="shared" si="87"/>
        <v>5826029.5627120845</v>
      </c>
      <c r="GG94" s="138">
        <f t="shared" si="87"/>
        <v>5826029.5627120845</v>
      </c>
      <c r="GH94" s="138">
        <f t="shared" si="87"/>
        <v>5826029.5627120845</v>
      </c>
      <c r="GI94" s="138">
        <f t="shared" si="87"/>
        <v>5826029.5627120845</v>
      </c>
      <c r="GJ94" s="138">
        <f t="shared" si="87"/>
        <v>5826029.5627120845</v>
      </c>
      <c r="GK94" s="138">
        <f t="shared" si="87"/>
        <v>5826029.5627120845</v>
      </c>
      <c r="GL94" s="138">
        <f t="shared" si="87"/>
        <v>5826029.5627120845</v>
      </c>
      <c r="GM94" s="138">
        <f t="shared" si="87"/>
        <v>5826029.5627120845</v>
      </c>
      <c r="GN94" s="138">
        <f t="shared" si="87"/>
        <v>5826029.5627120845</v>
      </c>
      <c r="GO94" s="138">
        <f t="shared" ref="GO94:IZ94" si="88">(($C27/12*OR(GO$66,GO$67)*GO69)+(($G27-$C27)/12*GO$67*GO76))*1000</f>
        <v>5826029.5627120845</v>
      </c>
      <c r="GP94" s="138">
        <f t="shared" si="88"/>
        <v>5826029.5627120845</v>
      </c>
      <c r="GQ94" s="138">
        <f t="shared" si="88"/>
        <v>5826029.5627120845</v>
      </c>
      <c r="GR94" s="138">
        <f t="shared" si="88"/>
        <v>5826029.5627120845</v>
      </c>
      <c r="GS94" s="138">
        <f t="shared" si="88"/>
        <v>5826029.5627120845</v>
      </c>
      <c r="GT94" s="138">
        <f t="shared" si="88"/>
        <v>5826029.5627120845</v>
      </c>
      <c r="GU94" s="138">
        <f t="shared" si="88"/>
        <v>5826029.5627120845</v>
      </c>
      <c r="GV94" s="138">
        <f t="shared" si="88"/>
        <v>5826029.5627120845</v>
      </c>
      <c r="GW94" s="138">
        <f t="shared" si="88"/>
        <v>5826029.5627120845</v>
      </c>
      <c r="GX94" s="138">
        <f t="shared" si="88"/>
        <v>5826029.5627120845</v>
      </c>
      <c r="GY94" s="138">
        <f t="shared" si="88"/>
        <v>5826029.5627120845</v>
      </c>
      <c r="GZ94" s="138">
        <f t="shared" si="88"/>
        <v>5826029.5627120845</v>
      </c>
      <c r="HA94" s="138">
        <f t="shared" si="88"/>
        <v>5826029.5627120845</v>
      </c>
      <c r="HB94" s="138">
        <f t="shared" si="88"/>
        <v>5826029.5627120845</v>
      </c>
      <c r="HC94" s="138">
        <f t="shared" si="88"/>
        <v>5826029.5627120845</v>
      </c>
      <c r="HD94" s="138">
        <f t="shared" si="88"/>
        <v>5826029.5627120845</v>
      </c>
      <c r="HE94" s="138">
        <f t="shared" si="88"/>
        <v>5826029.5627120845</v>
      </c>
      <c r="HF94" s="138">
        <f t="shared" si="88"/>
        <v>5826029.5627120845</v>
      </c>
      <c r="HG94" s="138">
        <f t="shared" si="88"/>
        <v>5826029.5627120845</v>
      </c>
      <c r="HH94" s="138">
        <f t="shared" si="88"/>
        <v>5826029.5627120845</v>
      </c>
      <c r="HI94" s="138">
        <f t="shared" si="88"/>
        <v>5826029.5627120845</v>
      </c>
      <c r="HJ94" s="138">
        <f t="shared" si="88"/>
        <v>5826029.5627120845</v>
      </c>
      <c r="HK94" s="138">
        <f t="shared" si="88"/>
        <v>5826029.5627120845</v>
      </c>
      <c r="HL94" s="138">
        <f t="shared" si="88"/>
        <v>5826029.5627120845</v>
      </c>
      <c r="HM94" s="138">
        <f t="shared" si="88"/>
        <v>5826029.5627120845</v>
      </c>
      <c r="HN94" s="138">
        <f t="shared" si="88"/>
        <v>5826029.5627120845</v>
      </c>
      <c r="HO94" s="138">
        <f t="shared" si="88"/>
        <v>5826029.5627120845</v>
      </c>
      <c r="HP94" s="138">
        <f t="shared" si="88"/>
        <v>5826029.5627120845</v>
      </c>
      <c r="HQ94" s="138">
        <f t="shared" si="88"/>
        <v>5826029.5627120845</v>
      </c>
      <c r="HR94" s="138">
        <f t="shared" si="88"/>
        <v>5826029.5627120845</v>
      </c>
      <c r="HS94" s="138">
        <f t="shared" si="88"/>
        <v>5826029.5627120845</v>
      </c>
      <c r="HT94" s="138">
        <f t="shared" si="88"/>
        <v>5826029.5627120845</v>
      </c>
      <c r="HU94" s="138">
        <f t="shared" si="88"/>
        <v>5826029.5627120845</v>
      </c>
      <c r="HV94" s="138">
        <f t="shared" si="88"/>
        <v>5826029.5627120845</v>
      </c>
      <c r="HW94" s="138">
        <f t="shared" si="88"/>
        <v>5826029.5627120845</v>
      </c>
      <c r="HX94" s="138">
        <f t="shared" si="88"/>
        <v>5826029.5627120845</v>
      </c>
      <c r="HY94" s="138">
        <f t="shared" si="88"/>
        <v>5826029.5627120845</v>
      </c>
      <c r="HZ94" s="138">
        <f t="shared" si="88"/>
        <v>5826029.5627120845</v>
      </c>
      <c r="IA94" s="138">
        <f t="shared" si="88"/>
        <v>5826029.5627120845</v>
      </c>
      <c r="IB94" s="138">
        <f t="shared" si="88"/>
        <v>5826029.5627120845</v>
      </c>
      <c r="IC94" s="138">
        <f t="shared" si="88"/>
        <v>5826029.5627120845</v>
      </c>
      <c r="ID94" s="138">
        <f t="shared" si="88"/>
        <v>5826029.5627120845</v>
      </c>
      <c r="IE94" s="138">
        <f t="shared" si="88"/>
        <v>5826029.5627120845</v>
      </c>
      <c r="IF94" s="138">
        <f t="shared" si="88"/>
        <v>5826029.5627120845</v>
      </c>
      <c r="IG94" s="138">
        <f t="shared" si="88"/>
        <v>5826029.5627120845</v>
      </c>
      <c r="IH94" s="138">
        <f t="shared" si="88"/>
        <v>5826029.5627120845</v>
      </c>
      <c r="II94" s="138">
        <f t="shared" si="88"/>
        <v>5826029.5627120845</v>
      </c>
      <c r="IJ94" s="138">
        <f t="shared" si="88"/>
        <v>5826029.5627120845</v>
      </c>
      <c r="IK94" s="138">
        <f t="shared" si="88"/>
        <v>0</v>
      </c>
      <c r="IL94" s="138">
        <f t="shared" si="88"/>
        <v>0</v>
      </c>
      <c r="IM94" s="138">
        <f t="shared" si="88"/>
        <v>0</v>
      </c>
      <c r="IN94" s="138">
        <f t="shared" si="88"/>
        <v>0</v>
      </c>
      <c r="IO94" s="138">
        <f t="shared" si="88"/>
        <v>0</v>
      </c>
      <c r="IP94" s="138">
        <f t="shared" si="88"/>
        <v>0</v>
      </c>
      <c r="IQ94" s="138">
        <f t="shared" si="88"/>
        <v>0</v>
      </c>
      <c r="IR94" s="138">
        <f t="shared" si="88"/>
        <v>0</v>
      </c>
      <c r="IS94" s="138">
        <f t="shared" si="88"/>
        <v>0</v>
      </c>
      <c r="IT94" s="138">
        <f t="shared" si="88"/>
        <v>0</v>
      </c>
      <c r="IU94" s="138">
        <f t="shared" si="88"/>
        <v>0</v>
      </c>
      <c r="IV94" s="138">
        <f t="shared" si="88"/>
        <v>0</v>
      </c>
      <c r="IW94" s="138">
        <f t="shared" si="88"/>
        <v>0</v>
      </c>
      <c r="IX94" s="138">
        <f t="shared" si="88"/>
        <v>0</v>
      </c>
      <c r="IY94" s="138">
        <f t="shared" si="88"/>
        <v>0</v>
      </c>
      <c r="IZ94" s="138">
        <f t="shared" si="88"/>
        <v>0</v>
      </c>
      <c r="JA94" s="138">
        <f t="shared" ref="JA94:LL94" si="89">(($C27/12*OR(JA$66,JA$67)*JA69)+(($G27-$C27)/12*JA$67*JA76))*1000</f>
        <v>0</v>
      </c>
      <c r="JB94" s="138">
        <f t="shared" si="89"/>
        <v>0</v>
      </c>
      <c r="JC94" s="138">
        <f t="shared" si="89"/>
        <v>0</v>
      </c>
      <c r="JD94" s="138">
        <f t="shared" si="89"/>
        <v>0</v>
      </c>
      <c r="JE94" s="138">
        <f t="shared" si="89"/>
        <v>0</v>
      </c>
      <c r="JF94" s="138">
        <f t="shared" si="89"/>
        <v>0</v>
      </c>
      <c r="JG94" s="138">
        <f t="shared" si="89"/>
        <v>0</v>
      </c>
      <c r="JH94" s="138">
        <f t="shared" si="89"/>
        <v>0</v>
      </c>
      <c r="JI94" s="138">
        <f t="shared" si="89"/>
        <v>0</v>
      </c>
      <c r="JJ94" s="138">
        <f t="shared" si="89"/>
        <v>0</v>
      </c>
      <c r="JK94" s="138">
        <f t="shared" si="89"/>
        <v>0</v>
      </c>
      <c r="JL94" s="138">
        <f t="shared" si="89"/>
        <v>0</v>
      </c>
      <c r="JM94" s="138">
        <f t="shared" si="89"/>
        <v>0</v>
      </c>
      <c r="JN94" s="138">
        <f t="shared" si="89"/>
        <v>0</v>
      </c>
      <c r="JO94" s="138">
        <f t="shared" si="89"/>
        <v>0</v>
      </c>
      <c r="JP94" s="138">
        <f t="shared" si="89"/>
        <v>0</v>
      </c>
      <c r="JQ94" s="138">
        <f t="shared" si="89"/>
        <v>0</v>
      </c>
      <c r="JR94" s="138">
        <f t="shared" si="89"/>
        <v>0</v>
      </c>
      <c r="JS94" s="138">
        <f t="shared" si="89"/>
        <v>0</v>
      </c>
      <c r="JT94" s="138">
        <f t="shared" si="89"/>
        <v>0</v>
      </c>
      <c r="JU94" s="138">
        <f t="shared" si="89"/>
        <v>0</v>
      </c>
      <c r="JV94" s="138">
        <f t="shared" si="89"/>
        <v>0</v>
      </c>
      <c r="JW94" s="138">
        <f t="shared" si="89"/>
        <v>0</v>
      </c>
      <c r="JX94" s="138">
        <f t="shared" si="89"/>
        <v>0</v>
      </c>
      <c r="JY94" s="138">
        <f t="shared" si="89"/>
        <v>0</v>
      </c>
      <c r="JZ94" s="138">
        <f t="shared" si="89"/>
        <v>0</v>
      </c>
      <c r="KA94" s="138">
        <f t="shared" si="89"/>
        <v>0</v>
      </c>
      <c r="KB94" s="138">
        <f t="shared" si="89"/>
        <v>0</v>
      </c>
      <c r="KC94" s="138">
        <f t="shared" si="89"/>
        <v>0</v>
      </c>
      <c r="KD94" s="138">
        <f t="shared" si="89"/>
        <v>0</v>
      </c>
      <c r="KE94" s="138">
        <f t="shared" si="89"/>
        <v>0</v>
      </c>
      <c r="KF94" s="138">
        <f t="shared" si="89"/>
        <v>0</v>
      </c>
      <c r="KG94" s="138">
        <f t="shared" si="89"/>
        <v>0</v>
      </c>
      <c r="KH94" s="138">
        <f t="shared" si="89"/>
        <v>0</v>
      </c>
      <c r="KI94" s="138">
        <f t="shared" si="89"/>
        <v>0</v>
      </c>
      <c r="KJ94" s="138">
        <f t="shared" si="89"/>
        <v>0</v>
      </c>
      <c r="KK94" s="138">
        <f t="shared" si="89"/>
        <v>0</v>
      </c>
      <c r="KL94" s="138">
        <f t="shared" si="89"/>
        <v>0</v>
      </c>
      <c r="KM94" s="138">
        <f t="shared" si="89"/>
        <v>0</v>
      </c>
      <c r="KN94" s="138">
        <f t="shared" si="89"/>
        <v>0</v>
      </c>
      <c r="KO94" s="138">
        <f t="shared" si="89"/>
        <v>0</v>
      </c>
      <c r="KP94" s="138">
        <f t="shared" si="89"/>
        <v>0</v>
      </c>
      <c r="KQ94" s="138">
        <f t="shared" si="89"/>
        <v>0</v>
      </c>
      <c r="KR94" s="138">
        <f t="shared" si="89"/>
        <v>0</v>
      </c>
      <c r="KS94" s="138">
        <f t="shared" si="89"/>
        <v>0</v>
      </c>
      <c r="KT94" s="138">
        <f t="shared" si="89"/>
        <v>0</v>
      </c>
      <c r="KU94" s="138">
        <f t="shared" si="89"/>
        <v>0</v>
      </c>
      <c r="KV94" s="138">
        <f t="shared" si="89"/>
        <v>0</v>
      </c>
      <c r="KW94" s="138">
        <f t="shared" si="89"/>
        <v>0</v>
      </c>
      <c r="KX94" s="138">
        <f t="shared" si="89"/>
        <v>0</v>
      </c>
      <c r="KY94" s="138">
        <f t="shared" si="89"/>
        <v>0</v>
      </c>
      <c r="KZ94" s="138">
        <f t="shared" si="89"/>
        <v>0</v>
      </c>
      <c r="LA94" s="138">
        <f t="shared" si="89"/>
        <v>0</v>
      </c>
      <c r="LB94" s="138">
        <f t="shared" si="89"/>
        <v>0</v>
      </c>
      <c r="LC94" s="138">
        <f t="shared" si="89"/>
        <v>0</v>
      </c>
      <c r="LD94" s="138">
        <f t="shared" si="89"/>
        <v>0</v>
      </c>
      <c r="LE94" s="138">
        <f t="shared" si="89"/>
        <v>0</v>
      </c>
      <c r="LF94" s="138">
        <f t="shared" si="89"/>
        <v>0</v>
      </c>
      <c r="LG94" s="138">
        <f t="shared" si="89"/>
        <v>0</v>
      </c>
      <c r="LH94" s="138">
        <f t="shared" si="89"/>
        <v>0</v>
      </c>
      <c r="LI94" s="138">
        <f t="shared" si="89"/>
        <v>0</v>
      </c>
      <c r="LJ94" s="138">
        <f t="shared" si="89"/>
        <v>0</v>
      </c>
      <c r="LK94" s="138">
        <f t="shared" si="89"/>
        <v>0</v>
      </c>
      <c r="LL94" s="138">
        <f t="shared" si="89"/>
        <v>0</v>
      </c>
      <c r="LM94" s="138">
        <f t="shared" ref="LM94:NX94" si="90">(($C27/12*OR(LM$66,LM$67)*LM69)+(($G27-$C27)/12*LM$67*LM76))*1000</f>
        <v>0</v>
      </c>
      <c r="LN94" s="138">
        <f t="shared" si="90"/>
        <v>0</v>
      </c>
      <c r="LO94" s="138">
        <f t="shared" si="90"/>
        <v>0</v>
      </c>
      <c r="LP94" s="138">
        <f t="shared" si="90"/>
        <v>0</v>
      </c>
      <c r="LQ94" s="138">
        <f t="shared" si="90"/>
        <v>0</v>
      </c>
      <c r="LR94" s="138">
        <f t="shared" si="90"/>
        <v>0</v>
      </c>
      <c r="LS94" s="138">
        <f t="shared" si="90"/>
        <v>0</v>
      </c>
      <c r="LT94" s="138">
        <f t="shared" si="90"/>
        <v>0</v>
      </c>
      <c r="LU94" s="138">
        <f t="shared" si="90"/>
        <v>0</v>
      </c>
      <c r="LV94" s="138">
        <f t="shared" si="90"/>
        <v>0</v>
      </c>
      <c r="LW94" s="138">
        <f t="shared" si="90"/>
        <v>0</v>
      </c>
      <c r="LX94" s="138">
        <f t="shared" si="90"/>
        <v>0</v>
      </c>
      <c r="LY94" s="138">
        <f t="shared" si="90"/>
        <v>0</v>
      </c>
      <c r="LZ94" s="138">
        <f t="shared" si="90"/>
        <v>0</v>
      </c>
      <c r="MA94" s="138">
        <f t="shared" si="90"/>
        <v>0</v>
      </c>
      <c r="MB94" s="138">
        <f t="shared" si="90"/>
        <v>0</v>
      </c>
      <c r="MC94" s="138">
        <f t="shared" si="90"/>
        <v>0</v>
      </c>
      <c r="MD94" s="138">
        <f t="shared" si="90"/>
        <v>0</v>
      </c>
      <c r="ME94" s="138">
        <f t="shared" si="90"/>
        <v>0</v>
      </c>
      <c r="MF94" s="138">
        <f t="shared" si="90"/>
        <v>0</v>
      </c>
      <c r="MG94" s="138">
        <f t="shared" si="90"/>
        <v>0</v>
      </c>
      <c r="MH94" s="138">
        <f t="shared" si="90"/>
        <v>0</v>
      </c>
      <c r="MI94" s="138">
        <f t="shared" si="90"/>
        <v>0</v>
      </c>
      <c r="MJ94" s="138">
        <f t="shared" si="90"/>
        <v>0</v>
      </c>
      <c r="MK94" s="138">
        <f t="shared" si="90"/>
        <v>0</v>
      </c>
      <c r="ML94" s="138">
        <f t="shared" si="90"/>
        <v>0</v>
      </c>
      <c r="MM94" s="138">
        <f t="shared" si="90"/>
        <v>0</v>
      </c>
      <c r="MN94" s="138">
        <f t="shared" si="90"/>
        <v>0</v>
      </c>
      <c r="MO94" s="138">
        <f t="shared" si="90"/>
        <v>0</v>
      </c>
      <c r="MP94" s="138">
        <f t="shared" si="90"/>
        <v>0</v>
      </c>
      <c r="MQ94" s="138">
        <f t="shared" si="90"/>
        <v>0</v>
      </c>
      <c r="MR94" s="138">
        <f t="shared" si="90"/>
        <v>0</v>
      </c>
      <c r="MS94" s="138">
        <f t="shared" si="90"/>
        <v>0</v>
      </c>
      <c r="MT94" s="138">
        <f t="shared" si="90"/>
        <v>0</v>
      </c>
      <c r="MU94" s="138">
        <f t="shared" si="90"/>
        <v>0</v>
      </c>
      <c r="MV94" s="138">
        <f t="shared" si="90"/>
        <v>0</v>
      </c>
      <c r="MW94" s="138">
        <f t="shared" si="90"/>
        <v>0</v>
      </c>
      <c r="MX94" s="138">
        <f t="shared" si="90"/>
        <v>0</v>
      </c>
      <c r="MY94" s="138">
        <f t="shared" si="90"/>
        <v>0</v>
      </c>
      <c r="MZ94" s="138">
        <f t="shared" si="90"/>
        <v>0</v>
      </c>
      <c r="NA94" s="138">
        <f t="shared" si="90"/>
        <v>0</v>
      </c>
      <c r="NB94" s="138">
        <f t="shared" si="90"/>
        <v>0</v>
      </c>
      <c r="NC94" s="138">
        <f t="shared" si="90"/>
        <v>0</v>
      </c>
      <c r="ND94" s="138">
        <f t="shared" si="90"/>
        <v>0</v>
      </c>
      <c r="NE94" s="138">
        <f t="shared" si="90"/>
        <v>0</v>
      </c>
      <c r="NF94" s="138">
        <f t="shared" si="90"/>
        <v>0</v>
      </c>
      <c r="NG94" s="138">
        <f t="shared" si="90"/>
        <v>0</v>
      </c>
      <c r="NH94" s="138">
        <f t="shared" si="90"/>
        <v>0</v>
      </c>
      <c r="NI94" s="138">
        <f t="shared" si="90"/>
        <v>0</v>
      </c>
      <c r="NJ94" s="138">
        <f t="shared" si="90"/>
        <v>0</v>
      </c>
      <c r="NK94" s="138">
        <f t="shared" si="90"/>
        <v>0</v>
      </c>
      <c r="NL94" s="138">
        <f t="shared" si="90"/>
        <v>0</v>
      </c>
      <c r="NM94" s="138">
        <f t="shared" si="90"/>
        <v>0</v>
      </c>
      <c r="NN94" s="138">
        <f t="shared" si="90"/>
        <v>0</v>
      </c>
      <c r="NO94" s="138">
        <f t="shared" si="90"/>
        <v>0</v>
      </c>
      <c r="NP94" s="138">
        <f t="shared" si="90"/>
        <v>0</v>
      </c>
      <c r="NQ94" s="138">
        <f t="shared" si="90"/>
        <v>0</v>
      </c>
      <c r="NR94" s="138">
        <f t="shared" si="90"/>
        <v>0</v>
      </c>
      <c r="NS94" s="138">
        <f t="shared" si="90"/>
        <v>0</v>
      </c>
      <c r="NT94" s="138">
        <f t="shared" si="90"/>
        <v>0</v>
      </c>
      <c r="NU94" s="138">
        <f t="shared" si="90"/>
        <v>0</v>
      </c>
      <c r="NV94" s="138">
        <f t="shared" si="90"/>
        <v>0</v>
      </c>
      <c r="NW94" s="138">
        <f t="shared" si="90"/>
        <v>0</v>
      </c>
      <c r="NX94" s="138">
        <f t="shared" si="90"/>
        <v>0</v>
      </c>
      <c r="NY94" s="138">
        <f t="shared" ref="NY94:QJ94" si="91">(($C27/12*OR(NY$66,NY$67)*NY69)+(($G27-$C27)/12*NY$67*NY76))*1000</f>
        <v>0</v>
      </c>
      <c r="NZ94" s="138">
        <f t="shared" si="91"/>
        <v>0</v>
      </c>
      <c r="OA94" s="138">
        <f t="shared" si="91"/>
        <v>0</v>
      </c>
      <c r="OB94" s="138">
        <f t="shared" si="91"/>
        <v>0</v>
      </c>
      <c r="OC94" s="138">
        <f t="shared" si="91"/>
        <v>0</v>
      </c>
      <c r="OD94" s="138">
        <f t="shared" si="91"/>
        <v>0</v>
      </c>
      <c r="OE94" s="138">
        <f t="shared" si="91"/>
        <v>0</v>
      </c>
      <c r="OF94" s="138">
        <f t="shared" si="91"/>
        <v>0</v>
      </c>
      <c r="OG94" s="138">
        <f t="shared" si="91"/>
        <v>0</v>
      </c>
      <c r="OH94" s="138">
        <f t="shared" si="91"/>
        <v>0</v>
      </c>
      <c r="OI94" s="138">
        <f t="shared" si="91"/>
        <v>0</v>
      </c>
      <c r="OJ94" s="138">
        <f t="shared" si="91"/>
        <v>0</v>
      </c>
      <c r="OK94" s="138">
        <f t="shared" si="91"/>
        <v>0</v>
      </c>
      <c r="OL94" s="138">
        <f t="shared" si="91"/>
        <v>0</v>
      </c>
      <c r="OM94" s="138">
        <f t="shared" si="91"/>
        <v>0</v>
      </c>
      <c r="ON94" s="138">
        <f t="shared" si="91"/>
        <v>0</v>
      </c>
      <c r="OO94" s="138">
        <f t="shared" si="91"/>
        <v>0</v>
      </c>
      <c r="OP94" s="138">
        <f t="shared" si="91"/>
        <v>0</v>
      </c>
      <c r="OQ94" s="138">
        <f t="shared" si="91"/>
        <v>0</v>
      </c>
      <c r="OR94" s="138">
        <f t="shared" si="91"/>
        <v>0</v>
      </c>
      <c r="OS94" s="138">
        <f t="shared" si="91"/>
        <v>0</v>
      </c>
      <c r="OT94" s="138">
        <f t="shared" si="91"/>
        <v>0</v>
      </c>
      <c r="OU94" s="138">
        <f t="shared" si="91"/>
        <v>0</v>
      </c>
      <c r="OV94" s="138">
        <f t="shared" si="91"/>
        <v>0</v>
      </c>
      <c r="OW94" s="138">
        <f t="shared" si="91"/>
        <v>0</v>
      </c>
      <c r="OX94" s="138">
        <f t="shared" si="91"/>
        <v>0</v>
      </c>
      <c r="OY94" s="138">
        <f t="shared" si="91"/>
        <v>0</v>
      </c>
      <c r="OZ94" s="138">
        <f t="shared" si="91"/>
        <v>0</v>
      </c>
      <c r="PA94" s="138">
        <f t="shared" si="91"/>
        <v>0</v>
      </c>
      <c r="PB94" s="138">
        <f t="shared" si="91"/>
        <v>0</v>
      </c>
      <c r="PC94" s="138">
        <f t="shared" si="91"/>
        <v>0</v>
      </c>
      <c r="PD94" s="138">
        <f t="shared" si="91"/>
        <v>0</v>
      </c>
      <c r="PE94" s="138">
        <f t="shared" si="91"/>
        <v>0</v>
      </c>
      <c r="PF94" s="138">
        <f t="shared" si="91"/>
        <v>0</v>
      </c>
      <c r="PG94" s="138">
        <f t="shared" si="91"/>
        <v>0</v>
      </c>
      <c r="PH94" s="138">
        <f t="shared" si="91"/>
        <v>0</v>
      </c>
      <c r="PI94" s="138">
        <f t="shared" si="91"/>
        <v>0</v>
      </c>
      <c r="PJ94" s="138">
        <f t="shared" si="91"/>
        <v>0</v>
      </c>
      <c r="PK94" s="138">
        <f t="shared" si="91"/>
        <v>0</v>
      </c>
      <c r="PL94" s="138">
        <f t="shared" si="91"/>
        <v>0</v>
      </c>
      <c r="PM94" s="138">
        <f t="shared" si="91"/>
        <v>0</v>
      </c>
      <c r="PN94" s="138">
        <f t="shared" si="91"/>
        <v>0</v>
      </c>
      <c r="PO94" s="138">
        <f t="shared" si="91"/>
        <v>0</v>
      </c>
      <c r="PP94" s="138">
        <f t="shared" si="91"/>
        <v>0</v>
      </c>
      <c r="PQ94" s="138">
        <f t="shared" si="91"/>
        <v>0</v>
      </c>
      <c r="PR94" s="138">
        <f t="shared" si="91"/>
        <v>0</v>
      </c>
      <c r="PS94" s="138">
        <f t="shared" si="91"/>
        <v>0</v>
      </c>
      <c r="PT94" s="138">
        <f t="shared" si="91"/>
        <v>0</v>
      </c>
      <c r="PU94" s="138">
        <f t="shared" si="91"/>
        <v>0</v>
      </c>
      <c r="PV94" s="138">
        <f t="shared" si="91"/>
        <v>0</v>
      </c>
      <c r="PW94" s="138">
        <f t="shared" si="91"/>
        <v>0</v>
      </c>
      <c r="PX94" s="138">
        <f t="shared" si="91"/>
        <v>0</v>
      </c>
      <c r="PY94" s="138">
        <f t="shared" si="91"/>
        <v>0</v>
      </c>
      <c r="PZ94" s="138">
        <f t="shared" si="91"/>
        <v>0</v>
      </c>
      <c r="QA94" s="138">
        <f t="shared" si="91"/>
        <v>0</v>
      </c>
      <c r="QB94" s="138">
        <f t="shared" si="91"/>
        <v>0</v>
      </c>
      <c r="QC94" s="138">
        <f t="shared" si="91"/>
        <v>0</v>
      </c>
      <c r="QD94" s="138">
        <f t="shared" si="91"/>
        <v>0</v>
      </c>
      <c r="QE94" s="138">
        <f t="shared" si="91"/>
        <v>0</v>
      </c>
      <c r="QF94" s="138">
        <f t="shared" si="91"/>
        <v>0</v>
      </c>
      <c r="QG94" s="138">
        <f t="shared" si="91"/>
        <v>0</v>
      </c>
      <c r="QH94" s="138">
        <f t="shared" si="91"/>
        <v>0</v>
      </c>
      <c r="QI94" s="138">
        <f t="shared" si="91"/>
        <v>0</v>
      </c>
      <c r="QJ94" s="138">
        <f t="shared" si="91"/>
        <v>0</v>
      </c>
      <c r="QK94" s="138">
        <f t="shared" ref="QK94:RR94" si="92">(($C27/12*OR(QK$66,QK$67)*QK69)+(($G27-$C27)/12*QK$67*QK76))*1000</f>
        <v>0</v>
      </c>
      <c r="QL94" s="138">
        <f t="shared" si="92"/>
        <v>0</v>
      </c>
      <c r="QM94" s="138">
        <f t="shared" si="92"/>
        <v>0</v>
      </c>
      <c r="QN94" s="138">
        <f t="shared" si="92"/>
        <v>0</v>
      </c>
      <c r="QO94" s="138">
        <f t="shared" si="92"/>
        <v>0</v>
      </c>
      <c r="QP94" s="138">
        <f t="shared" si="92"/>
        <v>0</v>
      </c>
      <c r="QQ94" s="138">
        <f t="shared" si="92"/>
        <v>0</v>
      </c>
      <c r="QR94" s="138">
        <f t="shared" si="92"/>
        <v>0</v>
      </c>
      <c r="QS94" s="138">
        <f t="shared" si="92"/>
        <v>0</v>
      </c>
      <c r="QT94" s="138">
        <f t="shared" si="92"/>
        <v>0</v>
      </c>
      <c r="QU94" s="138">
        <f t="shared" si="92"/>
        <v>0</v>
      </c>
      <c r="QV94" s="138">
        <f t="shared" si="92"/>
        <v>0</v>
      </c>
      <c r="QW94" s="138">
        <f t="shared" si="92"/>
        <v>0</v>
      </c>
      <c r="QX94" s="138">
        <f t="shared" si="92"/>
        <v>0</v>
      </c>
      <c r="QY94" s="138">
        <f t="shared" si="92"/>
        <v>0</v>
      </c>
      <c r="QZ94" s="138">
        <f t="shared" si="92"/>
        <v>0</v>
      </c>
      <c r="RA94" s="138">
        <f t="shared" si="92"/>
        <v>0</v>
      </c>
      <c r="RB94" s="138">
        <f t="shared" si="92"/>
        <v>0</v>
      </c>
      <c r="RC94" s="138">
        <f t="shared" si="92"/>
        <v>0</v>
      </c>
      <c r="RD94" s="138">
        <f t="shared" si="92"/>
        <v>0</v>
      </c>
      <c r="RE94" s="138">
        <f t="shared" si="92"/>
        <v>0</v>
      </c>
      <c r="RF94" s="138">
        <f t="shared" si="92"/>
        <v>0</v>
      </c>
      <c r="RG94" s="138">
        <f t="shared" si="92"/>
        <v>0</v>
      </c>
      <c r="RH94" s="138">
        <f t="shared" si="92"/>
        <v>0</v>
      </c>
      <c r="RI94" s="138">
        <f t="shared" si="92"/>
        <v>0</v>
      </c>
      <c r="RJ94" s="138">
        <f t="shared" si="92"/>
        <v>0</v>
      </c>
      <c r="RK94" s="138">
        <f t="shared" si="92"/>
        <v>0</v>
      </c>
      <c r="RL94" s="138">
        <f t="shared" si="92"/>
        <v>0</v>
      </c>
      <c r="RM94" s="138">
        <f t="shared" si="92"/>
        <v>0</v>
      </c>
      <c r="RN94" s="138">
        <f t="shared" si="92"/>
        <v>0</v>
      </c>
      <c r="RO94" s="138">
        <f t="shared" si="92"/>
        <v>0</v>
      </c>
      <c r="RP94" s="138">
        <f t="shared" si="92"/>
        <v>0</v>
      </c>
      <c r="RQ94" s="138">
        <f t="shared" si="92"/>
        <v>0</v>
      </c>
      <c r="RR94" s="138">
        <f t="shared" si="92"/>
        <v>0</v>
      </c>
    </row>
    <row r="95" spans="1:486" s="9" customFormat="1">
      <c r="A95" s="286"/>
      <c r="B95" s="39" t="s">
        <v>132</v>
      </c>
      <c r="E95" s="138">
        <f t="shared" ref="E95:BP95" si="93">(($C28/12*OR(E$66,E$67)*E70)+(($G28-$C28)/12*E$67*E77))*1000</f>
        <v>764615.14699633687</v>
      </c>
      <c r="F95" s="138">
        <f t="shared" si="93"/>
        <v>764615.14699633687</v>
      </c>
      <c r="G95" s="138">
        <f t="shared" si="93"/>
        <v>764615.14699633687</v>
      </c>
      <c r="H95" s="138">
        <f t="shared" si="93"/>
        <v>764615.14699633687</v>
      </c>
      <c r="I95" s="138">
        <f t="shared" si="93"/>
        <v>764615.14699633687</v>
      </c>
      <c r="J95" s="138">
        <f t="shared" si="93"/>
        <v>764615.14699633687</v>
      </c>
      <c r="K95" s="138">
        <f t="shared" si="93"/>
        <v>764615.14699633687</v>
      </c>
      <c r="L95" s="138">
        <f t="shared" si="93"/>
        <v>764615.14699633687</v>
      </c>
      <c r="M95" s="138">
        <f t="shared" si="93"/>
        <v>764615.14699633687</v>
      </c>
      <c r="N95" s="138">
        <f t="shared" si="93"/>
        <v>764615.14699633687</v>
      </c>
      <c r="O95" s="138">
        <f t="shared" si="93"/>
        <v>764615.14699633687</v>
      </c>
      <c r="P95" s="138">
        <f t="shared" si="93"/>
        <v>764615.14699633687</v>
      </c>
      <c r="Q95" s="138">
        <f t="shared" si="93"/>
        <v>764615.14699633687</v>
      </c>
      <c r="R95" s="138">
        <f t="shared" si="93"/>
        <v>764615.14699633687</v>
      </c>
      <c r="S95" s="138">
        <f t="shared" si="93"/>
        <v>764615.14699633687</v>
      </c>
      <c r="T95" s="138">
        <f t="shared" si="93"/>
        <v>764615.14699633687</v>
      </c>
      <c r="U95" s="138">
        <f t="shared" si="93"/>
        <v>764615.14699633687</v>
      </c>
      <c r="V95" s="138">
        <f t="shared" si="93"/>
        <v>764615.14699633687</v>
      </c>
      <c r="W95" s="138">
        <f t="shared" si="93"/>
        <v>764615.14699633687</v>
      </c>
      <c r="X95" s="138">
        <f t="shared" si="93"/>
        <v>764615.14699633687</v>
      </c>
      <c r="Y95" s="138">
        <f t="shared" si="93"/>
        <v>764615.14699633687</v>
      </c>
      <c r="Z95" s="138">
        <f t="shared" si="93"/>
        <v>764615.14699633687</v>
      </c>
      <c r="AA95" s="138">
        <f t="shared" si="93"/>
        <v>764615.14699633687</v>
      </c>
      <c r="AB95" s="138">
        <f t="shared" si="93"/>
        <v>764615.14699633687</v>
      </c>
      <c r="AC95" s="138">
        <f t="shared" si="93"/>
        <v>764615.14699633687</v>
      </c>
      <c r="AD95" s="138">
        <f t="shared" si="93"/>
        <v>764615.14699633687</v>
      </c>
      <c r="AE95" s="138">
        <f t="shared" si="93"/>
        <v>764615.14699633687</v>
      </c>
      <c r="AF95" s="138">
        <f t="shared" si="93"/>
        <v>764615.14699633687</v>
      </c>
      <c r="AG95" s="138">
        <f t="shared" si="93"/>
        <v>764615.14699633687</v>
      </c>
      <c r="AH95" s="138">
        <f t="shared" si="93"/>
        <v>764615.14699633687</v>
      </c>
      <c r="AI95" s="138">
        <f t="shared" si="93"/>
        <v>764615.14699633687</v>
      </c>
      <c r="AJ95" s="138">
        <f t="shared" si="93"/>
        <v>764615.14699633687</v>
      </c>
      <c r="AK95" s="138">
        <f t="shared" si="93"/>
        <v>764615.14699633687</v>
      </c>
      <c r="AL95" s="138">
        <f t="shared" si="93"/>
        <v>764615.14699633687</v>
      </c>
      <c r="AM95" s="138">
        <f t="shared" si="93"/>
        <v>764615.14699633687</v>
      </c>
      <c r="AN95" s="138">
        <f t="shared" si="93"/>
        <v>764615.14699633687</v>
      </c>
      <c r="AO95" s="138">
        <f t="shared" si="93"/>
        <v>764615.14699633687</v>
      </c>
      <c r="AP95" s="138">
        <f t="shared" si="93"/>
        <v>764615.14699633687</v>
      </c>
      <c r="AQ95" s="138">
        <f t="shared" si="93"/>
        <v>764615.14699633687</v>
      </c>
      <c r="AR95" s="138">
        <f t="shared" si="93"/>
        <v>764615.14699633687</v>
      </c>
      <c r="AS95" s="138">
        <f t="shared" si="93"/>
        <v>764615.14699633687</v>
      </c>
      <c r="AT95" s="138">
        <f t="shared" si="93"/>
        <v>764615.14699633687</v>
      </c>
      <c r="AU95" s="138">
        <f t="shared" si="93"/>
        <v>764615.14699633687</v>
      </c>
      <c r="AV95" s="138">
        <f t="shared" si="93"/>
        <v>764615.14699633687</v>
      </c>
      <c r="AW95" s="138">
        <f t="shared" si="93"/>
        <v>764615.14699633687</v>
      </c>
      <c r="AX95" s="138">
        <f t="shared" si="93"/>
        <v>764615.14699633687</v>
      </c>
      <c r="AY95" s="138">
        <f t="shared" si="93"/>
        <v>764615.14699633687</v>
      </c>
      <c r="AZ95" s="138">
        <f t="shared" si="93"/>
        <v>764615.14699633687</v>
      </c>
      <c r="BA95" s="138">
        <f t="shared" si="93"/>
        <v>764615.14699633687</v>
      </c>
      <c r="BB95" s="138">
        <f t="shared" si="93"/>
        <v>764615.14699633687</v>
      </c>
      <c r="BC95" s="138">
        <f t="shared" si="93"/>
        <v>764615.14699633687</v>
      </c>
      <c r="BD95" s="138">
        <f t="shared" si="93"/>
        <v>764615.14699633687</v>
      </c>
      <c r="BE95" s="138">
        <f t="shared" si="93"/>
        <v>764615.14699633687</v>
      </c>
      <c r="BF95" s="138">
        <f t="shared" si="93"/>
        <v>764615.14699633687</v>
      </c>
      <c r="BG95" s="138">
        <f t="shared" si="93"/>
        <v>764615.14699633687</v>
      </c>
      <c r="BH95" s="138">
        <f t="shared" si="93"/>
        <v>764615.14699633687</v>
      </c>
      <c r="BI95" s="138">
        <f t="shared" si="93"/>
        <v>764615.14699633687</v>
      </c>
      <c r="BJ95" s="138">
        <f t="shared" si="93"/>
        <v>764615.14699633687</v>
      </c>
      <c r="BK95" s="138">
        <f t="shared" si="93"/>
        <v>764615.14699633687</v>
      </c>
      <c r="BL95" s="138">
        <f t="shared" si="93"/>
        <v>764615.14699633687</v>
      </c>
      <c r="BM95" s="138">
        <f t="shared" si="93"/>
        <v>8507598.3910381719</v>
      </c>
      <c r="BN95" s="138">
        <f t="shared" si="93"/>
        <v>8507598.3910381719</v>
      </c>
      <c r="BO95" s="138">
        <f t="shared" si="93"/>
        <v>8507598.3910381719</v>
      </c>
      <c r="BP95" s="138">
        <f t="shared" si="93"/>
        <v>8507598.3910381719</v>
      </c>
      <c r="BQ95" s="138">
        <f t="shared" ref="BQ95:EB95" si="94">(($C28/12*OR(BQ$66,BQ$67)*BQ70)+(($G28-$C28)/12*BQ$67*BQ77))*1000</f>
        <v>8507598.3910381719</v>
      </c>
      <c r="BR95" s="138">
        <f t="shared" si="94"/>
        <v>8507598.3910381719</v>
      </c>
      <c r="BS95" s="138">
        <f t="shared" si="94"/>
        <v>8507598.3910381719</v>
      </c>
      <c r="BT95" s="138">
        <f t="shared" si="94"/>
        <v>8507598.3910381719</v>
      </c>
      <c r="BU95" s="138">
        <f t="shared" si="94"/>
        <v>8507598.3910381719</v>
      </c>
      <c r="BV95" s="138">
        <f t="shared" si="94"/>
        <v>8507598.3910381719</v>
      </c>
      <c r="BW95" s="138">
        <f t="shared" si="94"/>
        <v>8507598.3910381719</v>
      </c>
      <c r="BX95" s="138">
        <f t="shared" si="94"/>
        <v>8507598.3910381719</v>
      </c>
      <c r="BY95" s="138">
        <f t="shared" si="94"/>
        <v>8507598.3910381719</v>
      </c>
      <c r="BZ95" s="138">
        <f t="shared" si="94"/>
        <v>8507598.3910381719</v>
      </c>
      <c r="CA95" s="138">
        <f t="shared" si="94"/>
        <v>8507598.3910381719</v>
      </c>
      <c r="CB95" s="138">
        <f t="shared" si="94"/>
        <v>8507598.3910381719</v>
      </c>
      <c r="CC95" s="138">
        <f t="shared" si="94"/>
        <v>8507598.3910381719</v>
      </c>
      <c r="CD95" s="138">
        <f t="shared" si="94"/>
        <v>8507598.3910381719</v>
      </c>
      <c r="CE95" s="138">
        <f t="shared" si="94"/>
        <v>8507598.3910381719</v>
      </c>
      <c r="CF95" s="138">
        <f t="shared" si="94"/>
        <v>8507598.3910381719</v>
      </c>
      <c r="CG95" s="138">
        <f t="shared" si="94"/>
        <v>8507598.3910381719</v>
      </c>
      <c r="CH95" s="138">
        <f t="shared" si="94"/>
        <v>8507598.3910381719</v>
      </c>
      <c r="CI95" s="138">
        <f t="shared" si="94"/>
        <v>8507598.3910381719</v>
      </c>
      <c r="CJ95" s="138">
        <f t="shared" si="94"/>
        <v>8507598.3910381719</v>
      </c>
      <c r="CK95" s="138">
        <f t="shared" si="94"/>
        <v>8507598.3910381719</v>
      </c>
      <c r="CL95" s="138">
        <f t="shared" si="94"/>
        <v>8507598.3910381719</v>
      </c>
      <c r="CM95" s="138">
        <f t="shared" si="94"/>
        <v>8507598.3910381719</v>
      </c>
      <c r="CN95" s="138">
        <f t="shared" si="94"/>
        <v>8507598.3910381719</v>
      </c>
      <c r="CO95" s="138">
        <f t="shared" si="94"/>
        <v>8507598.3910381719</v>
      </c>
      <c r="CP95" s="138">
        <f t="shared" si="94"/>
        <v>8507598.3910381719</v>
      </c>
      <c r="CQ95" s="138">
        <f t="shared" si="94"/>
        <v>8507598.3910381719</v>
      </c>
      <c r="CR95" s="138">
        <f t="shared" si="94"/>
        <v>8507598.3910381719</v>
      </c>
      <c r="CS95" s="138">
        <f t="shared" si="94"/>
        <v>8507598.3910381719</v>
      </c>
      <c r="CT95" s="138">
        <f t="shared" si="94"/>
        <v>8507598.3910381719</v>
      </c>
      <c r="CU95" s="138">
        <f t="shared" si="94"/>
        <v>8507598.3910381719</v>
      </c>
      <c r="CV95" s="138">
        <f t="shared" si="94"/>
        <v>8507598.3910381719</v>
      </c>
      <c r="CW95" s="138">
        <f t="shared" si="94"/>
        <v>8507598.3910381719</v>
      </c>
      <c r="CX95" s="138">
        <f t="shared" si="94"/>
        <v>8507598.3910381719</v>
      </c>
      <c r="CY95" s="138">
        <f t="shared" si="94"/>
        <v>8507598.3910381719</v>
      </c>
      <c r="CZ95" s="138">
        <f t="shared" si="94"/>
        <v>8507598.3910381719</v>
      </c>
      <c r="DA95" s="138">
        <f t="shared" si="94"/>
        <v>8507598.3910381719</v>
      </c>
      <c r="DB95" s="138">
        <f t="shared" si="94"/>
        <v>8507598.3910381719</v>
      </c>
      <c r="DC95" s="138">
        <f t="shared" si="94"/>
        <v>8507598.3910381719</v>
      </c>
      <c r="DD95" s="138">
        <f t="shared" si="94"/>
        <v>8507598.3910381719</v>
      </c>
      <c r="DE95" s="138">
        <f t="shared" si="94"/>
        <v>8507598.3910381719</v>
      </c>
      <c r="DF95" s="138">
        <f t="shared" si="94"/>
        <v>8507598.3910381719</v>
      </c>
      <c r="DG95" s="138">
        <f t="shared" si="94"/>
        <v>8507598.3910381719</v>
      </c>
      <c r="DH95" s="138">
        <f t="shared" si="94"/>
        <v>8507598.3910381719</v>
      </c>
      <c r="DI95" s="138">
        <f t="shared" si="94"/>
        <v>8507598.3910381719</v>
      </c>
      <c r="DJ95" s="138">
        <f t="shared" si="94"/>
        <v>8507598.3910381719</v>
      </c>
      <c r="DK95" s="138">
        <f t="shared" si="94"/>
        <v>8507598.3910381719</v>
      </c>
      <c r="DL95" s="138">
        <f t="shared" si="94"/>
        <v>8507598.3910381719</v>
      </c>
      <c r="DM95" s="138">
        <f t="shared" si="94"/>
        <v>8507598.3910381719</v>
      </c>
      <c r="DN95" s="138">
        <f t="shared" si="94"/>
        <v>8507598.3910381719</v>
      </c>
      <c r="DO95" s="138">
        <f t="shared" si="94"/>
        <v>8507598.3910381719</v>
      </c>
      <c r="DP95" s="138">
        <f t="shared" si="94"/>
        <v>8507598.3910381719</v>
      </c>
      <c r="DQ95" s="138">
        <f t="shared" si="94"/>
        <v>8507598.3910381719</v>
      </c>
      <c r="DR95" s="138">
        <f t="shared" si="94"/>
        <v>8507598.3910381719</v>
      </c>
      <c r="DS95" s="138">
        <f t="shared" si="94"/>
        <v>8507598.3910381719</v>
      </c>
      <c r="DT95" s="138">
        <f t="shared" si="94"/>
        <v>8507598.3910381719</v>
      </c>
      <c r="DU95" s="138">
        <f t="shared" si="94"/>
        <v>8507598.3910381719</v>
      </c>
      <c r="DV95" s="138">
        <f t="shared" si="94"/>
        <v>8507598.3910381719</v>
      </c>
      <c r="DW95" s="138">
        <f t="shared" si="94"/>
        <v>8507598.3910381719</v>
      </c>
      <c r="DX95" s="138">
        <f t="shared" si="94"/>
        <v>8507598.3910381719</v>
      </c>
      <c r="DY95" s="138">
        <f t="shared" si="94"/>
        <v>8507598.3910381719</v>
      </c>
      <c r="DZ95" s="138">
        <f t="shared" si="94"/>
        <v>8507598.3910381719</v>
      </c>
      <c r="EA95" s="138">
        <f t="shared" si="94"/>
        <v>8507598.3910381719</v>
      </c>
      <c r="EB95" s="138">
        <f t="shared" si="94"/>
        <v>8507598.3910381719</v>
      </c>
      <c r="EC95" s="138">
        <f t="shared" ref="EC95:GN95" si="95">(($C28/12*OR(EC$66,EC$67)*EC70)+(($G28-$C28)/12*EC$67*EC77))*1000</f>
        <v>8507598.3910381719</v>
      </c>
      <c r="ED95" s="138">
        <f t="shared" si="95"/>
        <v>8507598.3910381719</v>
      </c>
      <c r="EE95" s="138">
        <f t="shared" si="95"/>
        <v>8507598.3910381719</v>
      </c>
      <c r="EF95" s="138">
        <f t="shared" si="95"/>
        <v>8507598.3910381719</v>
      </c>
      <c r="EG95" s="138">
        <f t="shared" si="95"/>
        <v>8507598.3910381719</v>
      </c>
      <c r="EH95" s="138">
        <f t="shared" si="95"/>
        <v>8507598.3910381719</v>
      </c>
      <c r="EI95" s="138">
        <f t="shared" si="95"/>
        <v>8507598.3910381719</v>
      </c>
      <c r="EJ95" s="138">
        <f t="shared" si="95"/>
        <v>8507598.3910381719</v>
      </c>
      <c r="EK95" s="138">
        <f t="shared" si="95"/>
        <v>8507598.3910381719</v>
      </c>
      <c r="EL95" s="138">
        <f t="shared" si="95"/>
        <v>8507598.3910381719</v>
      </c>
      <c r="EM95" s="138">
        <f t="shared" si="95"/>
        <v>8507598.3910381719</v>
      </c>
      <c r="EN95" s="138">
        <f t="shared" si="95"/>
        <v>8507598.3910381719</v>
      </c>
      <c r="EO95" s="138">
        <f t="shared" si="95"/>
        <v>8507598.3910381719</v>
      </c>
      <c r="EP95" s="138">
        <f t="shared" si="95"/>
        <v>8507598.3910381719</v>
      </c>
      <c r="EQ95" s="138">
        <f t="shared" si="95"/>
        <v>8507598.3910381719</v>
      </c>
      <c r="ER95" s="138">
        <f t="shared" si="95"/>
        <v>8507598.3910381719</v>
      </c>
      <c r="ES95" s="138">
        <f t="shared" si="95"/>
        <v>8507598.3910381719</v>
      </c>
      <c r="ET95" s="138">
        <f t="shared" si="95"/>
        <v>8507598.3910381719</v>
      </c>
      <c r="EU95" s="138">
        <f t="shared" si="95"/>
        <v>8507598.3910381719</v>
      </c>
      <c r="EV95" s="138">
        <f t="shared" si="95"/>
        <v>8507598.3910381719</v>
      </c>
      <c r="EW95" s="138">
        <f t="shared" si="95"/>
        <v>8507598.3910381719</v>
      </c>
      <c r="EX95" s="138">
        <f t="shared" si="95"/>
        <v>8507598.3910381719</v>
      </c>
      <c r="EY95" s="138">
        <f t="shared" si="95"/>
        <v>8507598.3910381719</v>
      </c>
      <c r="EZ95" s="138">
        <f t="shared" si="95"/>
        <v>8507598.3910381719</v>
      </c>
      <c r="FA95" s="138">
        <f t="shared" si="95"/>
        <v>8507598.3910381719</v>
      </c>
      <c r="FB95" s="138">
        <f t="shared" si="95"/>
        <v>8507598.3910381719</v>
      </c>
      <c r="FC95" s="138">
        <f t="shared" si="95"/>
        <v>8507598.3910381719</v>
      </c>
      <c r="FD95" s="138">
        <f t="shared" si="95"/>
        <v>8507598.3910381719</v>
      </c>
      <c r="FE95" s="138">
        <f t="shared" si="95"/>
        <v>8507598.3910381719</v>
      </c>
      <c r="FF95" s="138">
        <f t="shared" si="95"/>
        <v>8507598.3910381719</v>
      </c>
      <c r="FG95" s="138">
        <f t="shared" si="95"/>
        <v>8507598.3910381719</v>
      </c>
      <c r="FH95" s="138">
        <f t="shared" si="95"/>
        <v>8507598.3910381719</v>
      </c>
      <c r="FI95" s="138">
        <f t="shared" si="95"/>
        <v>8507598.3910381719</v>
      </c>
      <c r="FJ95" s="138">
        <f t="shared" si="95"/>
        <v>8507598.3910381719</v>
      </c>
      <c r="FK95" s="138">
        <f t="shared" si="95"/>
        <v>8507598.3910381719</v>
      </c>
      <c r="FL95" s="138">
        <f t="shared" si="95"/>
        <v>8507598.3910381719</v>
      </c>
      <c r="FM95" s="138">
        <f t="shared" si="95"/>
        <v>8507598.3910381719</v>
      </c>
      <c r="FN95" s="138">
        <f t="shared" si="95"/>
        <v>8507598.3910381719</v>
      </c>
      <c r="FO95" s="138">
        <f t="shared" si="95"/>
        <v>8507598.3910381719</v>
      </c>
      <c r="FP95" s="138">
        <f t="shared" si="95"/>
        <v>8507598.3910381719</v>
      </c>
      <c r="FQ95" s="138">
        <f t="shared" si="95"/>
        <v>8507598.3910381719</v>
      </c>
      <c r="FR95" s="138">
        <f t="shared" si="95"/>
        <v>8507598.3910381719</v>
      </c>
      <c r="FS95" s="138">
        <f t="shared" si="95"/>
        <v>8507598.3910381719</v>
      </c>
      <c r="FT95" s="138">
        <f t="shared" si="95"/>
        <v>8507598.3910381719</v>
      </c>
      <c r="FU95" s="138">
        <f t="shared" si="95"/>
        <v>8507598.3910381719</v>
      </c>
      <c r="FV95" s="138">
        <f t="shared" si="95"/>
        <v>8507598.3910381719</v>
      </c>
      <c r="FW95" s="138">
        <f t="shared" si="95"/>
        <v>8507598.3910381719</v>
      </c>
      <c r="FX95" s="138">
        <f t="shared" si="95"/>
        <v>8507598.3910381719</v>
      </c>
      <c r="FY95" s="138">
        <f t="shared" si="95"/>
        <v>8507598.3910381719</v>
      </c>
      <c r="FZ95" s="138">
        <f t="shared" si="95"/>
        <v>8507598.3910381719</v>
      </c>
      <c r="GA95" s="138">
        <f t="shared" si="95"/>
        <v>8507598.3910381719</v>
      </c>
      <c r="GB95" s="138">
        <f t="shared" si="95"/>
        <v>8507598.3910381719</v>
      </c>
      <c r="GC95" s="138">
        <f t="shared" si="95"/>
        <v>8507598.3910381719</v>
      </c>
      <c r="GD95" s="138">
        <f t="shared" si="95"/>
        <v>8507598.3910381719</v>
      </c>
      <c r="GE95" s="138">
        <f t="shared" si="95"/>
        <v>8507598.3910381719</v>
      </c>
      <c r="GF95" s="138">
        <f t="shared" si="95"/>
        <v>8507598.3910381719</v>
      </c>
      <c r="GG95" s="138">
        <f t="shared" si="95"/>
        <v>8507598.3910381719</v>
      </c>
      <c r="GH95" s="138">
        <f t="shared" si="95"/>
        <v>8507598.3910381719</v>
      </c>
      <c r="GI95" s="138">
        <f t="shared" si="95"/>
        <v>8507598.3910381719</v>
      </c>
      <c r="GJ95" s="138">
        <f t="shared" si="95"/>
        <v>8507598.3910381719</v>
      </c>
      <c r="GK95" s="138">
        <f t="shared" si="95"/>
        <v>8507598.3910381719</v>
      </c>
      <c r="GL95" s="138">
        <f t="shared" si="95"/>
        <v>8507598.3910381719</v>
      </c>
      <c r="GM95" s="138">
        <f t="shared" si="95"/>
        <v>8507598.3910381719</v>
      </c>
      <c r="GN95" s="138">
        <f t="shared" si="95"/>
        <v>8507598.3910381719</v>
      </c>
      <c r="GO95" s="138">
        <f t="shared" ref="GO95:IZ95" si="96">(($C28/12*OR(GO$66,GO$67)*GO70)+(($G28-$C28)/12*GO$67*GO77))*1000</f>
        <v>8507598.3910381719</v>
      </c>
      <c r="GP95" s="138">
        <f t="shared" si="96"/>
        <v>8507598.3910381719</v>
      </c>
      <c r="GQ95" s="138">
        <f t="shared" si="96"/>
        <v>8507598.3910381719</v>
      </c>
      <c r="GR95" s="138">
        <f t="shared" si="96"/>
        <v>8507598.3910381719</v>
      </c>
      <c r="GS95" s="138">
        <f t="shared" si="96"/>
        <v>8507598.3910381719</v>
      </c>
      <c r="GT95" s="138">
        <f t="shared" si="96"/>
        <v>8507598.3910381719</v>
      </c>
      <c r="GU95" s="138">
        <f t="shared" si="96"/>
        <v>8507598.3910381719</v>
      </c>
      <c r="GV95" s="138">
        <f t="shared" si="96"/>
        <v>8507598.3910381719</v>
      </c>
      <c r="GW95" s="138">
        <f t="shared" si="96"/>
        <v>8507598.3910381719</v>
      </c>
      <c r="GX95" s="138">
        <f t="shared" si="96"/>
        <v>8507598.3910381719</v>
      </c>
      <c r="GY95" s="138">
        <f t="shared" si="96"/>
        <v>8507598.3910381719</v>
      </c>
      <c r="GZ95" s="138">
        <f t="shared" si="96"/>
        <v>8507598.3910381719</v>
      </c>
      <c r="HA95" s="138">
        <f t="shared" si="96"/>
        <v>8507598.3910381719</v>
      </c>
      <c r="HB95" s="138">
        <f t="shared" si="96"/>
        <v>8507598.3910381719</v>
      </c>
      <c r="HC95" s="138">
        <f t="shared" si="96"/>
        <v>8507598.3910381719</v>
      </c>
      <c r="HD95" s="138">
        <f t="shared" si="96"/>
        <v>8507598.3910381719</v>
      </c>
      <c r="HE95" s="138">
        <f t="shared" si="96"/>
        <v>8507598.3910381719</v>
      </c>
      <c r="HF95" s="138">
        <f t="shared" si="96"/>
        <v>8507598.3910381719</v>
      </c>
      <c r="HG95" s="138">
        <f t="shared" si="96"/>
        <v>8507598.3910381719</v>
      </c>
      <c r="HH95" s="138">
        <f t="shared" si="96"/>
        <v>8507598.3910381719</v>
      </c>
      <c r="HI95" s="138">
        <f t="shared" si="96"/>
        <v>8507598.3910381719</v>
      </c>
      <c r="HJ95" s="138">
        <f t="shared" si="96"/>
        <v>8507598.3910381719</v>
      </c>
      <c r="HK95" s="138">
        <f t="shared" si="96"/>
        <v>8507598.3910381719</v>
      </c>
      <c r="HL95" s="138">
        <f t="shared" si="96"/>
        <v>8507598.3910381719</v>
      </c>
      <c r="HM95" s="138">
        <f t="shared" si="96"/>
        <v>8507598.3910381719</v>
      </c>
      <c r="HN95" s="138">
        <f t="shared" si="96"/>
        <v>8507598.3910381719</v>
      </c>
      <c r="HO95" s="138">
        <f t="shared" si="96"/>
        <v>8507598.3910381719</v>
      </c>
      <c r="HP95" s="138">
        <f t="shared" si="96"/>
        <v>8507598.3910381719</v>
      </c>
      <c r="HQ95" s="138">
        <f t="shared" si="96"/>
        <v>8507598.3910381719</v>
      </c>
      <c r="HR95" s="138">
        <f t="shared" si="96"/>
        <v>8507598.3910381719</v>
      </c>
      <c r="HS95" s="138">
        <f t="shared" si="96"/>
        <v>8507598.3910381719</v>
      </c>
      <c r="HT95" s="138">
        <f t="shared" si="96"/>
        <v>8507598.3910381719</v>
      </c>
      <c r="HU95" s="138">
        <f t="shared" si="96"/>
        <v>8507598.3910381719</v>
      </c>
      <c r="HV95" s="138">
        <f t="shared" si="96"/>
        <v>8507598.3910381719</v>
      </c>
      <c r="HW95" s="138">
        <f t="shared" si="96"/>
        <v>8507598.3910381719</v>
      </c>
      <c r="HX95" s="138">
        <f t="shared" si="96"/>
        <v>8507598.3910381719</v>
      </c>
      <c r="HY95" s="138">
        <f t="shared" si="96"/>
        <v>8507598.3910381719</v>
      </c>
      <c r="HZ95" s="138">
        <f t="shared" si="96"/>
        <v>8507598.3910381719</v>
      </c>
      <c r="IA95" s="138">
        <f t="shared" si="96"/>
        <v>8507598.3910381719</v>
      </c>
      <c r="IB95" s="138">
        <f t="shared" si="96"/>
        <v>8507598.3910381719</v>
      </c>
      <c r="IC95" s="138">
        <f t="shared" si="96"/>
        <v>8507598.3910381719</v>
      </c>
      <c r="ID95" s="138">
        <f t="shared" si="96"/>
        <v>8507598.3910381719</v>
      </c>
      <c r="IE95" s="138">
        <f t="shared" si="96"/>
        <v>8507598.3910381719</v>
      </c>
      <c r="IF95" s="138">
        <f t="shared" si="96"/>
        <v>8507598.3910381719</v>
      </c>
      <c r="IG95" s="138">
        <f t="shared" si="96"/>
        <v>8507598.3910381719</v>
      </c>
      <c r="IH95" s="138">
        <f t="shared" si="96"/>
        <v>8507598.3910381719</v>
      </c>
      <c r="II95" s="138">
        <f t="shared" si="96"/>
        <v>8507598.3910381719</v>
      </c>
      <c r="IJ95" s="138">
        <f t="shared" si="96"/>
        <v>8507598.3910381719</v>
      </c>
      <c r="IK95" s="138">
        <f t="shared" si="96"/>
        <v>0</v>
      </c>
      <c r="IL95" s="138">
        <f t="shared" si="96"/>
        <v>0</v>
      </c>
      <c r="IM95" s="138">
        <f t="shared" si="96"/>
        <v>0</v>
      </c>
      <c r="IN95" s="138">
        <f t="shared" si="96"/>
        <v>0</v>
      </c>
      <c r="IO95" s="138">
        <f t="shared" si="96"/>
        <v>0</v>
      </c>
      <c r="IP95" s="138">
        <f t="shared" si="96"/>
        <v>0</v>
      </c>
      <c r="IQ95" s="138">
        <f t="shared" si="96"/>
        <v>0</v>
      </c>
      <c r="IR95" s="138">
        <f t="shared" si="96"/>
        <v>0</v>
      </c>
      <c r="IS95" s="138">
        <f t="shared" si="96"/>
        <v>0</v>
      </c>
      <c r="IT95" s="138">
        <f t="shared" si="96"/>
        <v>0</v>
      </c>
      <c r="IU95" s="138">
        <f t="shared" si="96"/>
        <v>0</v>
      </c>
      <c r="IV95" s="138">
        <f t="shared" si="96"/>
        <v>0</v>
      </c>
      <c r="IW95" s="138">
        <f t="shared" si="96"/>
        <v>0</v>
      </c>
      <c r="IX95" s="138">
        <f t="shared" si="96"/>
        <v>0</v>
      </c>
      <c r="IY95" s="138">
        <f t="shared" si="96"/>
        <v>0</v>
      </c>
      <c r="IZ95" s="138">
        <f t="shared" si="96"/>
        <v>0</v>
      </c>
      <c r="JA95" s="138">
        <f t="shared" ref="JA95:LL95" si="97">(($C28/12*OR(JA$66,JA$67)*JA70)+(($G28-$C28)/12*JA$67*JA77))*1000</f>
        <v>0</v>
      </c>
      <c r="JB95" s="138">
        <f t="shared" si="97"/>
        <v>0</v>
      </c>
      <c r="JC95" s="138">
        <f t="shared" si="97"/>
        <v>0</v>
      </c>
      <c r="JD95" s="138">
        <f t="shared" si="97"/>
        <v>0</v>
      </c>
      <c r="JE95" s="138">
        <f t="shared" si="97"/>
        <v>0</v>
      </c>
      <c r="JF95" s="138">
        <f t="shared" si="97"/>
        <v>0</v>
      </c>
      <c r="JG95" s="138">
        <f t="shared" si="97"/>
        <v>0</v>
      </c>
      <c r="JH95" s="138">
        <f t="shared" si="97"/>
        <v>0</v>
      </c>
      <c r="JI95" s="138">
        <f t="shared" si="97"/>
        <v>0</v>
      </c>
      <c r="JJ95" s="138">
        <f t="shared" si="97"/>
        <v>0</v>
      </c>
      <c r="JK95" s="138">
        <f t="shared" si="97"/>
        <v>0</v>
      </c>
      <c r="JL95" s="138">
        <f t="shared" si="97"/>
        <v>0</v>
      </c>
      <c r="JM95" s="138">
        <f t="shared" si="97"/>
        <v>0</v>
      </c>
      <c r="JN95" s="138">
        <f t="shared" si="97"/>
        <v>0</v>
      </c>
      <c r="JO95" s="138">
        <f t="shared" si="97"/>
        <v>0</v>
      </c>
      <c r="JP95" s="138">
        <f t="shared" si="97"/>
        <v>0</v>
      </c>
      <c r="JQ95" s="138">
        <f t="shared" si="97"/>
        <v>0</v>
      </c>
      <c r="JR95" s="138">
        <f t="shared" si="97"/>
        <v>0</v>
      </c>
      <c r="JS95" s="138">
        <f t="shared" si="97"/>
        <v>0</v>
      </c>
      <c r="JT95" s="138">
        <f t="shared" si="97"/>
        <v>0</v>
      </c>
      <c r="JU95" s="138">
        <f t="shared" si="97"/>
        <v>0</v>
      </c>
      <c r="JV95" s="138">
        <f t="shared" si="97"/>
        <v>0</v>
      </c>
      <c r="JW95" s="138">
        <f t="shared" si="97"/>
        <v>0</v>
      </c>
      <c r="JX95" s="138">
        <f t="shared" si="97"/>
        <v>0</v>
      </c>
      <c r="JY95" s="138">
        <f t="shared" si="97"/>
        <v>0</v>
      </c>
      <c r="JZ95" s="138">
        <f t="shared" si="97"/>
        <v>0</v>
      </c>
      <c r="KA95" s="138">
        <f t="shared" si="97"/>
        <v>0</v>
      </c>
      <c r="KB95" s="138">
        <f t="shared" si="97"/>
        <v>0</v>
      </c>
      <c r="KC95" s="138">
        <f t="shared" si="97"/>
        <v>0</v>
      </c>
      <c r="KD95" s="138">
        <f t="shared" si="97"/>
        <v>0</v>
      </c>
      <c r="KE95" s="138">
        <f t="shared" si="97"/>
        <v>0</v>
      </c>
      <c r="KF95" s="138">
        <f t="shared" si="97"/>
        <v>0</v>
      </c>
      <c r="KG95" s="138">
        <f t="shared" si="97"/>
        <v>0</v>
      </c>
      <c r="KH95" s="138">
        <f t="shared" si="97"/>
        <v>0</v>
      </c>
      <c r="KI95" s="138">
        <f t="shared" si="97"/>
        <v>0</v>
      </c>
      <c r="KJ95" s="138">
        <f t="shared" si="97"/>
        <v>0</v>
      </c>
      <c r="KK95" s="138">
        <f t="shared" si="97"/>
        <v>0</v>
      </c>
      <c r="KL95" s="138">
        <f t="shared" si="97"/>
        <v>0</v>
      </c>
      <c r="KM95" s="138">
        <f t="shared" si="97"/>
        <v>0</v>
      </c>
      <c r="KN95" s="138">
        <f t="shared" si="97"/>
        <v>0</v>
      </c>
      <c r="KO95" s="138">
        <f t="shared" si="97"/>
        <v>0</v>
      </c>
      <c r="KP95" s="138">
        <f t="shared" si="97"/>
        <v>0</v>
      </c>
      <c r="KQ95" s="138">
        <f t="shared" si="97"/>
        <v>0</v>
      </c>
      <c r="KR95" s="138">
        <f t="shared" si="97"/>
        <v>0</v>
      </c>
      <c r="KS95" s="138">
        <f t="shared" si="97"/>
        <v>0</v>
      </c>
      <c r="KT95" s="138">
        <f t="shared" si="97"/>
        <v>0</v>
      </c>
      <c r="KU95" s="138">
        <f t="shared" si="97"/>
        <v>0</v>
      </c>
      <c r="KV95" s="138">
        <f t="shared" si="97"/>
        <v>0</v>
      </c>
      <c r="KW95" s="138">
        <f t="shared" si="97"/>
        <v>0</v>
      </c>
      <c r="KX95" s="138">
        <f t="shared" si="97"/>
        <v>0</v>
      </c>
      <c r="KY95" s="138">
        <f t="shared" si="97"/>
        <v>0</v>
      </c>
      <c r="KZ95" s="138">
        <f t="shared" si="97"/>
        <v>0</v>
      </c>
      <c r="LA95" s="138">
        <f t="shared" si="97"/>
        <v>0</v>
      </c>
      <c r="LB95" s="138">
        <f t="shared" si="97"/>
        <v>0</v>
      </c>
      <c r="LC95" s="138">
        <f t="shared" si="97"/>
        <v>0</v>
      </c>
      <c r="LD95" s="138">
        <f t="shared" si="97"/>
        <v>0</v>
      </c>
      <c r="LE95" s="138">
        <f t="shared" si="97"/>
        <v>0</v>
      </c>
      <c r="LF95" s="138">
        <f t="shared" si="97"/>
        <v>0</v>
      </c>
      <c r="LG95" s="138">
        <f t="shared" si="97"/>
        <v>0</v>
      </c>
      <c r="LH95" s="138">
        <f t="shared" si="97"/>
        <v>0</v>
      </c>
      <c r="LI95" s="138">
        <f t="shared" si="97"/>
        <v>0</v>
      </c>
      <c r="LJ95" s="138">
        <f t="shared" si="97"/>
        <v>0</v>
      </c>
      <c r="LK95" s="138">
        <f t="shared" si="97"/>
        <v>0</v>
      </c>
      <c r="LL95" s="138">
        <f t="shared" si="97"/>
        <v>0</v>
      </c>
      <c r="LM95" s="138">
        <f t="shared" ref="LM95:NX95" si="98">(($C28/12*OR(LM$66,LM$67)*LM70)+(($G28-$C28)/12*LM$67*LM77))*1000</f>
        <v>0</v>
      </c>
      <c r="LN95" s="138">
        <f t="shared" si="98"/>
        <v>0</v>
      </c>
      <c r="LO95" s="138">
        <f t="shared" si="98"/>
        <v>0</v>
      </c>
      <c r="LP95" s="138">
        <f t="shared" si="98"/>
        <v>0</v>
      </c>
      <c r="LQ95" s="138">
        <f t="shared" si="98"/>
        <v>0</v>
      </c>
      <c r="LR95" s="138">
        <f t="shared" si="98"/>
        <v>0</v>
      </c>
      <c r="LS95" s="138">
        <f t="shared" si="98"/>
        <v>0</v>
      </c>
      <c r="LT95" s="138">
        <f t="shared" si="98"/>
        <v>0</v>
      </c>
      <c r="LU95" s="138">
        <f t="shared" si="98"/>
        <v>0</v>
      </c>
      <c r="LV95" s="138">
        <f t="shared" si="98"/>
        <v>0</v>
      </c>
      <c r="LW95" s="138">
        <f t="shared" si="98"/>
        <v>0</v>
      </c>
      <c r="LX95" s="138">
        <f t="shared" si="98"/>
        <v>0</v>
      </c>
      <c r="LY95" s="138">
        <f t="shared" si="98"/>
        <v>0</v>
      </c>
      <c r="LZ95" s="138">
        <f t="shared" si="98"/>
        <v>0</v>
      </c>
      <c r="MA95" s="138">
        <f t="shared" si="98"/>
        <v>0</v>
      </c>
      <c r="MB95" s="138">
        <f t="shared" si="98"/>
        <v>0</v>
      </c>
      <c r="MC95" s="138">
        <f t="shared" si="98"/>
        <v>0</v>
      </c>
      <c r="MD95" s="138">
        <f t="shared" si="98"/>
        <v>0</v>
      </c>
      <c r="ME95" s="138">
        <f t="shared" si="98"/>
        <v>0</v>
      </c>
      <c r="MF95" s="138">
        <f t="shared" si="98"/>
        <v>0</v>
      </c>
      <c r="MG95" s="138">
        <f t="shared" si="98"/>
        <v>0</v>
      </c>
      <c r="MH95" s="138">
        <f t="shared" si="98"/>
        <v>0</v>
      </c>
      <c r="MI95" s="138">
        <f t="shared" si="98"/>
        <v>0</v>
      </c>
      <c r="MJ95" s="138">
        <f t="shared" si="98"/>
        <v>0</v>
      </c>
      <c r="MK95" s="138">
        <f t="shared" si="98"/>
        <v>0</v>
      </c>
      <c r="ML95" s="138">
        <f t="shared" si="98"/>
        <v>0</v>
      </c>
      <c r="MM95" s="138">
        <f t="shared" si="98"/>
        <v>0</v>
      </c>
      <c r="MN95" s="138">
        <f t="shared" si="98"/>
        <v>0</v>
      </c>
      <c r="MO95" s="138">
        <f t="shared" si="98"/>
        <v>0</v>
      </c>
      <c r="MP95" s="138">
        <f t="shared" si="98"/>
        <v>0</v>
      </c>
      <c r="MQ95" s="138">
        <f t="shared" si="98"/>
        <v>0</v>
      </c>
      <c r="MR95" s="138">
        <f t="shared" si="98"/>
        <v>0</v>
      </c>
      <c r="MS95" s="138">
        <f t="shared" si="98"/>
        <v>0</v>
      </c>
      <c r="MT95" s="138">
        <f t="shared" si="98"/>
        <v>0</v>
      </c>
      <c r="MU95" s="138">
        <f t="shared" si="98"/>
        <v>0</v>
      </c>
      <c r="MV95" s="138">
        <f t="shared" si="98"/>
        <v>0</v>
      </c>
      <c r="MW95" s="138">
        <f t="shared" si="98"/>
        <v>0</v>
      </c>
      <c r="MX95" s="138">
        <f t="shared" si="98"/>
        <v>0</v>
      </c>
      <c r="MY95" s="138">
        <f t="shared" si="98"/>
        <v>0</v>
      </c>
      <c r="MZ95" s="138">
        <f t="shared" si="98"/>
        <v>0</v>
      </c>
      <c r="NA95" s="138">
        <f t="shared" si="98"/>
        <v>0</v>
      </c>
      <c r="NB95" s="138">
        <f t="shared" si="98"/>
        <v>0</v>
      </c>
      <c r="NC95" s="138">
        <f t="shared" si="98"/>
        <v>0</v>
      </c>
      <c r="ND95" s="138">
        <f t="shared" si="98"/>
        <v>0</v>
      </c>
      <c r="NE95" s="138">
        <f t="shared" si="98"/>
        <v>0</v>
      </c>
      <c r="NF95" s="138">
        <f t="shared" si="98"/>
        <v>0</v>
      </c>
      <c r="NG95" s="138">
        <f t="shared" si="98"/>
        <v>0</v>
      </c>
      <c r="NH95" s="138">
        <f t="shared" si="98"/>
        <v>0</v>
      </c>
      <c r="NI95" s="138">
        <f t="shared" si="98"/>
        <v>0</v>
      </c>
      <c r="NJ95" s="138">
        <f t="shared" si="98"/>
        <v>0</v>
      </c>
      <c r="NK95" s="138">
        <f t="shared" si="98"/>
        <v>0</v>
      </c>
      <c r="NL95" s="138">
        <f t="shared" si="98"/>
        <v>0</v>
      </c>
      <c r="NM95" s="138">
        <f t="shared" si="98"/>
        <v>0</v>
      </c>
      <c r="NN95" s="138">
        <f t="shared" si="98"/>
        <v>0</v>
      </c>
      <c r="NO95" s="138">
        <f t="shared" si="98"/>
        <v>0</v>
      </c>
      <c r="NP95" s="138">
        <f t="shared" si="98"/>
        <v>0</v>
      </c>
      <c r="NQ95" s="138">
        <f t="shared" si="98"/>
        <v>0</v>
      </c>
      <c r="NR95" s="138">
        <f t="shared" si="98"/>
        <v>0</v>
      </c>
      <c r="NS95" s="138">
        <f t="shared" si="98"/>
        <v>0</v>
      </c>
      <c r="NT95" s="138">
        <f t="shared" si="98"/>
        <v>0</v>
      </c>
      <c r="NU95" s="138">
        <f t="shared" si="98"/>
        <v>0</v>
      </c>
      <c r="NV95" s="138">
        <f t="shared" si="98"/>
        <v>0</v>
      </c>
      <c r="NW95" s="138">
        <f t="shared" si="98"/>
        <v>0</v>
      </c>
      <c r="NX95" s="138">
        <f t="shared" si="98"/>
        <v>0</v>
      </c>
      <c r="NY95" s="138">
        <f t="shared" ref="NY95:QJ95" si="99">(($C28/12*OR(NY$66,NY$67)*NY70)+(($G28-$C28)/12*NY$67*NY77))*1000</f>
        <v>0</v>
      </c>
      <c r="NZ95" s="138">
        <f t="shared" si="99"/>
        <v>0</v>
      </c>
      <c r="OA95" s="138">
        <f t="shared" si="99"/>
        <v>0</v>
      </c>
      <c r="OB95" s="138">
        <f t="shared" si="99"/>
        <v>0</v>
      </c>
      <c r="OC95" s="138">
        <f t="shared" si="99"/>
        <v>0</v>
      </c>
      <c r="OD95" s="138">
        <f t="shared" si="99"/>
        <v>0</v>
      </c>
      <c r="OE95" s="138">
        <f t="shared" si="99"/>
        <v>0</v>
      </c>
      <c r="OF95" s="138">
        <f t="shared" si="99"/>
        <v>0</v>
      </c>
      <c r="OG95" s="138">
        <f t="shared" si="99"/>
        <v>0</v>
      </c>
      <c r="OH95" s="138">
        <f t="shared" si="99"/>
        <v>0</v>
      </c>
      <c r="OI95" s="138">
        <f t="shared" si="99"/>
        <v>0</v>
      </c>
      <c r="OJ95" s="138">
        <f t="shared" si="99"/>
        <v>0</v>
      </c>
      <c r="OK95" s="138">
        <f t="shared" si="99"/>
        <v>0</v>
      </c>
      <c r="OL95" s="138">
        <f t="shared" si="99"/>
        <v>0</v>
      </c>
      <c r="OM95" s="138">
        <f t="shared" si="99"/>
        <v>0</v>
      </c>
      <c r="ON95" s="138">
        <f t="shared" si="99"/>
        <v>0</v>
      </c>
      <c r="OO95" s="138">
        <f t="shared" si="99"/>
        <v>0</v>
      </c>
      <c r="OP95" s="138">
        <f t="shared" si="99"/>
        <v>0</v>
      </c>
      <c r="OQ95" s="138">
        <f t="shared" si="99"/>
        <v>0</v>
      </c>
      <c r="OR95" s="138">
        <f t="shared" si="99"/>
        <v>0</v>
      </c>
      <c r="OS95" s="138">
        <f t="shared" si="99"/>
        <v>0</v>
      </c>
      <c r="OT95" s="138">
        <f t="shared" si="99"/>
        <v>0</v>
      </c>
      <c r="OU95" s="138">
        <f t="shared" si="99"/>
        <v>0</v>
      </c>
      <c r="OV95" s="138">
        <f t="shared" si="99"/>
        <v>0</v>
      </c>
      <c r="OW95" s="138">
        <f t="shared" si="99"/>
        <v>0</v>
      </c>
      <c r="OX95" s="138">
        <f t="shared" si="99"/>
        <v>0</v>
      </c>
      <c r="OY95" s="138">
        <f t="shared" si="99"/>
        <v>0</v>
      </c>
      <c r="OZ95" s="138">
        <f t="shared" si="99"/>
        <v>0</v>
      </c>
      <c r="PA95" s="138">
        <f t="shared" si="99"/>
        <v>0</v>
      </c>
      <c r="PB95" s="138">
        <f t="shared" si="99"/>
        <v>0</v>
      </c>
      <c r="PC95" s="138">
        <f t="shared" si="99"/>
        <v>0</v>
      </c>
      <c r="PD95" s="138">
        <f t="shared" si="99"/>
        <v>0</v>
      </c>
      <c r="PE95" s="138">
        <f t="shared" si="99"/>
        <v>0</v>
      </c>
      <c r="PF95" s="138">
        <f t="shared" si="99"/>
        <v>0</v>
      </c>
      <c r="PG95" s="138">
        <f t="shared" si="99"/>
        <v>0</v>
      </c>
      <c r="PH95" s="138">
        <f t="shared" si="99"/>
        <v>0</v>
      </c>
      <c r="PI95" s="138">
        <f t="shared" si="99"/>
        <v>0</v>
      </c>
      <c r="PJ95" s="138">
        <f t="shared" si="99"/>
        <v>0</v>
      </c>
      <c r="PK95" s="138">
        <f t="shared" si="99"/>
        <v>0</v>
      </c>
      <c r="PL95" s="138">
        <f t="shared" si="99"/>
        <v>0</v>
      </c>
      <c r="PM95" s="138">
        <f t="shared" si="99"/>
        <v>0</v>
      </c>
      <c r="PN95" s="138">
        <f t="shared" si="99"/>
        <v>0</v>
      </c>
      <c r="PO95" s="138">
        <f t="shared" si="99"/>
        <v>0</v>
      </c>
      <c r="PP95" s="138">
        <f t="shared" si="99"/>
        <v>0</v>
      </c>
      <c r="PQ95" s="138">
        <f t="shared" si="99"/>
        <v>0</v>
      </c>
      <c r="PR95" s="138">
        <f t="shared" si="99"/>
        <v>0</v>
      </c>
      <c r="PS95" s="138">
        <f t="shared" si="99"/>
        <v>0</v>
      </c>
      <c r="PT95" s="138">
        <f t="shared" si="99"/>
        <v>0</v>
      </c>
      <c r="PU95" s="138">
        <f t="shared" si="99"/>
        <v>0</v>
      </c>
      <c r="PV95" s="138">
        <f t="shared" si="99"/>
        <v>0</v>
      </c>
      <c r="PW95" s="138">
        <f t="shared" si="99"/>
        <v>0</v>
      </c>
      <c r="PX95" s="138">
        <f t="shared" si="99"/>
        <v>0</v>
      </c>
      <c r="PY95" s="138">
        <f t="shared" si="99"/>
        <v>0</v>
      </c>
      <c r="PZ95" s="138">
        <f t="shared" si="99"/>
        <v>0</v>
      </c>
      <c r="QA95" s="138">
        <f t="shared" si="99"/>
        <v>0</v>
      </c>
      <c r="QB95" s="138">
        <f t="shared" si="99"/>
        <v>0</v>
      </c>
      <c r="QC95" s="138">
        <f t="shared" si="99"/>
        <v>0</v>
      </c>
      <c r="QD95" s="138">
        <f t="shared" si="99"/>
        <v>0</v>
      </c>
      <c r="QE95" s="138">
        <f t="shared" si="99"/>
        <v>0</v>
      </c>
      <c r="QF95" s="138">
        <f t="shared" si="99"/>
        <v>0</v>
      </c>
      <c r="QG95" s="138">
        <f t="shared" si="99"/>
        <v>0</v>
      </c>
      <c r="QH95" s="138">
        <f t="shared" si="99"/>
        <v>0</v>
      </c>
      <c r="QI95" s="138">
        <f t="shared" si="99"/>
        <v>0</v>
      </c>
      <c r="QJ95" s="138">
        <f t="shared" si="99"/>
        <v>0</v>
      </c>
      <c r="QK95" s="138">
        <f t="shared" ref="QK95:RR95" si="100">(($C28/12*OR(QK$66,QK$67)*QK70)+(($G28-$C28)/12*QK$67*QK77))*1000</f>
        <v>0</v>
      </c>
      <c r="QL95" s="138">
        <f t="shared" si="100"/>
        <v>0</v>
      </c>
      <c r="QM95" s="138">
        <f t="shared" si="100"/>
        <v>0</v>
      </c>
      <c r="QN95" s="138">
        <f t="shared" si="100"/>
        <v>0</v>
      </c>
      <c r="QO95" s="138">
        <f t="shared" si="100"/>
        <v>0</v>
      </c>
      <c r="QP95" s="138">
        <f t="shared" si="100"/>
        <v>0</v>
      </c>
      <c r="QQ95" s="138">
        <f t="shared" si="100"/>
        <v>0</v>
      </c>
      <c r="QR95" s="138">
        <f t="shared" si="100"/>
        <v>0</v>
      </c>
      <c r="QS95" s="138">
        <f t="shared" si="100"/>
        <v>0</v>
      </c>
      <c r="QT95" s="138">
        <f t="shared" si="100"/>
        <v>0</v>
      </c>
      <c r="QU95" s="138">
        <f t="shared" si="100"/>
        <v>0</v>
      </c>
      <c r="QV95" s="138">
        <f t="shared" si="100"/>
        <v>0</v>
      </c>
      <c r="QW95" s="138">
        <f t="shared" si="100"/>
        <v>0</v>
      </c>
      <c r="QX95" s="138">
        <f t="shared" si="100"/>
        <v>0</v>
      </c>
      <c r="QY95" s="138">
        <f t="shared" si="100"/>
        <v>0</v>
      </c>
      <c r="QZ95" s="138">
        <f t="shared" si="100"/>
        <v>0</v>
      </c>
      <c r="RA95" s="138">
        <f t="shared" si="100"/>
        <v>0</v>
      </c>
      <c r="RB95" s="138">
        <f t="shared" si="100"/>
        <v>0</v>
      </c>
      <c r="RC95" s="138">
        <f t="shared" si="100"/>
        <v>0</v>
      </c>
      <c r="RD95" s="138">
        <f t="shared" si="100"/>
        <v>0</v>
      </c>
      <c r="RE95" s="138">
        <f t="shared" si="100"/>
        <v>0</v>
      </c>
      <c r="RF95" s="138">
        <f t="shared" si="100"/>
        <v>0</v>
      </c>
      <c r="RG95" s="138">
        <f t="shared" si="100"/>
        <v>0</v>
      </c>
      <c r="RH95" s="138">
        <f t="shared" si="100"/>
        <v>0</v>
      </c>
      <c r="RI95" s="138">
        <f t="shared" si="100"/>
        <v>0</v>
      </c>
      <c r="RJ95" s="138">
        <f t="shared" si="100"/>
        <v>0</v>
      </c>
      <c r="RK95" s="138">
        <f t="shared" si="100"/>
        <v>0</v>
      </c>
      <c r="RL95" s="138">
        <f t="shared" si="100"/>
        <v>0</v>
      </c>
      <c r="RM95" s="138">
        <f t="shared" si="100"/>
        <v>0</v>
      </c>
      <c r="RN95" s="138">
        <f t="shared" si="100"/>
        <v>0</v>
      </c>
      <c r="RO95" s="138">
        <f t="shared" si="100"/>
        <v>0</v>
      </c>
      <c r="RP95" s="138">
        <f t="shared" si="100"/>
        <v>0</v>
      </c>
      <c r="RQ95" s="138">
        <f t="shared" si="100"/>
        <v>0</v>
      </c>
      <c r="RR95" s="138">
        <f t="shared" si="100"/>
        <v>0</v>
      </c>
    </row>
    <row r="96" spans="1:486" s="9" customFormat="1">
      <c r="A96" s="286"/>
      <c r="B96" s="39" t="s">
        <v>133</v>
      </c>
      <c r="E96" s="138">
        <f t="shared" ref="E96:BP96" si="101">(($C29/12*OR(E$66,E$67)*E71)+(($G29-$C29)/12*E$67*E78))*1000</f>
        <v>945844.99785852479</v>
      </c>
      <c r="F96" s="138">
        <f t="shared" si="101"/>
        <v>945844.99785852479</v>
      </c>
      <c r="G96" s="138">
        <f t="shared" si="101"/>
        <v>945844.99785852479</v>
      </c>
      <c r="H96" s="138">
        <f t="shared" si="101"/>
        <v>945844.99785852479</v>
      </c>
      <c r="I96" s="138">
        <f t="shared" si="101"/>
        <v>945844.99785852479</v>
      </c>
      <c r="J96" s="138">
        <f t="shared" si="101"/>
        <v>945844.99785852479</v>
      </c>
      <c r="K96" s="138">
        <f t="shared" si="101"/>
        <v>945844.99785852479</v>
      </c>
      <c r="L96" s="138">
        <f t="shared" si="101"/>
        <v>945844.99785852479</v>
      </c>
      <c r="M96" s="138">
        <f t="shared" si="101"/>
        <v>945844.99785852479</v>
      </c>
      <c r="N96" s="138">
        <f t="shared" si="101"/>
        <v>945844.99785852479</v>
      </c>
      <c r="O96" s="138">
        <f t="shared" si="101"/>
        <v>945844.99785852479</v>
      </c>
      <c r="P96" s="138">
        <f t="shared" si="101"/>
        <v>945844.99785852479</v>
      </c>
      <c r="Q96" s="138">
        <f t="shared" si="101"/>
        <v>945844.99785852479</v>
      </c>
      <c r="R96" s="138">
        <f t="shared" si="101"/>
        <v>945844.99785852479</v>
      </c>
      <c r="S96" s="138">
        <f t="shared" si="101"/>
        <v>945844.99785852479</v>
      </c>
      <c r="T96" s="138">
        <f t="shared" si="101"/>
        <v>945844.99785852479</v>
      </c>
      <c r="U96" s="138">
        <f t="shared" si="101"/>
        <v>945844.99785852479</v>
      </c>
      <c r="V96" s="138">
        <f t="shared" si="101"/>
        <v>945844.99785852479</v>
      </c>
      <c r="W96" s="138">
        <f t="shared" si="101"/>
        <v>945844.99785852479</v>
      </c>
      <c r="X96" s="138">
        <f t="shared" si="101"/>
        <v>945844.99785852479</v>
      </c>
      <c r="Y96" s="138">
        <f t="shared" si="101"/>
        <v>945844.99785852479</v>
      </c>
      <c r="Z96" s="138">
        <f t="shared" si="101"/>
        <v>945844.99785852479</v>
      </c>
      <c r="AA96" s="138">
        <f t="shared" si="101"/>
        <v>945844.99785852479</v>
      </c>
      <c r="AB96" s="138">
        <f t="shared" si="101"/>
        <v>945844.99785852479</v>
      </c>
      <c r="AC96" s="138">
        <f t="shared" si="101"/>
        <v>945844.99785852479</v>
      </c>
      <c r="AD96" s="138">
        <f t="shared" si="101"/>
        <v>945844.99785852479</v>
      </c>
      <c r="AE96" s="138">
        <f t="shared" si="101"/>
        <v>945844.99785852479</v>
      </c>
      <c r="AF96" s="138">
        <f t="shared" si="101"/>
        <v>945844.99785852479</v>
      </c>
      <c r="AG96" s="138">
        <f t="shared" si="101"/>
        <v>945844.99785852479</v>
      </c>
      <c r="AH96" s="138">
        <f t="shared" si="101"/>
        <v>945844.99785852479</v>
      </c>
      <c r="AI96" s="138">
        <f t="shared" si="101"/>
        <v>945844.99785852479</v>
      </c>
      <c r="AJ96" s="138">
        <f t="shared" si="101"/>
        <v>945844.99785852479</v>
      </c>
      <c r="AK96" s="138">
        <f t="shared" si="101"/>
        <v>945844.99785852479</v>
      </c>
      <c r="AL96" s="138">
        <f t="shared" si="101"/>
        <v>945844.99785852479</v>
      </c>
      <c r="AM96" s="138">
        <f t="shared" si="101"/>
        <v>945844.99785852479</v>
      </c>
      <c r="AN96" s="138">
        <f t="shared" si="101"/>
        <v>945844.99785852479</v>
      </c>
      <c r="AO96" s="138">
        <f t="shared" si="101"/>
        <v>945844.99785852479</v>
      </c>
      <c r="AP96" s="138">
        <f t="shared" si="101"/>
        <v>945844.99785852479</v>
      </c>
      <c r="AQ96" s="138">
        <f t="shared" si="101"/>
        <v>945844.99785852479</v>
      </c>
      <c r="AR96" s="138">
        <f t="shared" si="101"/>
        <v>945844.99785852479</v>
      </c>
      <c r="AS96" s="138">
        <f t="shared" si="101"/>
        <v>945844.99785852479</v>
      </c>
      <c r="AT96" s="138">
        <f t="shared" si="101"/>
        <v>945844.99785852479</v>
      </c>
      <c r="AU96" s="138">
        <f t="shared" si="101"/>
        <v>945844.99785852479</v>
      </c>
      <c r="AV96" s="138">
        <f t="shared" si="101"/>
        <v>945844.99785852479</v>
      </c>
      <c r="AW96" s="138">
        <f t="shared" si="101"/>
        <v>945844.99785852479</v>
      </c>
      <c r="AX96" s="138">
        <f t="shared" si="101"/>
        <v>945844.99785852479</v>
      </c>
      <c r="AY96" s="138">
        <f t="shared" si="101"/>
        <v>945844.99785852479</v>
      </c>
      <c r="AZ96" s="138">
        <f t="shared" si="101"/>
        <v>945844.99785852479</v>
      </c>
      <c r="BA96" s="138">
        <f t="shared" si="101"/>
        <v>945844.99785852479</v>
      </c>
      <c r="BB96" s="138">
        <f t="shared" si="101"/>
        <v>945844.99785852479</v>
      </c>
      <c r="BC96" s="138">
        <f t="shared" si="101"/>
        <v>945844.99785852479</v>
      </c>
      <c r="BD96" s="138">
        <f t="shared" si="101"/>
        <v>945844.99785852479</v>
      </c>
      <c r="BE96" s="138">
        <f t="shared" si="101"/>
        <v>945844.99785852479</v>
      </c>
      <c r="BF96" s="138">
        <f t="shared" si="101"/>
        <v>945844.99785852479</v>
      </c>
      <c r="BG96" s="138">
        <f t="shared" si="101"/>
        <v>945844.99785852479</v>
      </c>
      <c r="BH96" s="138">
        <f t="shared" si="101"/>
        <v>945844.99785852479</v>
      </c>
      <c r="BI96" s="138">
        <f t="shared" si="101"/>
        <v>945844.99785852479</v>
      </c>
      <c r="BJ96" s="138">
        <f t="shared" si="101"/>
        <v>945844.99785852479</v>
      </c>
      <c r="BK96" s="138">
        <f t="shared" si="101"/>
        <v>945844.99785852479</v>
      </c>
      <c r="BL96" s="138">
        <f t="shared" si="101"/>
        <v>945844.99785852479</v>
      </c>
      <c r="BM96" s="138">
        <f t="shared" si="101"/>
        <v>945844.99785852479</v>
      </c>
      <c r="BN96" s="138">
        <f t="shared" si="101"/>
        <v>945844.99785852479</v>
      </c>
      <c r="BO96" s="138">
        <f t="shared" si="101"/>
        <v>945844.99785852479</v>
      </c>
      <c r="BP96" s="138">
        <f t="shared" si="101"/>
        <v>945844.99785852479</v>
      </c>
      <c r="BQ96" s="138">
        <f t="shared" ref="BQ96:EB96" si="102">(($C29/12*OR(BQ$66,BQ$67)*BQ71)+(($G29-$C29)/12*BQ$67*BQ78))*1000</f>
        <v>945844.99785852479</v>
      </c>
      <c r="BR96" s="138">
        <f t="shared" si="102"/>
        <v>945844.99785852479</v>
      </c>
      <c r="BS96" s="138">
        <f t="shared" si="102"/>
        <v>945844.99785852479</v>
      </c>
      <c r="BT96" s="138">
        <f t="shared" si="102"/>
        <v>945844.99785852479</v>
      </c>
      <c r="BU96" s="138">
        <f t="shared" si="102"/>
        <v>945844.99785852479</v>
      </c>
      <c r="BV96" s="138">
        <f t="shared" si="102"/>
        <v>945844.99785852479</v>
      </c>
      <c r="BW96" s="138">
        <f t="shared" si="102"/>
        <v>945844.99785852479</v>
      </c>
      <c r="BX96" s="138">
        <f t="shared" si="102"/>
        <v>945844.99785852479</v>
      </c>
      <c r="BY96" s="138">
        <f t="shared" si="102"/>
        <v>945844.99785852479</v>
      </c>
      <c r="BZ96" s="138">
        <f t="shared" si="102"/>
        <v>945844.99785852479</v>
      </c>
      <c r="CA96" s="138">
        <f t="shared" si="102"/>
        <v>945844.99785852479</v>
      </c>
      <c r="CB96" s="138">
        <f t="shared" si="102"/>
        <v>945844.99785852479</v>
      </c>
      <c r="CC96" s="138">
        <f t="shared" si="102"/>
        <v>945844.99785852479</v>
      </c>
      <c r="CD96" s="138">
        <f t="shared" si="102"/>
        <v>945844.99785852479</v>
      </c>
      <c r="CE96" s="138">
        <f t="shared" si="102"/>
        <v>945844.99785852479</v>
      </c>
      <c r="CF96" s="138">
        <f t="shared" si="102"/>
        <v>945844.99785852479</v>
      </c>
      <c r="CG96" s="138">
        <f t="shared" si="102"/>
        <v>945844.99785852479</v>
      </c>
      <c r="CH96" s="138">
        <f t="shared" si="102"/>
        <v>945844.99785852479</v>
      </c>
      <c r="CI96" s="138">
        <f t="shared" si="102"/>
        <v>945844.99785852479</v>
      </c>
      <c r="CJ96" s="138">
        <f t="shared" si="102"/>
        <v>945844.99785852479</v>
      </c>
      <c r="CK96" s="138">
        <f t="shared" si="102"/>
        <v>945844.99785852479</v>
      </c>
      <c r="CL96" s="138">
        <f t="shared" si="102"/>
        <v>945844.99785852479</v>
      </c>
      <c r="CM96" s="138">
        <f t="shared" si="102"/>
        <v>945844.99785852479</v>
      </c>
      <c r="CN96" s="138">
        <f t="shared" si="102"/>
        <v>945844.99785852479</v>
      </c>
      <c r="CO96" s="138">
        <f t="shared" si="102"/>
        <v>945844.99785852479</v>
      </c>
      <c r="CP96" s="138">
        <f t="shared" si="102"/>
        <v>945844.99785852479</v>
      </c>
      <c r="CQ96" s="138">
        <f t="shared" si="102"/>
        <v>945844.99785852479</v>
      </c>
      <c r="CR96" s="138">
        <f t="shared" si="102"/>
        <v>945844.99785852479</v>
      </c>
      <c r="CS96" s="138">
        <f t="shared" si="102"/>
        <v>945844.99785852479</v>
      </c>
      <c r="CT96" s="138">
        <f t="shared" si="102"/>
        <v>945844.99785852479</v>
      </c>
      <c r="CU96" s="138">
        <f t="shared" si="102"/>
        <v>945844.99785852479</v>
      </c>
      <c r="CV96" s="138">
        <f t="shared" si="102"/>
        <v>945844.99785852479</v>
      </c>
      <c r="CW96" s="138">
        <f t="shared" si="102"/>
        <v>945844.99785852479</v>
      </c>
      <c r="CX96" s="138">
        <f t="shared" si="102"/>
        <v>945844.99785852479</v>
      </c>
      <c r="CY96" s="138">
        <f t="shared" si="102"/>
        <v>945844.99785852479</v>
      </c>
      <c r="CZ96" s="138">
        <f t="shared" si="102"/>
        <v>945844.99785852479</v>
      </c>
      <c r="DA96" s="138">
        <f t="shared" si="102"/>
        <v>945844.99785852479</v>
      </c>
      <c r="DB96" s="138">
        <f t="shared" si="102"/>
        <v>945844.99785852479</v>
      </c>
      <c r="DC96" s="138">
        <f t="shared" si="102"/>
        <v>945844.99785852479</v>
      </c>
      <c r="DD96" s="138">
        <f t="shared" si="102"/>
        <v>945844.99785852479</v>
      </c>
      <c r="DE96" s="138">
        <f t="shared" si="102"/>
        <v>945844.99785852479</v>
      </c>
      <c r="DF96" s="138">
        <f t="shared" si="102"/>
        <v>945844.99785852479</v>
      </c>
      <c r="DG96" s="138">
        <f t="shared" si="102"/>
        <v>945844.99785852479</v>
      </c>
      <c r="DH96" s="138">
        <f t="shared" si="102"/>
        <v>945844.99785852479</v>
      </c>
      <c r="DI96" s="138">
        <f t="shared" si="102"/>
        <v>945844.99785852479</v>
      </c>
      <c r="DJ96" s="138">
        <f t="shared" si="102"/>
        <v>945844.99785852479</v>
      </c>
      <c r="DK96" s="138">
        <f t="shared" si="102"/>
        <v>945844.99785852479</v>
      </c>
      <c r="DL96" s="138">
        <f t="shared" si="102"/>
        <v>945844.99785852479</v>
      </c>
      <c r="DM96" s="138">
        <f t="shared" si="102"/>
        <v>945844.99785852479</v>
      </c>
      <c r="DN96" s="138">
        <f t="shared" si="102"/>
        <v>945844.99785852479</v>
      </c>
      <c r="DO96" s="138">
        <f t="shared" si="102"/>
        <v>945844.99785852479</v>
      </c>
      <c r="DP96" s="138">
        <f t="shared" si="102"/>
        <v>945844.99785852479</v>
      </c>
      <c r="DQ96" s="138">
        <f t="shared" si="102"/>
        <v>945844.99785852479</v>
      </c>
      <c r="DR96" s="138">
        <f t="shared" si="102"/>
        <v>945844.99785852479</v>
      </c>
      <c r="DS96" s="138">
        <f t="shared" si="102"/>
        <v>945844.99785852479</v>
      </c>
      <c r="DT96" s="138">
        <f t="shared" si="102"/>
        <v>945844.99785852479</v>
      </c>
      <c r="DU96" s="138">
        <f t="shared" si="102"/>
        <v>945844.99785852479</v>
      </c>
      <c r="DV96" s="138">
        <f t="shared" si="102"/>
        <v>945844.99785852479</v>
      </c>
      <c r="DW96" s="138">
        <f t="shared" si="102"/>
        <v>945844.99785852479</v>
      </c>
      <c r="DX96" s="138">
        <f t="shared" si="102"/>
        <v>945844.99785852479</v>
      </c>
      <c r="DY96" s="138">
        <f t="shared" si="102"/>
        <v>945844.99785852479</v>
      </c>
      <c r="DZ96" s="138">
        <f t="shared" si="102"/>
        <v>945844.99785852479</v>
      </c>
      <c r="EA96" s="138">
        <f t="shared" si="102"/>
        <v>945844.99785852479</v>
      </c>
      <c r="EB96" s="138">
        <f t="shared" si="102"/>
        <v>945844.99785852479</v>
      </c>
      <c r="EC96" s="138">
        <f t="shared" ref="EC96:GN96" si="103">(($C29/12*OR(EC$66,EC$67)*EC71)+(($G29-$C29)/12*EC$67*EC78))*1000</f>
        <v>945844.99785852479</v>
      </c>
      <c r="ED96" s="138">
        <f t="shared" si="103"/>
        <v>945844.99785852479</v>
      </c>
      <c r="EE96" s="138">
        <f t="shared" si="103"/>
        <v>945844.99785852479</v>
      </c>
      <c r="EF96" s="138">
        <f t="shared" si="103"/>
        <v>945844.99785852479</v>
      </c>
      <c r="EG96" s="138">
        <f t="shared" si="103"/>
        <v>945844.99785852479</v>
      </c>
      <c r="EH96" s="138">
        <f t="shared" si="103"/>
        <v>945844.99785852479</v>
      </c>
      <c r="EI96" s="138">
        <f t="shared" si="103"/>
        <v>945844.99785852479</v>
      </c>
      <c r="EJ96" s="138">
        <f t="shared" si="103"/>
        <v>945844.99785852479</v>
      </c>
      <c r="EK96" s="138">
        <f t="shared" si="103"/>
        <v>945844.99785852479</v>
      </c>
      <c r="EL96" s="138">
        <f t="shared" si="103"/>
        <v>945844.99785852479</v>
      </c>
      <c r="EM96" s="138">
        <f t="shared" si="103"/>
        <v>945844.99785852479</v>
      </c>
      <c r="EN96" s="138">
        <f t="shared" si="103"/>
        <v>945844.99785852479</v>
      </c>
      <c r="EO96" s="138">
        <f t="shared" si="103"/>
        <v>945844.99785852479</v>
      </c>
      <c r="EP96" s="138">
        <f t="shared" si="103"/>
        <v>945844.99785852479</v>
      </c>
      <c r="EQ96" s="138">
        <f t="shared" si="103"/>
        <v>945844.99785852479</v>
      </c>
      <c r="ER96" s="138">
        <f t="shared" si="103"/>
        <v>945844.99785852479</v>
      </c>
      <c r="ES96" s="138">
        <f t="shared" si="103"/>
        <v>945844.99785852479</v>
      </c>
      <c r="ET96" s="138">
        <f t="shared" si="103"/>
        <v>945844.99785852479</v>
      </c>
      <c r="EU96" s="138">
        <f t="shared" si="103"/>
        <v>945844.99785852479</v>
      </c>
      <c r="EV96" s="138">
        <f t="shared" si="103"/>
        <v>945844.99785852479</v>
      </c>
      <c r="EW96" s="138">
        <f t="shared" si="103"/>
        <v>945844.99785852479</v>
      </c>
      <c r="EX96" s="138">
        <f t="shared" si="103"/>
        <v>945844.99785852479</v>
      </c>
      <c r="EY96" s="138">
        <f t="shared" si="103"/>
        <v>945844.99785852479</v>
      </c>
      <c r="EZ96" s="138">
        <f t="shared" si="103"/>
        <v>945844.99785852479</v>
      </c>
      <c r="FA96" s="138">
        <f t="shared" si="103"/>
        <v>945844.99785852479</v>
      </c>
      <c r="FB96" s="138">
        <f t="shared" si="103"/>
        <v>945844.99785852479</v>
      </c>
      <c r="FC96" s="138">
        <f t="shared" si="103"/>
        <v>945844.99785852479</v>
      </c>
      <c r="FD96" s="138">
        <f t="shared" si="103"/>
        <v>945844.99785852479</v>
      </c>
      <c r="FE96" s="138">
        <f t="shared" si="103"/>
        <v>945844.99785852479</v>
      </c>
      <c r="FF96" s="138">
        <f t="shared" si="103"/>
        <v>945844.99785852479</v>
      </c>
      <c r="FG96" s="138">
        <f t="shared" si="103"/>
        <v>945844.99785852479</v>
      </c>
      <c r="FH96" s="138">
        <f t="shared" si="103"/>
        <v>945844.99785852479</v>
      </c>
      <c r="FI96" s="138">
        <f t="shared" si="103"/>
        <v>945844.99785852479</v>
      </c>
      <c r="FJ96" s="138">
        <f t="shared" si="103"/>
        <v>945844.99785852479</v>
      </c>
      <c r="FK96" s="138">
        <f t="shared" si="103"/>
        <v>945844.99785852479</v>
      </c>
      <c r="FL96" s="138">
        <f t="shared" si="103"/>
        <v>945844.99785852479</v>
      </c>
      <c r="FM96" s="138">
        <f t="shared" si="103"/>
        <v>945844.99785852479</v>
      </c>
      <c r="FN96" s="138">
        <f t="shared" si="103"/>
        <v>945844.99785852479</v>
      </c>
      <c r="FO96" s="138">
        <f t="shared" si="103"/>
        <v>945844.99785852479</v>
      </c>
      <c r="FP96" s="138">
        <f t="shared" si="103"/>
        <v>945844.99785852479</v>
      </c>
      <c r="FQ96" s="138">
        <f t="shared" si="103"/>
        <v>945844.99785852479</v>
      </c>
      <c r="FR96" s="138">
        <f t="shared" si="103"/>
        <v>945844.99785852479</v>
      </c>
      <c r="FS96" s="138">
        <f t="shared" si="103"/>
        <v>945844.99785852479</v>
      </c>
      <c r="FT96" s="138">
        <f t="shared" si="103"/>
        <v>945844.99785852479</v>
      </c>
      <c r="FU96" s="138">
        <f t="shared" si="103"/>
        <v>945844.99785852479</v>
      </c>
      <c r="FV96" s="138">
        <f t="shared" si="103"/>
        <v>945844.99785852479</v>
      </c>
      <c r="FW96" s="138">
        <f t="shared" si="103"/>
        <v>945844.99785852479</v>
      </c>
      <c r="FX96" s="138">
        <f t="shared" si="103"/>
        <v>945844.99785852479</v>
      </c>
      <c r="FY96" s="138">
        <f t="shared" si="103"/>
        <v>945844.99785852479</v>
      </c>
      <c r="FZ96" s="138">
        <f t="shared" si="103"/>
        <v>945844.99785852479</v>
      </c>
      <c r="GA96" s="138">
        <f t="shared" si="103"/>
        <v>945844.99785852479</v>
      </c>
      <c r="GB96" s="138">
        <f t="shared" si="103"/>
        <v>945844.99785852479</v>
      </c>
      <c r="GC96" s="138">
        <f t="shared" si="103"/>
        <v>945844.99785852479</v>
      </c>
      <c r="GD96" s="138">
        <f t="shared" si="103"/>
        <v>945844.99785852479</v>
      </c>
      <c r="GE96" s="138">
        <f t="shared" si="103"/>
        <v>945844.99785852479</v>
      </c>
      <c r="GF96" s="138">
        <f t="shared" si="103"/>
        <v>945844.99785852479</v>
      </c>
      <c r="GG96" s="138">
        <f t="shared" si="103"/>
        <v>945844.99785852479</v>
      </c>
      <c r="GH96" s="138">
        <f t="shared" si="103"/>
        <v>945844.99785852479</v>
      </c>
      <c r="GI96" s="138">
        <f t="shared" si="103"/>
        <v>945844.99785852479</v>
      </c>
      <c r="GJ96" s="138">
        <f t="shared" si="103"/>
        <v>945844.99785852479</v>
      </c>
      <c r="GK96" s="138">
        <f t="shared" si="103"/>
        <v>945844.99785852479</v>
      </c>
      <c r="GL96" s="138">
        <f t="shared" si="103"/>
        <v>945844.99785852479</v>
      </c>
      <c r="GM96" s="138">
        <f t="shared" si="103"/>
        <v>945844.99785852479</v>
      </c>
      <c r="GN96" s="138">
        <f t="shared" si="103"/>
        <v>945844.99785852479</v>
      </c>
      <c r="GO96" s="138">
        <f t="shared" ref="GO96:IZ96" si="104">(($C29/12*OR(GO$66,GO$67)*GO71)+(($G29-$C29)/12*GO$67*GO78))*1000</f>
        <v>945844.99785852479</v>
      </c>
      <c r="GP96" s="138">
        <f t="shared" si="104"/>
        <v>945844.99785852479</v>
      </c>
      <c r="GQ96" s="138">
        <f t="shared" si="104"/>
        <v>945844.99785852479</v>
      </c>
      <c r="GR96" s="138">
        <f t="shared" si="104"/>
        <v>945844.99785852479</v>
      </c>
      <c r="GS96" s="138">
        <f t="shared" si="104"/>
        <v>945844.99785852479</v>
      </c>
      <c r="GT96" s="138">
        <f t="shared" si="104"/>
        <v>945844.99785852479</v>
      </c>
      <c r="GU96" s="138">
        <f t="shared" si="104"/>
        <v>945844.99785852479</v>
      </c>
      <c r="GV96" s="138">
        <f t="shared" si="104"/>
        <v>945844.99785852479</v>
      </c>
      <c r="GW96" s="138">
        <f t="shared" si="104"/>
        <v>945844.99785852479</v>
      </c>
      <c r="GX96" s="138">
        <f t="shared" si="104"/>
        <v>945844.99785852479</v>
      </c>
      <c r="GY96" s="138">
        <f t="shared" si="104"/>
        <v>945844.99785852479</v>
      </c>
      <c r="GZ96" s="138">
        <f t="shared" si="104"/>
        <v>945844.99785852479</v>
      </c>
      <c r="HA96" s="138">
        <f t="shared" si="104"/>
        <v>945844.99785852479</v>
      </c>
      <c r="HB96" s="138">
        <f t="shared" si="104"/>
        <v>945844.99785852479</v>
      </c>
      <c r="HC96" s="138">
        <f t="shared" si="104"/>
        <v>945844.99785852479</v>
      </c>
      <c r="HD96" s="138">
        <f t="shared" si="104"/>
        <v>945844.99785852479</v>
      </c>
      <c r="HE96" s="138">
        <f t="shared" si="104"/>
        <v>945844.99785852479</v>
      </c>
      <c r="HF96" s="138">
        <f t="shared" si="104"/>
        <v>945844.99785852479</v>
      </c>
      <c r="HG96" s="138">
        <f t="shared" si="104"/>
        <v>945844.99785852479</v>
      </c>
      <c r="HH96" s="138">
        <f t="shared" si="104"/>
        <v>945844.99785852479</v>
      </c>
      <c r="HI96" s="138">
        <f t="shared" si="104"/>
        <v>945844.99785852479</v>
      </c>
      <c r="HJ96" s="138">
        <f t="shared" si="104"/>
        <v>945844.99785852479</v>
      </c>
      <c r="HK96" s="138">
        <f t="shared" si="104"/>
        <v>945844.99785852479</v>
      </c>
      <c r="HL96" s="138">
        <f t="shared" si="104"/>
        <v>945844.99785852479</v>
      </c>
      <c r="HM96" s="138">
        <f t="shared" si="104"/>
        <v>945844.99785852479</v>
      </c>
      <c r="HN96" s="138">
        <f t="shared" si="104"/>
        <v>945844.99785852479</v>
      </c>
      <c r="HO96" s="138">
        <f t="shared" si="104"/>
        <v>945844.99785852479</v>
      </c>
      <c r="HP96" s="138">
        <f t="shared" si="104"/>
        <v>945844.99785852479</v>
      </c>
      <c r="HQ96" s="138">
        <f t="shared" si="104"/>
        <v>945844.99785852479</v>
      </c>
      <c r="HR96" s="138">
        <f t="shared" si="104"/>
        <v>945844.99785852479</v>
      </c>
      <c r="HS96" s="138">
        <f t="shared" si="104"/>
        <v>945844.99785852479</v>
      </c>
      <c r="HT96" s="138">
        <f t="shared" si="104"/>
        <v>945844.99785852479</v>
      </c>
      <c r="HU96" s="138">
        <f t="shared" si="104"/>
        <v>945844.99785852479</v>
      </c>
      <c r="HV96" s="138">
        <f t="shared" si="104"/>
        <v>945844.99785852479</v>
      </c>
      <c r="HW96" s="138">
        <f t="shared" si="104"/>
        <v>945844.99785852479</v>
      </c>
      <c r="HX96" s="138">
        <f t="shared" si="104"/>
        <v>945844.99785852479</v>
      </c>
      <c r="HY96" s="138">
        <f t="shared" si="104"/>
        <v>945844.99785852479</v>
      </c>
      <c r="HZ96" s="138">
        <f t="shared" si="104"/>
        <v>945844.99785852479</v>
      </c>
      <c r="IA96" s="138">
        <f t="shared" si="104"/>
        <v>945844.99785852479</v>
      </c>
      <c r="IB96" s="138">
        <f t="shared" si="104"/>
        <v>945844.99785852479</v>
      </c>
      <c r="IC96" s="138">
        <f t="shared" si="104"/>
        <v>945844.99785852479</v>
      </c>
      <c r="ID96" s="138">
        <f t="shared" si="104"/>
        <v>945844.99785852479</v>
      </c>
      <c r="IE96" s="138">
        <f t="shared" si="104"/>
        <v>945844.99785852479</v>
      </c>
      <c r="IF96" s="138">
        <f t="shared" si="104"/>
        <v>945844.99785852479</v>
      </c>
      <c r="IG96" s="138">
        <f t="shared" si="104"/>
        <v>945844.99785852479</v>
      </c>
      <c r="IH96" s="138">
        <f t="shared" si="104"/>
        <v>945844.99785852479</v>
      </c>
      <c r="II96" s="138">
        <f t="shared" si="104"/>
        <v>945844.99785852479</v>
      </c>
      <c r="IJ96" s="138">
        <f t="shared" si="104"/>
        <v>945844.99785852479</v>
      </c>
      <c r="IK96" s="138">
        <f t="shared" si="104"/>
        <v>0</v>
      </c>
      <c r="IL96" s="138">
        <f t="shared" si="104"/>
        <v>0</v>
      </c>
      <c r="IM96" s="138">
        <f t="shared" si="104"/>
        <v>0</v>
      </c>
      <c r="IN96" s="138">
        <f t="shared" si="104"/>
        <v>0</v>
      </c>
      <c r="IO96" s="138">
        <f t="shared" si="104"/>
        <v>0</v>
      </c>
      <c r="IP96" s="138">
        <f t="shared" si="104"/>
        <v>0</v>
      </c>
      <c r="IQ96" s="138">
        <f t="shared" si="104"/>
        <v>0</v>
      </c>
      <c r="IR96" s="138">
        <f t="shared" si="104"/>
        <v>0</v>
      </c>
      <c r="IS96" s="138">
        <f t="shared" si="104"/>
        <v>0</v>
      </c>
      <c r="IT96" s="138">
        <f t="shared" si="104"/>
        <v>0</v>
      </c>
      <c r="IU96" s="138">
        <f t="shared" si="104"/>
        <v>0</v>
      </c>
      <c r="IV96" s="138">
        <f t="shared" si="104"/>
        <v>0</v>
      </c>
      <c r="IW96" s="138">
        <f t="shared" si="104"/>
        <v>0</v>
      </c>
      <c r="IX96" s="138">
        <f t="shared" si="104"/>
        <v>0</v>
      </c>
      <c r="IY96" s="138">
        <f t="shared" si="104"/>
        <v>0</v>
      </c>
      <c r="IZ96" s="138">
        <f t="shared" si="104"/>
        <v>0</v>
      </c>
      <c r="JA96" s="138">
        <f t="shared" ref="JA96:LL96" si="105">(($C29/12*OR(JA$66,JA$67)*JA71)+(($G29-$C29)/12*JA$67*JA78))*1000</f>
        <v>0</v>
      </c>
      <c r="JB96" s="138">
        <f t="shared" si="105"/>
        <v>0</v>
      </c>
      <c r="JC96" s="138">
        <f t="shared" si="105"/>
        <v>0</v>
      </c>
      <c r="JD96" s="138">
        <f t="shared" si="105"/>
        <v>0</v>
      </c>
      <c r="JE96" s="138">
        <f t="shared" si="105"/>
        <v>0</v>
      </c>
      <c r="JF96" s="138">
        <f t="shared" si="105"/>
        <v>0</v>
      </c>
      <c r="JG96" s="138">
        <f t="shared" si="105"/>
        <v>0</v>
      </c>
      <c r="JH96" s="138">
        <f t="shared" si="105"/>
        <v>0</v>
      </c>
      <c r="JI96" s="138">
        <f t="shared" si="105"/>
        <v>0</v>
      </c>
      <c r="JJ96" s="138">
        <f t="shared" si="105"/>
        <v>0</v>
      </c>
      <c r="JK96" s="138">
        <f t="shared" si="105"/>
        <v>0</v>
      </c>
      <c r="JL96" s="138">
        <f t="shared" si="105"/>
        <v>0</v>
      </c>
      <c r="JM96" s="138">
        <f t="shared" si="105"/>
        <v>0</v>
      </c>
      <c r="JN96" s="138">
        <f t="shared" si="105"/>
        <v>0</v>
      </c>
      <c r="JO96" s="138">
        <f t="shared" si="105"/>
        <v>0</v>
      </c>
      <c r="JP96" s="138">
        <f t="shared" si="105"/>
        <v>0</v>
      </c>
      <c r="JQ96" s="138">
        <f t="shared" si="105"/>
        <v>0</v>
      </c>
      <c r="JR96" s="138">
        <f t="shared" si="105"/>
        <v>0</v>
      </c>
      <c r="JS96" s="138">
        <f t="shared" si="105"/>
        <v>0</v>
      </c>
      <c r="JT96" s="138">
        <f t="shared" si="105"/>
        <v>0</v>
      </c>
      <c r="JU96" s="138">
        <f t="shared" si="105"/>
        <v>0</v>
      </c>
      <c r="JV96" s="138">
        <f t="shared" si="105"/>
        <v>0</v>
      </c>
      <c r="JW96" s="138">
        <f t="shared" si="105"/>
        <v>0</v>
      </c>
      <c r="JX96" s="138">
        <f t="shared" si="105"/>
        <v>0</v>
      </c>
      <c r="JY96" s="138">
        <f t="shared" si="105"/>
        <v>0</v>
      </c>
      <c r="JZ96" s="138">
        <f t="shared" si="105"/>
        <v>0</v>
      </c>
      <c r="KA96" s="138">
        <f t="shared" si="105"/>
        <v>0</v>
      </c>
      <c r="KB96" s="138">
        <f t="shared" si="105"/>
        <v>0</v>
      </c>
      <c r="KC96" s="138">
        <f t="shared" si="105"/>
        <v>0</v>
      </c>
      <c r="KD96" s="138">
        <f t="shared" si="105"/>
        <v>0</v>
      </c>
      <c r="KE96" s="138">
        <f t="shared" si="105"/>
        <v>0</v>
      </c>
      <c r="KF96" s="138">
        <f t="shared" si="105"/>
        <v>0</v>
      </c>
      <c r="KG96" s="138">
        <f t="shared" si="105"/>
        <v>0</v>
      </c>
      <c r="KH96" s="138">
        <f t="shared" si="105"/>
        <v>0</v>
      </c>
      <c r="KI96" s="138">
        <f t="shared" si="105"/>
        <v>0</v>
      </c>
      <c r="KJ96" s="138">
        <f t="shared" si="105"/>
        <v>0</v>
      </c>
      <c r="KK96" s="138">
        <f t="shared" si="105"/>
        <v>0</v>
      </c>
      <c r="KL96" s="138">
        <f t="shared" si="105"/>
        <v>0</v>
      </c>
      <c r="KM96" s="138">
        <f t="shared" si="105"/>
        <v>0</v>
      </c>
      <c r="KN96" s="138">
        <f t="shared" si="105"/>
        <v>0</v>
      </c>
      <c r="KO96" s="138">
        <f t="shared" si="105"/>
        <v>0</v>
      </c>
      <c r="KP96" s="138">
        <f t="shared" si="105"/>
        <v>0</v>
      </c>
      <c r="KQ96" s="138">
        <f t="shared" si="105"/>
        <v>0</v>
      </c>
      <c r="KR96" s="138">
        <f t="shared" si="105"/>
        <v>0</v>
      </c>
      <c r="KS96" s="138">
        <f t="shared" si="105"/>
        <v>0</v>
      </c>
      <c r="KT96" s="138">
        <f t="shared" si="105"/>
        <v>0</v>
      </c>
      <c r="KU96" s="138">
        <f t="shared" si="105"/>
        <v>0</v>
      </c>
      <c r="KV96" s="138">
        <f t="shared" si="105"/>
        <v>0</v>
      </c>
      <c r="KW96" s="138">
        <f t="shared" si="105"/>
        <v>0</v>
      </c>
      <c r="KX96" s="138">
        <f t="shared" si="105"/>
        <v>0</v>
      </c>
      <c r="KY96" s="138">
        <f t="shared" si="105"/>
        <v>0</v>
      </c>
      <c r="KZ96" s="138">
        <f t="shared" si="105"/>
        <v>0</v>
      </c>
      <c r="LA96" s="138">
        <f t="shared" si="105"/>
        <v>0</v>
      </c>
      <c r="LB96" s="138">
        <f t="shared" si="105"/>
        <v>0</v>
      </c>
      <c r="LC96" s="138">
        <f t="shared" si="105"/>
        <v>0</v>
      </c>
      <c r="LD96" s="138">
        <f t="shared" si="105"/>
        <v>0</v>
      </c>
      <c r="LE96" s="138">
        <f t="shared" si="105"/>
        <v>0</v>
      </c>
      <c r="LF96" s="138">
        <f t="shared" si="105"/>
        <v>0</v>
      </c>
      <c r="LG96" s="138">
        <f t="shared" si="105"/>
        <v>0</v>
      </c>
      <c r="LH96" s="138">
        <f t="shared" si="105"/>
        <v>0</v>
      </c>
      <c r="LI96" s="138">
        <f t="shared" si="105"/>
        <v>0</v>
      </c>
      <c r="LJ96" s="138">
        <f t="shared" si="105"/>
        <v>0</v>
      </c>
      <c r="LK96" s="138">
        <f t="shared" si="105"/>
        <v>0</v>
      </c>
      <c r="LL96" s="138">
        <f t="shared" si="105"/>
        <v>0</v>
      </c>
      <c r="LM96" s="138">
        <f t="shared" ref="LM96:NX96" si="106">(($C29/12*OR(LM$66,LM$67)*LM71)+(($G29-$C29)/12*LM$67*LM78))*1000</f>
        <v>0</v>
      </c>
      <c r="LN96" s="138">
        <f t="shared" si="106"/>
        <v>0</v>
      </c>
      <c r="LO96" s="138">
        <f t="shared" si="106"/>
        <v>0</v>
      </c>
      <c r="LP96" s="138">
        <f t="shared" si="106"/>
        <v>0</v>
      </c>
      <c r="LQ96" s="138">
        <f t="shared" si="106"/>
        <v>0</v>
      </c>
      <c r="LR96" s="138">
        <f t="shared" si="106"/>
        <v>0</v>
      </c>
      <c r="LS96" s="138">
        <f t="shared" si="106"/>
        <v>0</v>
      </c>
      <c r="LT96" s="138">
        <f t="shared" si="106"/>
        <v>0</v>
      </c>
      <c r="LU96" s="138">
        <f t="shared" si="106"/>
        <v>0</v>
      </c>
      <c r="LV96" s="138">
        <f t="shared" si="106"/>
        <v>0</v>
      </c>
      <c r="LW96" s="138">
        <f t="shared" si="106"/>
        <v>0</v>
      </c>
      <c r="LX96" s="138">
        <f t="shared" si="106"/>
        <v>0</v>
      </c>
      <c r="LY96" s="138">
        <f t="shared" si="106"/>
        <v>0</v>
      </c>
      <c r="LZ96" s="138">
        <f t="shared" si="106"/>
        <v>0</v>
      </c>
      <c r="MA96" s="138">
        <f t="shared" si="106"/>
        <v>0</v>
      </c>
      <c r="MB96" s="138">
        <f t="shared" si="106"/>
        <v>0</v>
      </c>
      <c r="MC96" s="138">
        <f t="shared" si="106"/>
        <v>0</v>
      </c>
      <c r="MD96" s="138">
        <f t="shared" si="106"/>
        <v>0</v>
      </c>
      <c r="ME96" s="138">
        <f t="shared" si="106"/>
        <v>0</v>
      </c>
      <c r="MF96" s="138">
        <f t="shared" si="106"/>
        <v>0</v>
      </c>
      <c r="MG96" s="138">
        <f t="shared" si="106"/>
        <v>0</v>
      </c>
      <c r="MH96" s="138">
        <f t="shared" si="106"/>
        <v>0</v>
      </c>
      <c r="MI96" s="138">
        <f t="shared" si="106"/>
        <v>0</v>
      </c>
      <c r="MJ96" s="138">
        <f t="shared" si="106"/>
        <v>0</v>
      </c>
      <c r="MK96" s="138">
        <f t="shared" si="106"/>
        <v>0</v>
      </c>
      <c r="ML96" s="138">
        <f t="shared" si="106"/>
        <v>0</v>
      </c>
      <c r="MM96" s="138">
        <f t="shared" si="106"/>
        <v>0</v>
      </c>
      <c r="MN96" s="138">
        <f t="shared" si="106"/>
        <v>0</v>
      </c>
      <c r="MO96" s="138">
        <f t="shared" si="106"/>
        <v>0</v>
      </c>
      <c r="MP96" s="138">
        <f t="shared" si="106"/>
        <v>0</v>
      </c>
      <c r="MQ96" s="138">
        <f t="shared" si="106"/>
        <v>0</v>
      </c>
      <c r="MR96" s="138">
        <f t="shared" si="106"/>
        <v>0</v>
      </c>
      <c r="MS96" s="138">
        <f t="shared" si="106"/>
        <v>0</v>
      </c>
      <c r="MT96" s="138">
        <f t="shared" si="106"/>
        <v>0</v>
      </c>
      <c r="MU96" s="138">
        <f t="shared" si="106"/>
        <v>0</v>
      </c>
      <c r="MV96" s="138">
        <f t="shared" si="106"/>
        <v>0</v>
      </c>
      <c r="MW96" s="138">
        <f t="shared" si="106"/>
        <v>0</v>
      </c>
      <c r="MX96" s="138">
        <f t="shared" si="106"/>
        <v>0</v>
      </c>
      <c r="MY96" s="138">
        <f t="shared" si="106"/>
        <v>0</v>
      </c>
      <c r="MZ96" s="138">
        <f t="shared" si="106"/>
        <v>0</v>
      </c>
      <c r="NA96" s="138">
        <f t="shared" si="106"/>
        <v>0</v>
      </c>
      <c r="NB96" s="138">
        <f t="shared" si="106"/>
        <v>0</v>
      </c>
      <c r="NC96" s="138">
        <f t="shared" si="106"/>
        <v>0</v>
      </c>
      <c r="ND96" s="138">
        <f t="shared" si="106"/>
        <v>0</v>
      </c>
      <c r="NE96" s="138">
        <f t="shared" si="106"/>
        <v>0</v>
      </c>
      <c r="NF96" s="138">
        <f t="shared" si="106"/>
        <v>0</v>
      </c>
      <c r="NG96" s="138">
        <f t="shared" si="106"/>
        <v>0</v>
      </c>
      <c r="NH96" s="138">
        <f t="shared" si="106"/>
        <v>0</v>
      </c>
      <c r="NI96" s="138">
        <f t="shared" si="106"/>
        <v>0</v>
      </c>
      <c r="NJ96" s="138">
        <f t="shared" si="106"/>
        <v>0</v>
      </c>
      <c r="NK96" s="138">
        <f t="shared" si="106"/>
        <v>0</v>
      </c>
      <c r="NL96" s="138">
        <f t="shared" si="106"/>
        <v>0</v>
      </c>
      <c r="NM96" s="138">
        <f t="shared" si="106"/>
        <v>0</v>
      </c>
      <c r="NN96" s="138">
        <f t="shared" si="106"/>
        <v>0</v>
      </c>
      <c r="NO96" s="138">
        <f t="shared" si="106"/>
        <v>0</v>
      </c>
      <c r="NP96" s="138">
        <f t="shared" si="106"/>
        <v>0</v>
      </c>
      <c r="NQ96" s="138">
        <f t="shared" si="106"/>
        <v>0</v>
      </c>
      <c r="NR96" s="138">
        <f t="shared" si="106"/>
        <v>0</v>
      </c>
      <c r="NS96" s="138">
        <f t="shared" si="106"/>
        <v>0</v>
      </c>
      <c r="NT96" s="138">
        <f t="shared" si="106"/>
        <v>0</v>
      </c>
      <c r="NU96" s="138">
        <f t="shared" si="106"/>
        <v>0</v>
      </c>
      <c r="NV96" s="138">
        <f t="shared" si="106"/>
        <v>0</v>
      </c>
      <c r="NW96" s="138">
        <f t="shared" si="106"/>
        <v>0</v>
      </c>
      <c r="NX96" s="138">
        <f t="shared" si="106"/>
        <v>0</v>
      </c>
      <c r="NY96" s="138">
        <f t="shared" ref="NY96:QJ96" si="107">(($C29/12*OR(NY$66,NY$67)*NY71)+(($G29-$C29)/12*NY$67*NY78))*1000</f>
        <v>0</v>
      </c>
      <c r="NZ96" s="138">
        <f t="shared" si="107"/>
        <v>0</v>
      </c>
      <c r="OA96" s="138">
        <f t="shared" si="107"/>
        <v>0</v>
      </c>
      <c r="OB96" s="138">
        <f t="shared" si="107"/>
        <v>0</v>
      </c>
      <c r="OC96" s="138">
        <f t="shared" si="107"/>
        <v>0</v>
      </c>
      <c r="OD96" s="138">
        <f t="shared" si="107"/>
        <v>0</v>
      </c>
      <c r="OE96" s="138">
        <f t="shared" si="107"/>
        <v>0</v>
      </c>
      <c r="OF96" s="138">
        <f t="shared" si="107"/>
        <v>0</v>
      </c>
      <c r="OG96" s="138">
        <f t="shared" si="107"/>
        <v>0</v>
      </c>
      <c r="OH96" s="138">
        <f t="shared" si="107"/>
        <v>0</v>
      </c>
      <c r="OI96" s="138">
        <f t="shared" si="107"/>
        <v>0</v>
      </c>
      <c r="OJ96" s="138">
        <f t="shared" si="107"/>
        <v>0</v>
      </c>
      <c r="OK96" s="138">
        <f t="shared" si="107"/>
        <v>0</v>
      </c>
      <c r="OL96" s="138">
        <f t="shared" si="107"/>
        <v>0</v>
      </c>
      <c r="OM96" s="138">
        <f t="shared" si="107"/>
        <v>0</v>
      </c>
      <c r="ON96" s="138">
        <f t="shared" si="107"/>
        <v>0</v>
      </c>
      <c r="OO96" s="138">
        <f t="shared" si="107"/>
        <v>0</v>
      </c>
      <c r="OP96" s="138">
        <f t="shared" si="107"/>
        <v>0</v>
      </c>
      <c r="OQ96" s="138">
        <f t="shared" si="107"/>
        <v>0</v>
      </c>
      <c r="OR96" s="138">
        <f t="shared" si="107"/>
        <v>0</v>
      </c>
      <c r="OS96" s="138">
        <f t="shared" si="107"/>
        <v>0</v>
      </c>
      <c r="OT96" s="138">
        <f t="shared" si="107"/>
        <v>0</v>
      </c>
      <c r="OU96" s="138">
        <f t="shared" si="107"/>
        <v>0</v>
      </c>
      <c r="OV96" s="138">
        <f t="shared" si="107"/>
        <v>0</v>
      </c>
      <c r="OW96" s="138">
        <f t="shared" si="107"/>
        <v>0</v>
      </c>
      <c r="OX96" s="138">
        <f t="shared" si="107"/>
        <v>0</v>
      </c>
      <c r="OY96" s="138">
        <f t="shared" si="107"/>
        <v>0</v>
      </c>
      <c r="OZ96" s="138">
        <f t="shared" si="107"/>
        <v>0</v>
      </c>
      <c r="PA96" s="138">
        <f t="shared" si="107"/>
        <v>0</v>
      </c>
      <c r="PB96" s="138">
        <f t="shared" si="107"/>
        <v>0</v>
      </c>
      <c r="PC96" s="138">
        <f t="shared" si="107"/>
        <v>0</v>
      </c>
      <c r="PD96" s="138">
        <f t="shared" si="107"/>
        <v>0</v>
      </c>
      <c r="PE96" s="138">
        <f t="shared" si="107"/>
        <v>0</v>
      </c>
      <c r="PF96" s="138">
        <f t="shared" si="107"/>
        <v>0</v>
      </c>
      <c r="PG96" s="138">
        <f t="shared" si="107"/>
        <v>0</v>
      </c>
      <c r="PH96" s="138">
        <f t="shared" si="107"/>
        <v>0</v>
      </c>
      <c r="PI96" s="138">
        <f t="shared" si="107"/>
        <v>0</v>
      </c>
      <c r="PJ96" s="138">
        <f t="shared" si="107"/>
        <v>0</v>
      </c>
      <c r="PK96" s="138">
        <f t="shared" si="107"/>
        <v>0</v>
      </c>
      <c r="PL96" s="138">
        <f t="shared" si="107"/>
        <v>0</v>
      </c>
      <c r="PM96" s="138">
        <f t="shared" si="107"/>
        <v>0</v>
      </c>
      <c r="PN96" s="138">
        <f t="shared" si="107"/>
        <v>0</v>
      </c>
      <c r="PO96" s="138">
        <f t="shared" si="107"/>
        <v>0</v>
      </c>
      <c r="PP96" s="138">
        <f t="shared" si="107"/>
        <v>0</v>
      </c>
      <c r="PQ96" s="138">
        <f t="shared" si="107"/>
        <v>0</v>
      </c>
      <c r="PR96" s="138">
        <f t="shared" si="107"/>
        <v>0</v>
      </c>
      <c r="PS96" s="138">
        <f t="shared" si="107"/>
        <v>0</v>
      </c>
      <c r="PT96" s="138">
        <f t="shared" si="107"/>
        <v>0</v>
      </c>
      <c r="PU96" s="138">
        <f t="shared" si="107"/>
        <v>0</v>
      </c>
      <c r="PV96" s="138">
        <f t="shared" si="107"/>
        <v>0</v>
      </c>
      <c r="PW96" s="138">
        <f t="shared" si="107"/>
        <v>0</v>
      </c>
      <c r="PX96" s="138">
        <f t="shared" si="107"/>
        <v>0</v>
      </c>
      <c r="PY96" s="138">
        <f t="shared" si="107"/>
        <v>0</v>
      </c>
      <c r="PZ96" s="138">
        <f t="shared" si="107"/>
        <v>0</v>
      </c>
      <c r="QA96" s="138">
        <f t="shared" si="107"/>
        <v>0</v>
      </c>
      <c r="QB96" s="138">
        <f t="shared" si="107"/>
        <v>0</v>
      </c>
      <c r="QC96" s="138">
        <f t="shared" si="107"/>
        <v>0</v>
      </c>
      <c r="QD96" s="138">
        <f t="shared" si="107"/>
        <v>0</v>
      </c>
      <c r="QE96" s="138">
        <f t="shared" si="107"/>
        <v>0</v>
      </c>
      <c r="QF96" s="138">
        <f t="shared" si="107"/>
        <v>0</v>
      </c>
      <c r="QG96" s="138">
        <f t="shared" si="107"/>
        <v>0</v>
      </c>
      <c r="QH96" s="138">
        <f t="shared" si="107"/>
        <v>0</v>
      </c>
      <c r="QI96" s="138">
        <f t="shared" si="107"/>
        <v>0</v>
      </c>
      <c r="QJ96" s="138">
        <f t="shared" si="107"/>
        <v>0</v>
      </c>
      <c r="QK96" s="138">
        <f t="shared" ref="QK96:RR96" si="108">(($C29/12*OR(QK$66,QK$67)*QK71)+(($G29-$C29)/12*QK$67*QK78))*1000</f>
        <v>0</v>
      </c>
      <c r="QL96" s="138">
        <f t="shared" si="108"/>
        <v>0</v>
      </c>
      <c r="QM96" s="138">
        <f t="shared" si="108"/>
        <v>0</v>
      </c>
      <c r="QN96" s="138">
        <f t="shared" si="108"/>
        <v>0</v>
      </c>
      <c r="QO96" s="138">
        <f t="shared" si="108"/>
        <v>0</v>
      </c>
      <c r="QP96" s="138">
        <f t="shared" si="108"/>
        <v>0</v>
      </c>
      <c r="QQ96" s="138">
        <f t="shared" si="108"/>
        <v>0</v>
      </c>
      <c r="QR96" s="138">
        <f t="shared" si="108"/>
        <v>0</v>
      </c>
      <c r="QS96" s="138">
        <f t="shared" si="108"/>
        <v>0</v>
      </c>
      <c r="QT96" s="138">
        <f t="shared" si="108"/>
        <v>0</v>
      </c>
      <c r="QU96" s="138">
        <f t="shared" si="108"/>
        <v>0</v>
      </c>
      <c r="QV96" s="138">
        <f t="shared" si="108"/>
        <v>0</v>
      </c>
      <c r="QW96" s="138">
        <f t="shared" si="108"/>
        <v>0</v>
      </c>
      <c r="QX96" s="138">
        <f t="shared" si="108"/>
        <v>0</v>
      </c>
      <c r="QY96" s="138">
        <f t="shared" si="108"/>
        <v>0</v>
      </c>
      <c r="QZ96" s="138">
        <f t="shared" si="108"/>
        <v>0</v>
      </c>
      <c r="RA96" s="138">
        <f t="shared" si="108"/>
        <v>0</v>
      </c>
      <c r="RB96" s="138">
        <f t="shared" si="108"/>
        <v>0</v>
      </c>
      <c r="RC96" s="138">
        <f t="shared" si="108"/>
        <v>0</v>
      </c>
      <c r="RD96" s="138">
        <f t="shared" si="108"/>
        <v>0</v>
      </c>
      <c r="RE96" s="138">
        <f t="shared" si="108"/>
        <v>0</v>
      </c>
      <c r="RF96" s="138">
        <f t="shared" si="108"/>
        <v>0</v>
      </c>
      <c r="RG96" s="138">
        <f t="shared" si="108"/>
        <v>0</v>
      </c>
      <c r="RH96" s="138">
        <f t="shared" si="108"/>
        <v>0</v>
      </c>
      <c r="RI96" s="138">
        <f t="shared" si="108"/>
        <v>0</v>
      </c>
      <c r="RJ96" s="138">
        <f t="shared" si="108"/>
        <v>0</v>
      </c>
      <c r="RK96" s="138">
        <f t="shared" si="108"/>
        <v>0</v>
      </c>
      <c r="RL96" s="138">
        <f t="shared" si="108"/>
        <v>0</v>
      </c>
      <c r="RM96" s="138">
        <f t="shared" si="108"/>
        <v>0</v>
      </c>
      <c r="RN96" s="138">
        <f t="shared" si="108"/>
        <v>0</v>
      </c>
      <c r="RO96" s="138">
        <f t="shared" si="108"/>
        <v>0</v>
      </c>
      <c r="RP96" s="138">
        <f t="shared" si="108"/>
        <v>0</v>
      </c>
      <c r="RQ96" s="138">
        <f t="shared" si="108"/>
        <v>0</v>
      </c>
      <c r="RR96" s="138">
        <f t="shared" si="108"/>
        <v>0</v>
      </c>
    </row>
    <row r="97" spans="1:486" s="9" customFormat="1">
      <c r="A97" s="286"/>
      <c r="B97" s="39" t="s">
        <v>134</v>
      </c>
      <c r="E97" s="138">
        <f t="shared" ref="E97:BP97" si="109">(($C30/12*OR(E$66,E$67)*E72)+(($G30-$C30)/12*E$67*E79))*1000</f>
        <v>10092372.064343134</v>
      </c>
      <c r="F97" s="138">
        <f t="shared" si="109"/>
        <v>10092372.064343134</v>
      </c>
      <c r="G97" s="138">
        <f t="shared" si="109"/>
        <v>10092372.064343134</v>
      </c>
      <c r="H97" s="138">
        <f t="shared" si="109"/>
        <v>10092372.064343134</v>
      </c>
      <c r="I97" s="138">
        <f t="shared" si="109"/>
        <v>10092372.064343134</v>
      </c>
      <c r="J97" s="138">
        <f t="shared" si="109"/>
        <v>10092372.064343134</v>
      </c>
      <c r="K97" s="138">
        <f t="shared" si="109"/>
        <v>10092372.064343134</v>
      </c>
      <c r="L97" s="138">
        <f t="shared" si="109"/>
        <v>10092372.064343134</v>
      </c>
      <c r="M97" s="138">
        <f t="shared" si="109"/>
        <v>10092372.064343134</v>
      </c>
      <c r="N97" s="138">
        <f t="shared" si="109"/>
        <v>10092372.064343134</v>
      </c>
      <c r="O97" s="138">
        <f t="shared" si="109"/>
        <v>10092372.064343134</v>
      </c>
      <c r="P97" s="138">
        <f t="shared" si="109"/>
        <v>10092372.064343134</v>
      </c>
      <c r="Q97" s="138">
        <f t="shared" si="109"/>
        <v>10092372.064343134</v>
      </c>
      <c r="R97" s="138">
        <f t="shared" si="109"/>
        <v>10092372.064343134</v>
      </c>
      <c r="S97" s="138">
        <f t="shared" si="109"/>
        <v>10092372.064343134</v>
      </c>
      <c r="T97" s="138">
        <f t="shared" si="109"/>
        <v>10092372.064343134</v>
      </c>
      <c r="U97" s="138">
        <f t="shared" si="109"/>
        <v>10092372.064343134</v>
      </c>
      <c r="V97" s="138">
        <f t="shared" si="109"/>
        <v>10092372.064343134</v>
      </c>
      <c r="W97" s="138">
        <f t="shared" si="109"/>
        <v>10092372.064343134</v>
      </c>
      <c r="X97" s="138">
        <f t="shared" si="109"/>
        <v>10092372.064343134</v>
      </c>
      <c r="Y97" s="138">
        <f t="shared" si="109"/>
        <v>10092372.064343134</v>
      </c>
      <c r="Z97" s="138">
        <f t="shared" si="109"/>
        <v>10092372.064343134</v>
      </c>
      <c r="AA97" s="138">
        <f t="shared" si="109"/>
        <v>10092372.064343134</v>
      </c>
      <c r="AB97" s="138">
        <f t="shared" si="109"/>
        <v>10092372.064343134</v>
      </c>
      <c r="AC97" s="138">
        <f t="shared" si="109"/>
        <v>10092372.064343134</v>
      </c>
      <c r="AD97" s="138">
        <f t="shared" si="109"/>
        <v>10092372.064343134</v>
      </c>
      <c r="AE97" s="138">
        <f t="shared" si="109"/>
        <v>10092372.064343134</v>
      </c>
      <c r="AF97" s="138">
        <f t="shared" si="109"/>
        <v>10092372.064343134</v>
      </c>
      <c r="AG97" s="138">
        <f t="shared" si="109"/>
        <v>10092372.064343134</v>
      </c>
      <c r="AH97" s="138">
        <f t="shared" si="109"/>
        <v>10092372.064343134</v>
      </c>
      <c r="AI97" s="138">
        <f t="shared" si="109"/>
        <v>10092372.064343134</v>
      </c>
      <c r="AJ97" s="138">
        <f t="shared" si="109"/>
        <v>10092372.064343134</v>
      </c>
      <c r="AK97" s="138">
        <f t="shared" si="109"/>
        <v>10092372.064343134</v>
      </c>
      <c r="AL97" s="138">
        <f t="shared" si="109"/>
        <v>10092372.064343134</v>
      </c>
      <c r="AM97" s="138">
        <f t="shared" si="109"/>
        <v>10092372.064343134</v>
      </c>
      <c r="AN97" s="138">
        <f t="shared" si="109"/>
        <v>10092372.064343134</v>
      </c>
      <c r="AO97" s="138">
        <f t="shared" si="109"/>
        <v>10092372.064343134</v>
      </c>
      <c r="AP97" s="138">
        <f t="shared" si="109"/>
        <v>10092372.064343134</v>
      </c>
      <c r="AQ97" s="138">
        <f t="shared" si="109"/>
        <v>10092372.064343134</v>
      </c>
      <c r="AR97" s="138">
        <f t="shared" si="109"/>
        <v>10092372.064343134</v>
      </c>
      <c r="AS97" s="138">
        <f t="shared" si="109"/>
        <v>10092372.064343134</v>
      </c>
      <c r="AT97" s="138">
        <f t="shared" si="109"/>
        <v>10092372.064343134</v>
      </c>
      <c r="AU97" s="138">
        <f t="shared" si="109"/>
        <v>10092372.064343134</v>
      </c>
      <c r="AV97" s="138">
        <f t="shared" si="109"/>
        <v>10092372.064343134</v>
      </c>
      <c r="AW97" s="138">
        <f t="shared" si="109"/>
        <v>10092372.064343134</v>
      </c>
      <c r="AX97" s="138">
        <f t="shared" si="109"/>
        <v>10092372.064343134</v>
      </c>
      <c r="AY97" s="138">
        <f t="shared" si="109"/>
        <v>10092372.064343134</v>
      </c>
      <c r="AZ97" s="138">
        <f t="shared" si="109"/>
        <v>10092372.064343134</v>
      </c>
      <c r="BA97" s="138">
        <f t="shared" si="109"/>
        <v>10092372.064343134</v>
      </c>
      <c r="BB97" s="138">
        <f t="shared" si="109"/>
        <v>10092372.064343134</v>
      </c>
      <c r="BC97" s="138">
        <f t="shared" si="109"/>
        <v>10092372.064343134</v>
      </c>
      <c r="BD97" s="138">
        <f t="shared" si="109"/>
        <v>10092372.064343134</v>
      </c>
      <c r="BE97" s="138">
        <f t="shared" si="109"/>
        <v>10092372.064343134</v>
      </c>
      <c r="BF97" s="138">
        <f t="shared" si="109"/>
        <v>10092372.064343134</v>
      </c>
      <c r="BG97" s="138">
        <f t="shared" si="109"/>
        <v>10092372.064343134</v>
      </c>
      <c r="BH97" s="138">
        <f t="shared" si="109"/>
        <v>10092372.064343134</v>
      </c>
      <c r="BI97" s="138">
        <f t="shared" si="109"/>
        <v>10092372.064343134</v>
      </c>
      <c r="BJ97" s="138">
        <f t="shared" si="109"/>
        <v>10092372.064343134</v>
      </c>
      <c r="BK97" s="138">
        <f t="shared" si="109"/>
        <v>10092372.064343134</v>
      </c>
      <c r="BL97" s="138">
        <f t="shared" si="109"/>
        <v>10092372.064343134</v>
      </c>
      <c r="BM97" s="138">
        <f t="shared" si="109"/>
        <v>23528223.223940793</v>
      </c>
      <c r="BN97" s="138">
        <f t="shared" si="109"/>
        <v>23528223.223940793</v>
      </c>
      <c r="BO97" s="138">
        <f t="shared" si="109"/>
        <v>23528223.223940793</v>
      </c>
      <c r="BP97" s="138">
        <f t="shared" si="109"/>
        <v>23528223.223940793</v>
      </c>
      <c r="BQ97" s="138">
        <f t="shared" ref="BQ97:EB97" si="110">(($C30/12*OR(BQ$66,BQ$67)*BQ72)+(($G30-$C30)/12*BQ$67*BQ79))*1000</f>
        <v>23528223.223940793</v>
      </c>
      <c r="BR97" s="138">
        <f t="shared" si="110"/>
        <v>23528223.223940793</v>
      </c>
      <c r="BS97" s="138">
        <f t="shared" si="110"/>
        <v>23528223.223940793</v>
      </c>
      <c r="BT97" s="138">
        <f t="shared" si="110"/>
        <v>23528223.223940793</v>
      </c>
      <c r="BU97" s="138">
        <f t="shared" si="110"/>
        <v>23528223.223940793</v>
      </c>
      <c r="BV97" s="138">
        <f t="shared" si="110"/>
        <v>23528223.223940793</v>
      </c>
      <c r="BW97" s="138">
        <f t="shared" si="110"/>
        <v>23528223.223940793</v>
      </c>
      <c r="BX97" s="138">
        <f t="shared" si="110"/>
        <v>23528223.223940793</v>
      </c>
      <c r="BY97" s="138">
        <f t="shared" si="110"/>
        <v>23528223.223940793</v>
      </c>
      <c r="BZ97" s="138">
        <f t="shared" si="110"/>
        <v>23528223.223940793</v>
      </c>
      <c r="CA97" s="138">
        <f t="shared" si="110"/>
        <v>23528223.223940793</v>
      </c>
      <c r="CB97" s="138">
        <f t="shared" si="110"/>
        <v>23528223.223940793</v>
      </c>
      <c r="CC97" s="138">
        <f t="shared" si="110"/>
        <v>23528223.223940793</v>
      </c>
      <c r="CD97" s="138">
        <f t="shared" si="110"/>
        <v>23528223.223940793</v>
      </c>
      <c r="CE97" s="138">
        <f t="shared" si="110"/>
        <v>23528223.223940793</v>
      </c>
      <c r="CF97" s="138">
        <f t="shared" si="110"/>
        <v>23528223.223940793</v>
      </c>
      <c r="CG97" s="138">
        <f t="shared" si="110"/>
        <v>23528223.223940793</v>
      </c>
      <c r="CH97" s="138">
        <f t="shared" si="110"/>
        <v>23528223.223940793</v>
      </c>
      <c r="CI97" s="138">
        <f t="shared" si="110"/>
        <v>23528223.223940793</v>
      </c>
      <c r="CJ97" s="138">
        <f t="shared" si="110"/>
        <v>23528223.223940793</v>
      </c>
      <c r="CK97" s="138">
        <f t="shared" si="110"/>
        <v>23528223.223940793</v>
      </c>
      <c r="CL97" s="138">
        <f t="shared" si="110"/>
        <v>23528223.223940793</v>
      </c>
      <c r="CM97" s="138">
        <f t="shared" si="110"/>
        <v>23528223.223940793</v>
      </c>
      <c r="CN97" s="138">
        <f t="shared" si="110"/>
        <v>23528223.223940793</v>
      </c>
      <c r="CO97" s="138">
        <f t="shared" si="110"/>
        <v>23528223.223940793</v>
      </c>
      <c r="CP97" s="138">
        <f t="shared" si="110"/>
        <v>23528223.223940793</v>
      </c>
      <c r="CQ97" s="138">
        <f t="shared" si="110"/>
        <v>23528223.223940793</v>
      </c>
      <c r="CR97" s="138">
        <f t="shared" si="110"/>
        <v>23528223.223940793</v>
      </c>
      <c r="CS97" s="138">
        <f t="shared" si="110"/>
        <v>23528223.223940793</v>
      </c>
      <c r="CT97" s="138">
        <f t="shared" si="110"/>
        <v>23528223.223940793</v>
      </c>
      <c r="CU97" s="138">
        <f t="shared" si="110"/>
        <v>23528223.223940793</v>
      </c>
      <c r="CV97" s="138">
        <f t="shared" si="110"/>
        <v>23528223.223940793</v>
      </c>
      <c r="CW97" s="138">
        <f t="shared" si="110"/>
        <v>23528223.223940793</v>
      </c>
      <c r="CX97" s="138">
        <f t="shared" si="110"/>
        <v>23528223.223940793</v>
      </c>
      <c r="CY97" s="138">
        <f t="shared" si="110"/>
        <v>23528223.223940793</v>
      </c>
      <c r="CZ97" s="138">
        <f t="shared" si="110"/>
        <v>23528223.223940793</v>
      </c>
      <c r="DA97" s="138">
        <f t="shared" si="110"/>
        <v>23528223.223940793</v>
      </c>
      <c r="DB97" s="138">
        <f t="shared" si="110"/>
        <v>23528223.223940793</v>
      </c>
      <c r="DC97" s="138">
        <f t="shared" si="110"/>
        <v>23528223.223940793</v>
      </c>
      <c r="DD97" s="138">
        <f t="shared" si="110"/>
        <v>23528223.223940793</v>
      </c>
      <c r="DE97" s="138">
        <f t="shared" si="110"/>
        <v>23528223.223940793</v>
      </c>
      <c r="DF97" s="138">
        <f t="shared" si="110"/>
        <v>23528223.223940793</v>
      </c>
      <c r="DG97" s="138">
        <f t="shared" si="110"/>
        <v>23528223.223940793</v>
      </c>
      <c r="DH97" s="138">
        <f t="shared" si="110"/>
        <v>23528223.223940793</v>
      </c>
      <c r="DI97" s="138">
        <f t="shared" si="110"/>
        <v>23528223.223940793</v>
      </c>
      <c r="DJ97" s="138">
        <f t="shared" si="110"/>
        <v>23528223.223940793</v>
      </c>
      <c r="DK97" s="138">
        <f t="shared" si="110"/>
        <v>23528223.223940793</v>
      </c>
      <c r="DL97" s="138">
        <f t="shared" si="110"/>
        <v>23528223.223940793</v>
      </c>
      <c r="DM97" s="138">
        <f t="shared" si="110"/>
        <v>23528223.223940793</v>
      </c>
      <c r="DN97" s="138">
        <f t="shared" si="110"/>
        <v>23528223.223940793</v>
      </c>
      <c r="DO97" s="138">
        <f t="shared" si="110"/>
        <v>23528223.223940793</v>
      </c>
      <c r="DP97" s="138">
        <f t="shared" si="110"/>
        <v>23528223.223940793</v>
      </c>
      <c r="DQ97" s="138">
        <f t="shared" si="110"/>
        <v>23528223.223940793</v>
      </c>
      <c r="DR97" s="138">
        <f t="shared" si="110"/>
        <v>23528223.223940793</v>
      </c>
      <c r="DS97" s="138">
        <f t="shared" si="110"/>
        <v>23528223.223940793</v>
      </c>
      <c r="DT97" s="138">
        <f t="shared" si="110"/>
        <v>23528223.223940793</v>
      </c>
      <c r="DU97" s="138">
        <f t="shared" si="110"/>
        <v>23528223.223940793</v>
      </c>
      <c r="DV97" s="138">
        <f t="shared" si="110"/>
        <v>23528223.223940793</v>
      </c>
      <c r="DW97" s="138">
        <f t="shared" si="110"/>
        <v>23528223.223940793</v>
      </c>
      <c r="DX97" s="138">
        <f t="shared" si="110"/>
        <v>23528223.223940793</v>
      </c>
      <c r="DY97" s="138">
        <f t="shared" si="110"/>
        <v>23528223.223940793</v>
      </c>
      <c r="DZ97" s="138">
        <f t="shared" si="110"/>
        <v>23528223.223940793</v>
      </c>
      <c r="EA97" s="138">
        <f t="shared" si="110"/>
        <v>23528223.223940793</v>
      </c>
      <c r="EB97" s="138">
        <f t="shared" si="110"/>
        <v>23528223.223940793</v>
      </c>
      <c r="EC97" s="138">
        <f t="shared" ref="EC97:GN97" si="111">(($C30/12*OR(EC$66,EC$67)*EC72)+(($G30-$C30)/12*EC$67*EC79))*1000</f>
        <v>23528223.223940793</v>
      </c>
      <c r="ED97" s="138">
        <f t="shared" si="111"/>
        <v>23528223.223940793</v>
      </c>
      <c r="EE97" s="138">
        <f t="shared" si="111"/>
        <v>23528223.223940793</v>
      </c>
      <c r="EF97" s="138">
        <f t="shared" si="111"/>
        <v>23528223.223940793</v>
      </c>
      <c r="EG97" s="138">
        <f t="shared" si="111"/>
        <v>23528223.223940793</v>
      </c>
      <c r="EH97" s="138">
        <f t="shared" si="111"/>
        <v>23528223.223940793</v>
      </c>
      <c r="EI97" s="138">
        <f t="shared" si="111"/>
        <v>23528223.223940793</v>
      </c>
      <c r="EJ97" s="138">
        <f t="shared" si="111"/>
        <v>23528223.223940793</v>
      </c>
      <c r="EK97" s="138">
        <f t="shared" si="111"/>
        <v>23528223.223940793</v>
      </c>
      <c r="EL97" s="138">
        <f t="shared" si="111"/>
        <v>23528223.223940793</v>
      </c>
      <c r="EM97" s="138">
        <f t="shared" si="111"/>
        <v>23528223.223940793</v>
      </c>
      <c r="EN97" s="138">
        <f t="shared" si="111"/>
        <v>23528223.223940793</v>
      </c>
      <c r="EO97" s="138">
        <f t="shared" si="111"/>
        <v>23528223.223940793</v>
      </c>
      <c r="EP97" s="138">
        <f t="shared" si="111"/>
        <v>23528223.223940793</v>
      </c>
      <c r="EQ97" s="138">
        <f t="shared" si="111"/>
        <v>23528223.223940793</v>
      </c>
      <c r="ER97" s="138">
        <f t="shared" si="111"/>
        <v>23528223.223940793</v>
      </c>
      <c r="ES97" s="138">
        <f t="shared" si="111"/>
        <v>23528223.223940793</v>
      </c>
      <c r="ET97" s="138">
        <f t="shared" si="111"/>
        <v>23528223.223940793</v>
      </c>
      <c r="EU97" s="138">
        <f t="shared" si="111"/>
        <v>23528223.223940793</v>
      </c>
      <c r="EV97" s="138">
        <f t="shared" si="111"/>
        <v>23528223.223940793</v>
      </c>
      <c r="EW97" s="138">
        <f t="shared" si="111"/>
        <v>23528223.223940793</v>
      </c>
      <c r="EX97" s="138">
        <f t="shared" si="111"/>
        <v>23528223.223940793</v>
      </c>
      <c r="EY97" s="138">
        <f t="shared" si="111"/>
        <v>23528223.223940793</v>
      </c>
      <c r="EZ97" s="138">
        <f t="shared" si="111"/>
        <v>23528223.223940793</v>
      </c>
      <c r="FA97" s="138">
        <f t="shared" si="111"/>
        <v>23528223.223940793</v>
      </c>
      <c r="FB97" s="138">
        <f t="shared" si="111"/>
        <v>23528223.223940793</v>
      </c>
      <c r="FC97" s="138">
        <f t="shared" si="111"/>
        <v>23528223.223940793</v>
      </c>
      <c r="FD97" s="138">
        <f t="shared" si="111"/>
        <v>23528223.223940793</v>
      </c>
      <c r="FE97" s="138">
        <f t="shared" si="111"/>
        <v>23528223.223940793</v>
      </c>
      <c r="FF97" s="138">
        <f t="shared" si="111"/>
        <v>23528223.223940793</v>
      </c>
      <c r="FG97" s="138">
        <f t="shared" si="111"/>
        <v>23528223.223940793</v>
      </c>
      <c r="FH97" s="138">
        <f t="shared" si="111"/>
        <v>23528223.223940793</v>
      </c>
      <c r="FI97" s="138">
        <f t="shared" si="111"/>
        <v>23528223.223940793</v>
      </c>
      <c r="FJ97" s="138">
        <f t="shared" si="111"/>
        <v>23528223.223940793</v>
      </c>
      <c r="FK97" s="138">
        <f t="shared" si="111"/>
        <v>23528223.223940793</v>
      </c>
      <c r="FL97" s="138">
        <f t="shared" si="111"/>
        <v>23528223.223940793</v>
      </c>
      <c r="FM97" s="138">
        <f t="shared" si="111"/>
        <v>23528223.223940793</v>
      </c>
      <c r="FN97" s="138">
        <f t="shared" si="111"/>
        <v>23528223.223940793</v>
      </c>
      <c r="FO97" s="138">
        <f t="shared" si="111"/>
        <v>23528223.223940793</v>
      </c>
      <c r="FP97" s="138">
        <f t="shared" si="111"/>
        <v>23528223.223940793</v>
      </c>
      <c r="FQ97" s="138">
        <f t="shared" si="111"/>
        <v>23528223.223940793</v>
      </c>
      <c r="FR97" s="138">
        <f t="shared" si="111"/>
        <v>23528223.223940793</v>
      </c>
      <c r="FS97" s="138">
        <f t="shared" si="111"/>
        <v>23528223.223940793</v>
      </c>
      <c r="FT97" s="138">
        <f t="shared" si="111"/>
        <v>23528223.223940793</v>
      </c>
      <c r="FU97" s="138">
        <f t="shared" si="111"/>
        <v>23528223.223940793</v>
      </c>
      <c r="FV97" s="138">
        <f t="shared" si="111"/>
        <v>23528223.223940793</v>
      </c>
      <c r="FW97" s="138">
        <f t="shared" si="111"/>
        <v>23528223.223940793</v>
      </c>
      <c r="FX97" s="138">
        <f t="shared" si="111"/>
        <v>23528223.223940793</v>
      </c>
      <c r="FY97" s="138">
        <f t="shared" si="111"/>
        <v>23528223.223940793</v>
      </c>
      <c r="FZ97" s="138">
        <f t="shared" si="111"/>
        <v>23528223.223940793</v>
      </c>
      <c r="GA97" s="138">
        <f t="shared" si="111"/>
        <v>23528223.223940793</v>
      </c>
      <c r="GB97" s="138">
        <f t="shared" si="111"/>
        <v>23528223.223940793</v>
      </c>
      <c r="GC97" s="138">
        <f t="shared" si="111"/>
        <v>23528223.223940793</v>
      </c>
      <c r="GD97" s="138">
        <f t="shared" si="111"/>
        <v>23528223.223940793</v>
      </c>
      <c r="GE97" s="138">
        <f t="shared" si="111"/>
        <v>23528223.223940793</v>
      </c>
      <c r="GF97" s="138">
        <f t="shared" si="111"/>
        <v>23528223.223940793</v>
      </c>
      <c r="GG97" s="138">
        <f t="shared" si="111"/>
        <v>23528223.223940793</v>
      </c>
      <c r="GH97" s="138">
        <f t="shared" si="111"/>
        <v>23528223.223940793</v>
      </c>
      <c r="GI97" s="138">
        <f t="shared" si="111"/>
        <v>23528223.223940793</v>
      </c>
      <c r="GJ97" s="138">
        <f t="shared" si="111"/>
        <v>23528223.223940793</v>
      </c>
      <c r="GK97" s="138">
        <f t="shared" si="111"/>
        <v>23528223.223940793</v>
      </c>
      <c r="GL97" s="138">
        <f t="shared" si="111"/>
        <v>23528223.223940793</v>
      </c>
      <c r="GM97" s="138">
        <f t="shared" si="111"/>
        <v>23528223.223940793</v>
      </c>
      <c r="GN97" s="138">
        <f t="shared" si="111"/>
        <v>23528223.223940793</v>
      </c>
      <c r="GO97" s="138">
        <f t="shared" ref="GO97:IZ97" si="112">(($C30/12*OR(GO$66,GO$67)*GO72)+(($G30-$C30)/12*GO$67*GO79))*1000</f>
        <v>23528223.223940793</v>
      </c>
      <c r="GP97" s="138">
        <f t="shared" si="112"/>
        <v>23528223.223940793</v>
      </c>
      <c r="GQ97" s="138">
        <f t="shared" si="112"/>
        <v>23528223.223940793</v>
      </c>
      <c r="GR97" s="138">
        <f t="shared" si="112"/>
        <v>23528223.223940793</v>
      </c>
      <c r="GS97" s="138">
        <f t="shared" si="112"/>
        <v>23528223.223940793</v>
      </c>
      <c r="GT97" s="138">
        <f t="shared" si="112"/>
        <v>23528223.223940793</v>
      </c>
      <c r="GU97" s="138">
        <f t="shared" si="112"/>
        <v>23528223.223940793</v>
      </c>
      <c r="GV97" s="138">
        <f t="shared" si="112"/>
        <v>23528223.223940793</v>
      </c>
      <c r="GW97" s="138">
        <f t="shared" si="112"/>
        <v>23528223.223940793</v>
      </c>
      <c r="GX97" s="138">
        <f t="shared" si="112"/>
        <v>23528223.223940793</v>
      </c>
      <c r="GY97" s="138">
        <f t="shared" si="112"/>
        <v>23528223.223940793</v>
      </c>
      <c r="GZ97" s="138">
        <f t="shared" si="112"/>
        <v>23528223.223940793</v>
      </c>
      <c r="HA97" s="138">
        <f t="shared" si="112"/>
        <v>23528223.223940793</v>
      </c>
      <c r="HB97" s="138">
        <f t="shared" si="112"/>
        <v>23528223.223940793</v>
      </c>
      <c r="HC97" s="138">
        <f t="shared" si="112"/>
        <v>23528223.223940793</v>
      </c>
      <c r="HD97" s="138">
        <f t="shared" si="112"/>
        <v>23528223.223940793</v>
      </c>
      <c r="HE97" s="138">
        <f t="shared" si="112"/>
        <v>23528223.223940793</v>
      </c>
      <c r="HF97" s="138">
        <f t="shared" si="112"/>
        <v>23528223.223940793</v>
      </c>
      <c r="HG97" s="138">
        <f t="shared" si="112"/>
        <v>23528223.223940793</v>
      </c>
      <c r="HH97" s="138">
        <f t="shared" si="112"/>
        <v>23528223.223940793</v>
      </c>
      <c r="HI97" s="138">
        <f t="shared" si="112"/>
        <v>23528223.223940793</v>
      </c>
      <c r="HJ97" s="138">
        <f t="shared" si="112"/>
        <v>23528223.223940793</v>
      </c>
      <c r="HK97" s="138">
        <f t="shared" si="112"/>
        <v>23528223.223940793</v>
      </c>
      <c r="HL97" s="138">
        <f t="shared" si="112"/>
        <v>23528223.223940793</v>
      </c>
      <c r="HM97" s="138">
        <f t="shared" si="112"/>
        <v>23528223.223940793</v>
      </c>
      <c r="HN97" s="138">
        <f t="shared" si="112"/>
        <v>23528223.223940793</v>
      </c>
      <c r="HO97" s="138">
        <f t="shared" si="112"/>
        <v>23528223.223940793</v>
      </c>
      <c r="HP97" s="138">
        <f t="shared" si="112"/>
        <v>23528223.223940793</v>
      </c>
      <c r="HQ97" s="138">
        <f t="shared" si="112"/>
        <v>23528223.223940793</v>
      </c>
      <c r="HR97" s="138">
        <f t="shared" si="112"/>
        <v>23528223.223940793</v>
      </c>
      <c r="HS97" s="138">
        <f t="shared" si="112"/>
        <v>23528223.223940793</v>
      </c>
      <c r="HT97" s="138">
        <f t="shared" si="112"/>
        <v>23528223.223940793</v>
      </c>
      <c r="HU97" s="138">
        <f t="shared" si="112"/>
        <v>23528223.223940793</v>
      </c>
      <c r="HV97" s="138">
        <f t="shared" si="112"/>
        <v>23528223.223940793</v>
      </c>
      <c r="HW97" s="138">
        <f t="shared" si="112"/>
        <v>23528223.223940793</v>
      </c>
      <c r="HX97" s="138">
        <f t="shared" si="112"/>
        <v>23528223.223940793</v>
      </c>
      <c r="HY97" s="138">
        <f t="shared" si="112"/>
        <v>23528223.223940793</v>
      </c>
      <c r="HZ97" s="138">
        <f t="shared" si="112"/>
        <v>23528223.223940793</v>
      </c>
      <c r="IA97" s="138">
        <f t="shared" si="112"/>
        <v>23528223.223940793</v>
      </c>
      <c r="IB97" s="138">
        <f t="shared" si="112"/>
        <v>23528223.223940793</v>
      </c>
      <c r="IC97" s="138">
        <f t="shared" si="112"/>
        <v>23528223.223940793</v>
      </c>
      <c r="ID97" s="138">
        <f t="shared" si="112"/>
        <v>23528223.223940793</v>
      </c>
      <c r="IE97" s="138">
        <f t="shared" si="112"/>
        <v>23528223.223940793</v>
      </c>
      <c r="IF97" s="138">
        <f t="shared" si="112"/>
        <v>23528223.223940793</v>
      </c>
      <c r="IG97" s="138">
        <f t="shared" si="112"/>
        <v>23528223.223940793</v>
      </c>
      <c r="IH97" s="138">
        <f t="shared" si="112"/>
        <v>23528223.223940793</v>
      </c>
      <c r="II97" s="138">
        <f t="shared" si="112"/>
        <v>23528223.223940793</v>
      </c>
      <c r="IJ97" s="138">
        <f t="shared" si="112"/>
        <v>23528223.223940793</v>
      </c>
      <c r="IK97" s="138">
        <f t="shared" si="112"/>
        <v>0</v>
      </c>
      <c r="IL97" s="138">
        <f t="shared" si="112"/>
        <v>0</v>
      </c>
      <c r="IM97" s="138">
        <f t="shared" si="112"/>
        <v>0</v>
      </c>
      <c r="IN97" s="138">
        <f t="shared" si="112"/>
        <v>0</v>
      </c>
      <c r="IO97" s="138">
        <f t="shared" si="112"/>
        <v>0</v>
      </c>
      <c r="IP97" s="138">
        <f t="shared" si="112"/>
        <v>0</v>
      </c>
      <c r="IQ97" s="138">
        <f t="shared" si="112"/>
        <v>0</v>
      </c>
      <c r="IR97" s="138">
        <f t="shared" si="112"/>
        <v>0</v>
      </c>
      <c r="IS97" s="138">
        <f t="shared" si="112"/>
        <v>0</v>
      </c>
      <c r="IT97" s="138">
        <f t="shared" si="112"/>
        <v>0</v>
      </c>
      <c r="IU97" s="138">
        <f t="shared" si="112"/>
        <v>0</v>
      </c>
      <c r="IV97" s="138">
        <f t="shared" si="112"/>
        <v>0</v>
      </c>
      <c r="IW97" s="138">
        <f t="shared" si="112"/>
        <v>0</v>
      </c>
      <c r="IX97" s="138">
        <f t="shared" si="112"/>
        <v>0</v>
      </c>
      <c r="IY97" s="138">
        <f t="shared" si="112"/>
        <v>0</v>
      </c>
      <c r="IZ97" s="138">
        <f t="shared" si="112"/>
        <v>0</v>
      </c>
      <c r="JA97" s="138">
        <f t="shared" ref="JA97:LL97" si="113">(($C30/12*OR(JA$66,JA$67)*JA72)+(($G30-$C30)/12*JA$67*JA79))*1000</f>
        <v>0</v>
      </c>
      <c r="JB97" s="138">
        <f t="shared" si="113"/>
        <v>0</v>
      </c>
      <c r="JC97" s="138">
        <f t="shared" si="113"/>
        <v>0</v>
      </c>
      <c r="JD97" s="138">
        <f t="shared" si="113"/>
        <v>0</v>
      </c>
      <c r="JE97" s="138">
        <f t="shared" si="113"/>
        <v>0</v>
      </c>
      <c r="JF97" s="138">
        <f t="shared" si="113"/>
        <v>0</v>
      </c>
      <c r="JG97" s="138">
        <f t="shared" si="113"/>
        <v>0</v>
      </c>
      <c r="JH97" s="138">
        <f t="shared" si="113"/>
        <v>0</v>
      </c>
      <c r="JI97" s="138">
        <f t="shared" si="113"/>
        <v>0</v>
      </c>
      <c r="JJ97" s="138">
        <f t="shared" si="113"/>
        <v>0</v>
      </c>
      <c r="JK97" s="138">
        <f t="shared" si="113"/>
        <v>0</v>
      </c>
      <c r="JL97" s="138">
        <f t="shared" si="113"/>
        <v>0</v>
      </c>
      <c r="JM97" s="138">
        <f t="shared" si="113"/>
        <v>0</v>
      </c>
      <c r="JN97" s="138">
        <f t="shared" si="113"/>
        <v>0</v>
      </c>
      <c r="JO97" s="138">
        <f t="shared" si="113"/>
        <v>0</v>
      </c>
      <c r="JP97" s="138">
        <f t="shared" si="113"/>
        <v>0</v>
      </c>
      <c r="JQ97" s="138">
        <f t="shared" si="113"/>
        <v>0</v>
      </c>
      <c r="JR97" s="138">
        <f t="shared" si="113"/>
        <v>0</v>
      </c>
      <c r="JS97" s="138">
        <f t="shared" si="113"/>
        <v>0</v>
      </c>
      <c r="JT97" s="138">
        <f t="shared" si="113"/>
        <v>0</v>
      </c>
      <c r="JU97" s="138">
        <f t="shared" si="113"/>
        <v>0</v>
      </c>
      <c r="JV97" s="138">
        <f t="shared" si="113"/>
        <v>0</v>
      </c>
      <c r="JW97" s="138">
        <f t="shared" si="113"/>
        <v>0</v>
      </c>
      <c r="JX97" s="138">
        <f t="shared" si="113"/>
        <v>0</v>
      </c>
      <c r="JY97" s="138">
        <f t="shared" si="113"/>
        <v>0</v>
      </c>
      <c r="JZ97" s="138">
        <f t="shared" si="113"/>
        <v>0</v>
      </c>
      <c r="KA97" s="138">
        <f t="shared" si="113"/>
        <v>0</v>
      </c>
      <c r="KB97" s="138">
        <f t="shared" si="113"/>
        <v>0</v>
      </c>
      <c r="KC97" s="138">
        <f t="shared" si="113"/>
        <v>0</v>
      </c>
      <c r="KD97" s="138">
        <f t="shared" si="113"/>
        <v>0</v>
      </c>
      <c r="KE97" s="138">
        <f t="shared" si="113"/>
        <v>0</v>
      </c>
      <c r="KF97" s="138">
        <f t="shared" si="113"/>
        <v>0</v>
      </c>
      <c r="KG97" s="138">
        <f t="shared" si="113"/>
        <v>0</v>
      </c>
      <c r="KH97" s="138">
        <f t="shared" si="113"/>
        <v>0</v>
      </c>
      <c r="KI97" s="138">
        <f t="shared" si="113"/>
        <v>0</v>
      </c>
      <c r="KJ97" s="138">
        <f t="shared" si="113"/>
        <v>0</v>
      </c>
      <c r="KK97" s="138">
        <f t="shared" si="113"/>
        <v>0</v>
      </c>
      <c r="KL97" s="138">
        <f t="shared" si="113"/>
        <v>0</v>
      </c>
      <c r="KM97" s="138">
        <f t="shared" si="113"/>
        <v>0</v>
      </c>
      <c r="KN97" s="138">
        <f t="shared" si="113"/>
        <v>0</v>
      </c>
      <c r="KO97" s="138">
        <f t="shared" si="113"/>
        <v>0</v>
      </c>
      <c r="KP97" s="138">
        <f t="shared" si="113"/>
        <v>0</v>
      </c>
      <c r="KQ97" s="138">
        <f t="shared" si="113"/>
        <v>0</v>
      </c>
      <c r="KR97" s="138">
        <f t="shared" si="113"/>
        <v>0</v>
      </c>
      <c r="KS97" s="138">
        <f t="shared" si="113"/>
        <v>0</v>
      </c>
      <c r="KT97" s="138">
        <f t="shared" si="113"/>
        <v>0</v>
      </c>
      <c r="KU97" s="138">
        <f t="shared" si="113"/>
        <v>0</v>
      </c>
      <c r="KV97" s="138">
        <f t="shared" si="113"/>
        <v>0</v>
      </c>
      <c r="KW97" s="138">
        <f t="shared" si="113"/>
        <v>0</v>
      </c>
      <c r="KX97" s="138">
        <f t="shared" si="113"/>
        <v>0</v>
      </c>
      <c r="KY97" s="138">
        <f t="shared" si="113"/>
        <v>0</v>
      </c>
      <c r="KZ97" s="138">
        <f t="shared" si="113"/>
        <v>0</v>
      </c>
      <c r="LA97" s="138">
        <f t="shared" si="113"/>
        <v>0</v>
      </c>
      <c r="LB97" s="138">
        <f t="shared" si="113"/>
        <v>0</v>
      </c>
      <c r="LC97" s="138">
        <f t="shared" si="113"/>
        <v>0</v>
      </c>
      <c r="LD97" s="138">
        <f t="shared" si="113"/>
        <v>0</v>
      </c>
      <c r="LE97" s="138">
        <f t="shared" si="113"/>
        <v>0</v>
      </c>
      <c r="LF97" s="138">
        <f t="shared" si="113"/>
        <v>0</v>
      </c>
      <c r="LG97" s="138">
        <f t="shared" si="113"/>
        <v>0</v>
      </c>
      <c r="LH97" s="138">
        <f t="shared" si="113"/>
        <v>0</v>
      </c>
      <c r="LI97" s="138">
        <f t="shared" si="113"/>
        <v>0</v>
      </c>
      <c r="LJ97" s="138">
        <f t="shared" si="113"/>
        <v>0</v>
      </c>
      <c r="LK97" s="138">
        <f t="shared" si="113"/>
        <v>0</v>
      </c>
      <c r="LL97" s="138">
        <f t="shared" si="113"/>
        <v>0</v>
      </c>
      <c r="LM97" s="138">
        <f t="shared" ref="LM97:NX97" si="114">(($C30/12*OR(LM$66,LM$67)*LM72)+(($G30-$C30)/12*LM$67*LM79))*1000</f>
        <v>0</v>
      </c>
      <c r="LN97" s="138">
        <f t="shared" si="114"/>
        <v>0</v>
      </c>
      <c r="LO97" s="138">
        <f t="shared" si="114"/>
        <v>0</v>
      </c>
      <c r="LP97" s="138">
        <f t="shared" si="114"/>
        <v>0</v>
      </c>
      <c r="LQ97" s="138">
        <f t="shared" si="114"/>
        <v>0</v>
      </c>
      <c r="LR97" s="138">
        <f t="shared" si="114"/>
        <v>0</v>
      </c>
      <c r="LS97" s="138">
        <f t="shared" si="114"/>
        <v>0</v>
      </c>
      <c r="LT97" s="138">
        <f t="shared" si="114"/>
        <v>0</v>
      </c>
      <c r="LU97" s="138">
        <f t="shared" si="114"/>
        <v>0</v>
      </c>
      <c r="LV97" s="138">
        <f t="shared" si="114"/>
        <v>0</v>
      </c>
      <c r="LW97" s="138">
        <f t="shared" si="114"/>
        <v>0</v>
      </c>
      <c r="LX97" s="138">
        <f t="shared" si="114"/>
        <v>0</v>
      </c>
      <c r="LY97" s="138">
        <f t="shared" si="114"/>
        <v>0</v>
      </c>
      <c r="LZ97" s="138">
        <f t="shared" si="114"/>
        <v>0</v>
      </c>
      <c r="MA97" s="138">
        <f t="shared" si="114"/>
        <v>0</v>
      </c>
      <c r="MB97" s="138">
        <f t="shared" si="114"/>
        <v>0</v>
      </c>
      <c r="MC97" s="138">
        <f t="shared" si="114"/>
        <v>0</v>
      </c>
      <c r="MD97" s="138">
        <f t="shared" si="114"/>
        <v>0</v>
      </c>
      <c r="ME97" s="138">
        <f t="shared" si="114"/>
        <v>0</v>
      </c>
      <c r="MF97" s="138">
        <f t="shared" si="114"/>
        <v>0</v>
      </c>
      <c r="MG97" s="138">
        <f t="shared" si="114"/>
        <v>0</v>
      </c>
      <c r="MH97" s="138">
        <f t="shared" si="114"/>
        <v>0</v>
      </c>
      <c r="MI97" s="138">
        <f t="shared" si="114"/>
        <v>0</v>
      </c>
      <c r="MJ97" s="138">
        <f t="shared" si="114"/>
        <v>0</v>
      </c>
      <c r="MK97" s="138">
        <f t="shared" si="114"/>
        <v>0</v>
      </c>
      <c r="ML97" s="138">
        <f t="shared" si="114"/>
        <v>0</v>
      </c>
      <c r="MM97" s="138">
        <f t="shared" si="114"/>
        <v>0</v>
      </c>
      <c r="MN97" s="138">
        <f t="shared" si="114"/>
        <v>0</v>
      </c>
      <c r="MO97" s="138">
        <f t="shared" si="114"/>
        <v>0</v>
      </c>
      <c r="MP97" s="138">
        <f t="shared" si="114"/>
        <v>0</v>
      </c>
      <c r="MQ97" s="138">
        <f t="shared" si="114"/>
        <v>0</v>
      </c>
      <c r="MR97" s="138">
        <f t="shared" si="114"/>
        <v>0</v>
      </c>
      <c r="MS97" s="138">
        <f t="shared" si="114"/>
        <v>0</v>
      </c>
      <c r="MT97" s="138">
        <f t="shared" si="114"/>
        <v>0</v>
      </c>
      <c r="MU97" s="138">
        <f t="shared" si="114"/>
        <v>0</v>
      </c>
      <c r="MV97" s="138">
        <f t="shared" si="114"/>
        <v>0</v>
      </c>
      <c r="MW97" s="138">
        <f t="shared" si="114"/>
        <v>0</v>
      </c>
      <c r="MX97" s="138">
        <f t="shared" si="114"/>
        <v>0</v>
      </c>
      <c r="MY97" s="138">
        <f t="shared" si="114"/>
        <v>0</v>
      </c>
      <c r="MZ97" s="138">
        <f t="shared" si="114"/>
        <v>0</v>
      </c>
      <c r="NA97" s="138">
        <f t="shared" si="114"/>
        <v>0</v>
      </c>
      <c r="NB97" s="138">
        <f t="shared" si="114"/>
        <v>0</v>
      </c>
      <c r="NC97" s="138">
        <f t="shared" si="114"/>
        <v>0</v>
      </c>
      <c r="ND97" s="138">
        <f t="shared" si="114"/>
        <v>0</v>
      </c>
      <c r="NE97" s="138">
        <f t="shared" si="114"/>
        <v>0</v>
      </c>
      <c r="NF97" s="138">
        <f t="shared" si="114"/>
        <v>0</v>
      </c>
      <c r="NG97" s="138">
        <f t="shared" si="114"/>
        <v>0</v>
      </c>
      <c r="NH97" s="138">
        <f t="shared" si="114"/>
        <v>0</v>
      </c>
      <c r="NI97" s="138">
        <f t="shared" si="114"/>
        <v>0</v>
      </c>
      <c r="NJ97" s="138">
        <f t="shared" si="114"/>
        <v>0</v>
      </c>
      <c r="NK97" s="138">
        <f t="shared" si="114"/>
        <v>0</v>
      </c>
      <c r="NL97" s="138">
        <f t="shared" si="114"/>
        <v>0</v>
      </c>
      <c r="NM97" s="138">
        <f t="shared" si="114"/>
        <v>0</v>
      </c>
      <c r="NN97" s="138">
        <f t="shared" si="114"/>
        <v>0</v>
      </c>
      <c r="NO97" s="138">
        <f t="shared" si="114"/>
        <v>0</v>
      </c>
      <c r="NP97" s="138">
        <f t="shared" si="114"/>
        <v>0</v>
      </c>
      <c r="NQ97" s="138">
        <f t="shared" si="114"/>
        <v>0</v>
      </c>
      <c r="NR97" s="138">
        <f t="shared" si="114"/>
        <v>0</v>
      </c>
      <c r="NS97" s="138">
        <f t="shared" si="114"/>
        <v>0</v>
      </c>
      <c r="NT97" s="138">
        <f t="shared" si="114"/>
        <v>0</v>
      </c>
      <c r="NU97" s="138">
        <f t="shared" si="114"/>
        <v>0</v>
      </c>
      <c r="NV97" s="138">
        <f t="shared" si="114"/>
        <v>0</v>
      </c>
      <c r="NW97" s="138">
        <f t="shared" si="114"/>
        <v>0</v>
      </c>
      <c r="NX97" s="138">
        <f t="shared" si="114"/>
        <v>0</v>
      </c>
      <c r="NY97" s="138">
        <f t="shared" ref="NY97:QJ97" si="115">(($C30/12*OR(NY$66,NY$67)*NY72)+(($G30-$C30)/12*NY$67*NY79))*1000</f>
        <v>0</v>
      </c>
      <c r="NZ97" s="138">
        <f t="shared" si="115"/>
        <v>0</v>
      </c>
      <c r="OA97" s="138">
        <f t="shared" si="115"/>
        <v>0</v>
      </c>
      <c r="OB97" s="138">
        <f t="shared" si="115"/>
        <v>0</v>
      </c>
      <c r="OC97" s="138">
        <f t="shared" si="115"/>
        <v>0</v>
      </c>
      <c r="OD97" s="138">
        <f t="shared" si="115"/>
        <v>0</v>
      </c>
      <c r="OE97" s="138">
        <f t="shared" si="115"/>
        <v>0</v>
      </c>
      <c r="OF97" s="138">
        <f t="shared" si="115"/>
        <v>0</v>
      </c>
      <c r="OG97" s="138">
        <f t="shared" si="115"/>
        <v>0</v>
      </c>
      <c r="OH97" s="138">
        <f t="shared" si="115"/>
        <v>0</v>
      </c>
      <c r="OI97" s="138">
        <f t="shared" si="115"/>
        <v>0</v>
      </c>
      <c r="OJ97" s="138">
        <f t="shared" si="115"/>
        <v>0</v>
      </c>
      <c r="OK97" s="138">
        <f t="shared" si="115"/>
        <v>0</v>
      </c>
      <c r="OL97" s="138">
        <f t="shared" si="115"/>
        <v>0</v>
      </c>
      <c r="OM97" s="138">
        <f t="shared" si="115"/>
        <v>0</v>
      </c>
      <c r="ON97" s="138">
        <f t="shared" si="115"/>
        <v>0</v>
      </c>
      <c r="OO97" s="138">
        <f t="shared" si="115"/>
        <v>0</v>
      </c>
      <c r="OP97" s="138">
        <f t="shared" si="115"/>
        <v>0</v>
      </c>
      <c r="OQ97" s="138">
        <f t="shared" si="115"/>
        <v>0</v>
      </c>
      <c r="OR97" s="138">
        <f t="shared" si="115"/>
        <v>0</v>
      </c>
      <c r="OS97" s="138">
        <f t="shared" si="115"/>
        <v>0</v>
      </c>
      <c r="OT97" s="138">
        <f t="shared" si="115"/>
        <v>0</v>
      </c>
      <c r="OU97" s="138">
        <f t="shared" si="115"/>
        <v>0</v>
      </c>
      <c r="OV97" s="138">
        <f t="shared" si="115"/>
        <v>0</v>
      </c>
      <c r="OW97" s="138">
        <f t="shared" si="115"/>
        <v>0</v>
      </c>
      <c r="OX97" s="138">
        <f t="shared" si="115"/>
        <v>0</v>
      </c>
      <c r="OY97" s="138">
        <f t="shared" si="115"/>
        <v>0</v>
      </c>
      <c r="OZ97" s="138">
        <f t="shared" si="115"/>
        <v>0</v>
      </c>
      <c r="PA97" s="138">
        <f t="shared" si="115"/>
        <v>0</v>
      </c>
      <c r="PB97" s="138">
        <f t="shared" si="115"/>
        <v>0</v>
      </c>
      <c r="PC97" s="138">
        <f t="shared" si="115"/>
        <v>0</v>
      </c>
      <c r="PD97" s="138">
        <f t="shared" si="115"/>
        <v>0</v>
      </c>
      <c r="PE97" s="138">
        <f t="shared" si="115"/>
        <v>0</v>
      </c>
      <c r="PF97" s="138">
        <f t="shared" si="115"/>
        <v>0</v>
      </c>
      <c r="PG97" s="138">
        <f t="shared" si="115"/>
        <v>0</v>
      </c>
      <c r="PH97" s="138">
        <f t="shared" si="115"/>
        <v>0</v>
      </c>
      <c r="PI97" s="138">
        <f t="shared" si="115"/>
        <v>0</v>
      </c>
      <c r="PJ97" s="138">
        <f t="shared" si="115"/>
        <v>0</v>
      </c>
      <c r="PK97" s="138">
        <f t="shared" si="115"/>
        <v>0</v>
      </c>
      <c r="PL97" s="138">
        <f t="shared" si="115"/>
        <v>0</v>
      </c>
      <c r="PM97" s="138">
        <f t="shared" si="115"/>
        <v>0</v>
      </c>
      <c r="PN97" s="138">
        <f t="shared" si="115"/>
        <v>0</v>
      </c>
      <c r="PO97" s="138">
        <f t="shared" si="115"/>
        <v>0</v>
      </c>
      <c r="PP97" s="138">
        <f t="shared" si="115"/>
        <v>0</v>
      </c>
      <c r="PQ97" s="138">
        <f t="shared" si="115"/>
        <v>0</v>
      </c>
      <c r="PR97" s="138">
        <f t="shared" si="115"/>
        <v>0</v>
      </c>
      <c r="PS97" s="138">
        <f t="shared" si="115"/>
        <v>0</v>
      </c>
      <c r="PT97" s="138">
        <f t="shared" si="115"/>
        <v>0</v>
      </c>
      <c r="PU97" s="138">
        <f t="shared" si="115"/>
        <v>0</v>
      </c>
      <c r="PV97" s="138">
        <f t="shared" si="115"/>
        <v>0</v>
      </c>
      <c r="PW97" s="138">
        <f t="shared" si="115"/>
        <v>0</v>
      </c>
      <c r="PX97" s="138">
        <f t="shared" si="115"/>
        <v>0</v>
      </c>
      <c r="PY97" s="138">
        <f t="shared" si="115"/>
        <v>0</v>
      </c>
      <c r="PZ97" s="138">
        <f t="shared" si="115"/>
        <v>0</v>
      </c>
      <c r="QA97" s="138">
        <f t="shared" si="115"/>
        <v>0</v>
      </c>
      <c r="QB97" s="138">
        <f t="shared" si="115"/>
        <v>0</v>
      </c>
      <c r="QC97" s="138">
        <f t="shared" si="115"/>
        <v>0</v>
      </c>
      <c r="QD97" s="138">
        <f t="shared" si="115"/>
        <v>0</v>
      </c>
      <c r="QE97" s="138">
        <f t="shared" si="115"/>
        <v>0</v>
      </c>
      <c r="QF97" s="138">
        <f t="shared" si="115"/>
        <v>0</v>
      </c>
      <c r="QG97" s="138">
        <f t="shared" si="115"/>
        <v>0</v>
      </c>
      <c r="QH97" s="138">
        <f t="shared" si="115"/>
        <v>0</v>
      </c>
      <c r="QI97" s="138">
        <f t="shared" si="115"/>
        <v>0</v>
      </c>
      <c r="QJ97" s="138">
        <f t="shared" si="115"/>
        <v>0</v>
      </c>
      <c r="QK97" s="138">
        <f t="shared" ref="QK97:RR97" si="116">(($C30/12*OR(QK$66,QK$67)*QK72)+(($G30-$C30)/12*QK$67*QK79))*1000</f>
        <v>0</v>
      </c>
      <c r="QL97" s="138">
        <f t="shared" si="116"/>
        <v>0</v>
      </c>
      <c r="QM97" s="138">
        <f t="shared" si="116"/>
        <v>0</v>
      </c>
      <c r="QN97" s="138">
        <f t="shared" si="116"/>
        <v>0</v>
      </c>
      <c r="QO97" s="138">
        <f t="shared" si="116"/>
        <v>0</v>
      </c>
      <c r="QP97" s="138">
        <f t="shared" si="116"/>
        <v>0</v>
      </c>
      <c r="QQ97" s="138">
        <f t="shared" si="116"/>
        <v>0</v>
      </c>
      <c r="QR97" s="138">
        <f t="shared" si="116"/>
        <v>0</v>
      </c>
      <c r="QS97" s="138">
        <f t="shared" si="116"/>
        <v>0</v>
      </c>
      <c r="QT97" s="138">
        <f t="shared" si="116"/>
        <v>0</v>
      </c>
      <c r="QU97" s="138">
        <f t="shared" si="116"/>
        <v>0</v>
      </c>
      <c r="QV97" s="138">
        <f t="shared" si="116"/>
        <v>0</v>
      </c>
      <c r="QW97" s="138">
        <f t="shared" si="116"/>
        <v>0</v>
      </c>
      <c r="QX97" s="138">
        <f t="shared" si="116"/>
        <v>0</v>
      </c>
      <c r="QY97" s="138">
        <f t="shared" si="116"/>
        <v>0</v>
      </c>
      <c r="QZ97" s="138">
        <f t="shared" si="116"/>
        <v>0</v>
      </c>
      <c r="RA97" s="138">
        <f t="shared" si="116"/>
        <v>0</v>
      </c>
      <c r="RB97" s="138">
        <f t="shared" si="116"/>
        <v>0</v>
      </c>
      <c r="RC97" s="138">
        <f t="shared" si="116"/>
        <v>0</v>
      </c>
      <c r="RD97" s="138">
        <f t="shared" si="116"/>
        <v>0</v>
      </c>
      <c r="RE97" s="138">
        <f t="shared" si="116"/>
        <v>0</v>
      </c>
      <c r="RF97" s="138">
        <f t="shared" si="116"/>
        <v>0</v>
      </c>
      <c r="RG97" s="138">
        <f t="shared" si="116"/>
        <v>0</v>
      </c>
      <c r="RH97" s="138">
        <f t="shared" si="116"/>
        <v>0</v>
      </c>
      <c r="RI97" s="138">
        <f t="shared" si="116"/>
        <v>0</v>
      </c>
      <c r="RJ97" s="138">
        <f t="shared" si="116"/>
        <v>0</v>
      </c>
      <c r="RK97" s="138">
        <f t="shared" si="116"/>
        <v>0</v>
      </c>
      <c r="RL97" s="138">
        <f t="shared" si="116"/>
        <v>0</v>
      </c>
      <c r="RM97" s="138">
        <f t="shared" si="116"/>
        <v>0</v>
      </c>
      <c r="RN97" s="138">
        <f t="shared" si="116"/>
        <v>0</v>
      </c>
      <c r="RO97" s="138">
        <f t="shared" si="116"/>
        <v>0</v>
      </c>
      <c r="RP97" s="138">
        <f t="shared" si="116"/>
        <v>0</v>
      </c>
      <c r="RQ97" s="138">
        <f t="shared" si="116"/>
        <v>0</v>
      </c>
      <c r="RR97" s="138">
        <f t="shared" si="116"/>
        <v>0</v>
      </c>
    </row>
    <row r="98" spans="1:486" s="9" customFormat="1">
      <c r="A98" s="286"/>
      <c r="B98" s="66" t="s">
        <v>189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0</v>
      </c>
      <c r="P98" s="138">
        <v>0</v>
      </c>
      <c r="Q98" s="138">
        <v>0</v>
      </c>
      <c r="R98" s="138">
        <v>0</v>
      </c>
      <c r="S98" s="138">
        <v>0</v>
      </c>
      <c r="T98" s="138">
        <v>0</v>
      </c>
      <c r="U98" s="138">
        <v>0</v>
      </c>
      <c r="V98" s="138">
        <v>0</v>
      </c>
      <c r="W98" s="138">
        <v>0</v>
      </c>
      <c r="X98" s="138">
        <v>0</v>
      </c>
      <c r="Y98" s="138">
        <v>0</v>
      </c>
      <c r="Z98" s="138">
        <v>0</v>
      </c>
      <c r="AA98" s="138">
        <v>0</v>
      </c>
      <c r="AB98" s="138">
        <v>0</v>
      </c>
      <c r="AC98" s="138">
        <v>0</v>
      </c>
      <c r="AD98" s="138">
        <v>0</v>
      </c>
      <c r="AE98" s="138">
        <v>0</v>
      </c>
      <c r="AF98" s="138">
        <v>0</v>
      </c>
      <c r="AG98" s="138">
        <v>0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0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0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0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0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0</v>
      </c>
      <c r="ED98" s="138">
        <v>0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0</v>
      </c>
      <c r="EM98" s="138">
        <v>0</v>
      </c>
      <c r="EN98" s="138">
        <v>0</v>
      </c>
      <c r="EO98" s="138">
        <v>0</v>
      </c>
      <c r="EP98" s="138">
        <v>0</v>
      </c>
      <c r="EQ98" s="138">
        <v>0</v>
      </c>
      <c r="ER98" s="138">
        <v>0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0</v>
      </c>
      <c r="FB98" s="138">
        <v>0</v>
      </c>
      <c r="FC98" s="138">
        <v>0</v>
      </c>
      <c r="FD98" s="138">
        <v>0</v>
      </c>
      <c r="FE98" s="138">
        <v>0</v>
      </c>
      <c r="FF98" s="138">
        <v>0</v>
      </c>
      <c r="FG98" s="138">
        <v>0</v>
      </c>
      <c r="FH98" s="138">
        <v>0</v>
      </c>
      <c r="FI98" s="138">
        <v>0</v>
      </c>
      <c r="FJ98" s="138">
        <v>0</v>
      </c>
      <c r="FK98" s="138">
        <v>0</v>
      </c>
      <c r="FL98" s="138">
        <v>0</v>
      </c>
      <c r="FM98" s="138">
        <v>0</v>
      </c>
      <c r="FN98" s="138">
        <v>0</v>
      </c>
      <c r="FO98" s="138">
        <v>0</v>
      </c>
      <c r="FP98" s="138">
        <v>0</v>
      </c>
      <c r="FQ98" s="138">
        <v>0</v>
      </c>
      <c r="FR98" s="138">
        <v>0</v>
      </c>
      <c r="FS98" s="138">
        <v>0</v>
      </c>
      <c r="FT98" s="138">
        <v>0</v>
      </c>
      <c r="FU98" s="138">
        <v>0</v>
      </c>
      <c r="FV98" s="138">
        <v>0</v>
      </c>
      <c r="FW98" s="138">
        <v>0</v>
      </c>
      <c r="FX98" s="138">
        <v>0</v>
      </c>
      <c r="FY98" s="138">
        <v>0</v>
      </c>
      <c r="FZ98" s="138">
        <v>0</v>
      </c>
      <c r="GA98" s="138">
        <v>0</v>
      </c>
      <c r="GB98" s="138">
        <v>0</v>
      </c>
      <c r="GC98" s="138">
        <v>0</v>
      </c>
      <c r="GD98" s="138">
        <v>0</v>
      </c>
      <c r="GE98" s="138">
        <v>0</v>
      </c>
      <c r="GF98" s="138">
        <v>0</v>
      </c>
      <c r="GG98" s="138">
        <v>0</v>
      </c>
      <c r="GH98" s="138">
        <v>0</v>
      </c>
      <c r="GI98" s="138">
        <v>0</v>
      </c>
      <c r="GJ98" s="138">
        <v>0</v>
      </c>
      <c r="GK98" s="138">
        <v>0</v>
      </c>
      <c r="GL98" s="138">
        <v>0</v>
      </c>
      <c r="GM98" s="138">
        <v>0</v>
      </c>
      <c r="GN98" s="138">
        <v>0</v>
      </c>
      <c r="GO98" s="138">
        <v>0</v>
      </c>
      <c r="GP98" s="138">
        <v>0</v>
      </c>
      <c r="GQ98" s="138">
        <v>0</v>
      </c>
      <c r="GR98" s="138">
        <v>0</v>
      </c>
      <c r="GS98" s="138">
        <v>0</v>
      </c>
      <c r="GT98" s="138">
        <v>0</v>
      </c>
      <c r="GU98" s="138">
        <v>0</v>
      </c>
      <c r="GV98" s="138">
        <v>0</v>
      </c>
      <c r="GW98" s="138">
        <v>0</v>
      </c>
      <c r="GX98" s="138">
        <v>0</v>
      </c>
      <c r="GY98" s="138">
        <v>0</v>
      </c>
      <c r="GZ98" s="138">
        <v>0</v>
      </c>
      <c r="HA98" s="138">
        <v>0</v>
      </c>
      <c r="HB98" s="138">
        <v>0</v>
      </c>
      <c r="HC98" s="138">
        <v>0</v>
      </c>
      <c r="HD98" s="138">
        <v>0</v>
      </c>
      <c r="HE98" s="138">
        <v>0</v>
      </c>
      <c r="HF98" s="138">
        <v>0</v>
      </c>
      <c r="HG98" s="138">
        <v>0</v>
      </c>
      <c r="HH98" s="138">
        <v>0</v>
      </c>
      <c r="HI98" s="138">
        <v>0</v>
      </c>
      <c r="HJ98" s="138">
        <v>0</v>
      </c>
      <c r="HK98" s="138">
        <v>0</v>
      </c>
      <c r="HL98" s="138">
        <v>0</v>
      </c>
      <c r="HM98" s="138">
        <v>0</v>
      </c>
      <c r="HN98" s="138">
        <v>0</v>
      </c>
      <c r="HO98" s="138">
        <v>0</v>
      </c>
      <c r="HP98" s="138">
        <v>0</v>
      </c>
      <c r="HQ98" s="138">
        <v>0</v>
      </c>
      <c r="HR98" s="138">
        <v>0</v>
      </c>
      <c r="HS98" s="138">
        <v>0</v>
      </c>
      <c r="HT98" s="138">
        <v>0</v>
      </c>
      <c r="HU98" s="138">
        <v>0</v>
      </c>
      <c r="HV98" s="138">
        <v>0</v>
      </c>
      <c r="HW98" s="138">
        <v>0</v>
      </c>
      <c r="HX98" s="138">
        <v>0</v>
      </c>
      <c r="HY98" s="138">
        <v>0</v>
      </c>
      <c r="HZ98" s="138">
        <v>0</v>
      </c>
      <c r="IA98" s="138">
        <v>0</v>
      </c>
      <c r="IB98" s="138">
        <v>0</v>
      </c>
      <c r="IC98" s="138">
        <v>0</v>
      </c>
      <c r="ID98" s="138">
        <v>0</v>
      </c>
      <c r="IE98" s="138">
        <v>0</v>
      </c>
      <c r="IF98" s="138">
        <v>0</v>
      </c>
      <c r="IG98" s="138">
        <v>0</v>
      </c>
      <c r="IH98" s="138">
        <v>0</v>
      </c>
      <c r="II98" s="138">
        <v>0</v>
      </c>
      <c r="IJ98" s="138">
        <v>0</v>
      </c>
      <c r="IK98" s="138">
        <v>0</v>
      </c>
      <c r="IL98" s="138">
        <v>0</v>
      </c>
      <c r="IM98" s="138">
        <v>0</v>
      </c>
      <c r="IN98" s="138">
        <v>0</v>
      </c>
      <c r="IO98" s="138">
        <v>0</v>
      </c>
      <c r="IP98" s="138">
        <v>0</v>
      </c>
      <c r="IQ98" s="138">
        <v>0</v>
      </c>
      <c r="IR98" s="138">
        <v>0</v>
      </c>
      <c r="IS98" s="138">
        <v>0</v>
      </c>
      <c r="IT98" s="138">
        <v>0</v>
      </c>
      <c r="IU98" s="138">
        <v>0</v>
      </c>
      <c r="IV98" s="138">
        <v>0</v>
      </c>
      <c r="IW98" s="138">
        <v>0</v>
      </c>
      <c r="IX98" s="138">
        <v>0</v>
      </c>
      <c r="IY98" s="138">
        <v>0</v>
      </c>
      <c r="IZ98" s="138">
        <v>0</v>
      </c>
      <c r="JA98" s="138">
        <v>0</v>
      </c>
      <c r="JB98" s="138">
        <v>0</v>
      </c>
      <c r="JC98" s="138">
        <v>0</v>
      </c>
      <c r="JD98" s="138">
        <v>0</v>
      </c>
      <c r="JE98" s="138">
        <v>0</v>
      </c>
      <c r="JF98" s="138">
        <v>0</v>
      </c>
      <c r="JG98" s="138">
        <v>0</v>
      </c>
      <c r="JH98" s="138">
        <v>0</v>
      </c>
      <c r="JI98" s="138">
        <v>0</v>
      </c>
      <c r="JJ98" s="138">
        <v>0</v>
      </c>
      <c r="JK98" s="138">
        <v>0</v>
      </c>
      <c r="JL98" s="138">
        <v>0</v>
      </c>
      <c r="JM98" s="138">
        <v>0</v>
      </c>
      <c r="JN98" s="138">
        <v>0</v>
      </c>
      <c r="JO98" s="138">
        <v>0</v>
      </c>
      <c r="JP98" s="138">
        <v>0</v>
      </c>
      <c r="JQ98" s="138">
        <v>0</v>
      </c>
      <c r="JR98" s="138">
        <v>0</v>
      </c>
      <c r="JS98" s="138">
        <v>0</v>
      </c>
      <c r="JT98" s="138">
        <v>0</v>
      </c>
      <c r="JU98" s="138">
        <v>0</v>
      </c>
      <c r="JV98" s="138">
        <v>0</v>
      </c>
      <c r="JW98" s="138">
        <v>0</v>
      </c>
      <c r="JX98" s="138">
        <v>0</v>
      </c>
      <c r="JY98" s="138">
        <v>0</v>
      </c>
      <c r="JZ98" s="138">
        <v>0</v>
      </c>
      <c r="KA98" s="138">
        <v>0</v>
      </c>
      <c r="KB98" s="138">
        <v>0</v>
      </c>
      <c r="KC98" s="138">
        <v>0</v>
      </c>
      <c r="KD98" s="138">
        <v>0</v>
      </c>
      <c r="KE98" s="138">
        <v>0</v>
      </c>
      <c r="KF98" s="138">
        <v>0</v>
      </c>
      <c r="KG98" s="138">
        <v>0</v>
      </c>
      <c r="KH98" s="138">
        <v>0</v>
      </c>
      <c r="KI98" s="138">
        <v>0</v>
      </c>
      <c r="KJ98" s="138">
        <v>0</v>
      </c>
      <c r="KK98" s="138">
        <v>0</v>
      </c>
      <c r="KL98" s="138">
        <v>0</v>
      </c>
      <c r="KM98" s="138">
        <v>0</v>
      </c>
      <c r="KN98" s="138">
        <v>0</v>
      </c>
      <c r="KO98" s="138">
        <v>0</v>
      </c>
      <c r="KP98" s="138">
        <v>0</v>
      </c>
      <c r="KQ98" s="138">
        <v>0</v>
      </c>
      <c r="KR98" s="138">
        <v>0</v>
      </c>
      <c r="KS98" s="138">
        <v>0</v>
      </c>
      <c r="KT98" s="138">
        <v>0</v>
      </c>
      <c r="KU98" s="138">
        <v>0</v>
      </c>
      <c r="KV98" s="138">
        <v>0</v>
      </c>
      <c r="KW98" s="138">
        <v>0</v>
      </c>
      <c r="KX98" s="138">
        <v>0</v>
      </c>
      <c r="KY98" s="138">
        <v>0</v>
      </c>
      <c r="KZ98" s="138">
        <v>0</v>
      </c>
      <c r="LA98" s="138">
        <v>0</v>
      </c>
      <c r="LB98" s="138">
        <v>0</v>
      </c>
      <c r="LC98" s="138">
        <v>0</v>
      </c>
      <c r="LD98" s="138">
        <v>0</v>
      </c>
      <c r="LE98" s="138">
        <v>0</v>
      </c>
      <c r="LF98" s="138">
        <v>0</v>
      </c>
      <c r="LG98" s="138">
        <v>0</v>
      </c>
      <c r="LH98" s="138">
        <v>0</v>
      </c>
      <c r="LI98" s="138">
        <v>0</v>
      </c>
      <c r="LJ98" s="138">
        <v>0</v>
      </c>
      <c r="LK98" s="138">
        <v>0</v>
      </c>
      <c r="LL98" s="138">
        <v>0</v>
      </c>
      <c r="LM98" s="138">
        <v>0</v>
      </c>
      <c r="LN98" s="138">
        <v>0</v>
      </c>
      <c r="LO98" s="138">
        <v>0</v>
      </c>
      <c r="LP98" s="138">
        <v>0</v>
      </c>
      <c r="LQ98" s="138">
        <v>0</v>
      </c>
      <c r="LR98" s="138">
        <v>0</v>
      </c>
      <c r="LS98" s="138">
        <v>0</v>
      </c>
      <c r="LT98" s="138">
        <v>0</v>
      </c>
      <c r="LU98" s="138">
        <v>0</v>
      </c>
      <c r="LV98" s="138">
        <v>0</v>
      </c>
      <c r="LW98" s="138">
        <v>0</v>
      </c>
      <c r="LX98" s="138">
        <v>0</v>
      </c>
      <c r="LY98" s="138">
        <v>0</v>
      </c>
      <c r="LZ98" s="138">
        <v>0</v>
      </c>
      <c r="MA98" s="138">
        <v>0</v>
      </c>
      <c r="MB98" s="138">
        <v>0</v>
      </c>
      <c r="MC98" s="138">
        <v>0</v>
      </c>
      <c r="MD98" s="138">
        <v>0</v>
      </c>
      <c r="ME98" s="138">
        <v>0</v>
      </c>
      <c r="MF98" s="138">
        <v>0</v>
      </c>
      <c r="MG98" s="138">
        <v>0</v>
      </c>
      <c r="MH98" s="138">
        <v>0</v>
      </c>
      <c r="MI98" s="138">
        <v>0</v>
      </c>
      <c r="MJ98" s="138">
        <v>0</v>
      </c>
      <c r="MK98" s="138">
        <v>0</v>
      </c>
      <c r="ML98" s="138">
        <v>0</v>
      </c>
      <c r="MM98" s="138">
        <v>0</v>
      </c>
      <c r="MN98" s="138">
        <v>0</v>
      </c>
      <c r="MO98" s="138">
        <v>0</v>
      </c>
      <c r="MP98" s="138">
        <v>0</v>
      </c>
      <c r="MQ98" s="138">
        <v>0</v>
      </c>
      <c r="MR98" s="138">
        <v>0</v>
      </c>
      <c r="MS98" s="138">
        <v>0</v>
      </c>
      <c r="MT98" s="138">
        <v>0</v>
      </c>
      <c r="MU98" s="138">
        <v>0</v>
      </c>
      <c r="MV98" s="138">
        <v>0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0</v>
      </c>
      <c r="ND98" s="138">
        <v>0</v>
      </c>
      <c r="NE98" s="138">
        <v>0</v>
      </c>
      <c r="NF98" s="138">
        <v>0</v>
      </c>
      <c r="NG98" s="138">
        <v>0</v>
      </c>
      <c r="NH98" s="138">
        <v>0</v>
      </c>
      <c r="NI98" s="138">
        <v>0</v>
      </c>
      <c r="NJ98" s="138">
        <v>0</v>
      </c>
      <c r="NK98" s="138">
        <v>0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0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0</v>
      </c>
      <c r="NX98" s="138">
        <v>0</v>
      </c>
      <c r="NY98" s="138">
        <v>0</v>
      </c>
      <c r="NZ98" s="138">
        <v>0</v>
      </c>
      <c r="OA98" s="138">
        <v>0</v>
      </c>
      <c r="OB98" s="138">
        <v>0</v>
      </c>
      <c r="OC98" s="138">
        <v>0</v>
      </c>
      <c r="OD98" s="138">
        <v>0</v>
      </c>
      <c r="OE98" s="138">
        <v>0</v>
      </c>
      <c r="OF98" s="138">
        <v>0</v>
      </c>
      <c r="OG98" s="138">
        <v>0</v>
      </c>
      <c r="OH98" s="138">
        <v>0</v>
      </c>
      <c r="OI98" s="138">
        <v>0</v>
      </c>
      <c r="OJ98" s="138">
        <v>0</v>
      </c>
      <c r="OK98" s="138">
        <v>0</v>
      </c>
      <c r="OL98" s="138">
        <v>0</v>
      </c>
      <c r="OM98" s="138">
        <v>0</v>
      </c>
      <c r="ON98" s="138">
        <v>0</v>
      </c>
      <c r="OO98" s="138">
        <v>0</v>
      </c>
      <c r="OP98" s="138">
        <v>0</v>
      </c>
      <c r="OQ98" s="138">
        <v>0</v>
      </c>
      <c r="OR98" s="138">
        <v>0</v>
      </c>
      <c r="OS98" s="138">
        <v>0</v>
      </c>
      <c r="OT98" s="138">
        <v>0</v>
      </c>
      <c r="OU98" s="138">
        <v>0</v>
      </c>
      <c r="OV98" s="138">
        <v>0</v>
      </c>
      <c r="OW98" s="138">
        <v>0</v>
      </c>
      <c r="OX98" s="138">
        <v>0</v>
      </c>
      <c r="OY98" s="138">
        <v>0</v>
      </c>
      <c r="OZ98" s="138">
        <v>0</v>
      </c>
      <c r="PA98" s="138">
        <v>0</v>
      </c>
      <c r="PB98" s="138">
        <v>0</v>
      </c>
      <c r="PC98" s="138">
        <v>0</v>
      </c>
      <c r="PD98" s="138">
        <v>0</v>
      </c>
      <c r="PE98" s="138">
        <v>0</v>
      </c>
      <c r="PF98" s="138">
        <v>0</v>
      </c>
      <c r="PG98" s="138">
        <v>0</v>
      </c>
      <c r="PH98" s="138">
        <v>0</v>
      </c>
      <c r="PI98" s="138">
        <v>0</v>
      </c>
      <c r="PJ98" s="138">
        <v>0</v>
      </c>
      <c r="PK98" s="138">
        <v>0</v>
      </c>
      <c r="PL98" s="138">
        <v>0</v>
      </c>
      <c r="PM98" s="138">
        <v>0</v>
      </c>
      <c r="PN98" s="138">
        <v>0</v>
      </c>
      <c r="PO98" s="138">
        <v>0</v>
      </c>
      <c r="PP98" s="138">
        <v>0</v>
      </c>
      <c r="PQ98" s="138">
        <v>0</v>
      </c>
      <c r="PR98" s="138">
        <v>0</v>
      </c>
      <c r="PS98" s="138">
        <v>0</v>
      </c>
      <c r="PT98" s="138">
        <v>0</v>
      </c>
      <c r="PU98" s="138">
        <v>0</v>
      </c>
      <c r="PV98" s="138">
        <v>0</v>
      </c>
      <c r="PW98" s="138">
        <v>0</v>
      </c>
      <c r="PX98" s="138">
        <v>0</v>
      </c>
      <c r="PY98" s="138">
        <v>0</v>
      </c>
      <c r="PZ98" s="138">
        <v>0</v>
      </c>
      <c r="QA98" s="138">
        <v>0</v>
      </c>
      <c r="QB98" s="138">
        <v>0</v>
      </c>
      <c r="QC98" s="138">
        <v>0</v>
      </c>
      <c r="QD98" s="138">
        <v>0</v>
      </c>
      <c r="QE98" s="138">
        <v>0</v>
      </c>
      <c r="QF98" s="138">
        <v>0</v>
      </c>
      <c r="QG98" s="138">
        <v>0</v>
      </c>
      <c r="QH98" s="138">
        <v>0</v>
      </c>
      <c r="QI98" s="138">
        <v>0</v>
      </c>
      <c r="QJ98" s="138">
        <v>0</v>
      </c>
      <c r="QK98" s="138">
        <v>0</v>
      </c>
      <c r="QL98" s="138">
        <v>0</v>
      </c>
      <c r="QM98" s="138">
        <v>0</v>
      </c>
      <c r="QN98" s="138">
        <v>0</v>
      </c>
      <c r="QO98" s="138">
        <v>0</v>
      </c>
      <c r="QP98" s="138">
        <v>0</v>
      </c>
      <c r="QQ98" s="138">
        <v>0</v>
      </c>
      <c r="QR98" s="138">
        <v>0</v>
      </c>
      <c r="QS98" s="138">
        <v>0</v>
      </c>
      <c r="QT98" s="138">
        <v>0</v>
      </c>
      <c r="QU98" s="138">
        <v>0</v>
      </c>
      <c r="QV98" s="138">
        <v>0</v>
      </c>
      <c r="QW98" s="138">
        <v>0</v>
      </c>
      <c r="QX98" s="138">
        <v>0</v>
      </c>
      <c r="QY98" s="138">
        <v>0</v>
      </c>
      <c r="QZ98" s="138">
        <v>0</v>
      </c>
      <c r="RA98" s="138">
        <v>0</v>
      </c>
      <c r="RB98" s="138">
        <v>0</v>
      </c>
      <c r="RC98" s="138">
        <v>0</v>
      </c>
      <c r="RD98" s="138">
        <v>0</v>
      </c>
      <c r="RE98" s="138">
        <v>0</v>
      </c>
      <c r="RF98" s="138">
        <v>0</v>
      </c>
      <c r="RG98" s="138">
        <v>0</v>
      </c>
      <c r="RH98" s="138">
        <v>0</v>
      </c>
      <c r="RI98" s="138">
        <v>0</v>
      </c>
      <c r="RJ98" s="138">
        <v>0</v>
      </c>
      <c r="RK98" s="138">
        <v>0</v>
      </c>
      <c r="RL98" s="138">
        <v>0</v>
      </c>
      <c r="RM98" s="138">
        <v>0</v>
      </c>
      <c r="RN98" s="138">
        <v>0</v>
      </c>
      <c r="RO98" s="138">
        <v>0</v>
      </c>
      <c r="RP98" s="138">
        <v>0</v>
      </c>
      <c r="RQ98" s="138">
        <v>0</v>
      </c>
      <c r="RR98" s="138">
        <v>0</v>
      </c>
    </row>
    <row r="99" spans="1:486" s="9" customFormat="1"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</row>
    <row r="100" spans="1:486" s="9" customFormat="1">
      <c r="A100" s="286" t="s">
        <v>273</v>
      </c>
      <c r="B100" s="39" t="s">
        <v>128</v>
      </c>
      <c r="E100" s="138">
        <f>(($C26/12*OR(E$66,E$67)*E68)+(($K26-$C26)/12*E$67*E75))*1000</f>
        <v>6784093.0427884618</v>
      </c>
      <c r="F100" s="138">
        <f t="shared" ref="F100:BQ100" si="117">(($C26/12*OR(F$66,F$67)*F68)+(($K26-$C26)/12*F$67*F75))*1000</f>
        <v>6784093.0427884618</v>
      </c>
      <c r="G100" s="138">
        <f t="shared" si="117"/>
        <v>6784093.0427884618</v>
      </c>
      <c r="H100" s="138">
        <f t="shared" si="117"/>
        <v>6784093.0427884618</v>
      </c>
      <c r="I100" s="138">
        <f t="shared" si="117"/>
        <v>6784093.0427884618</v>
      </c>
      <c r="J100" s="138">
        <f t="shared" si="117"/>
        <v>6784093.0427884618</v>
      </c>
      <c r="K100" s="138">
        <f t="shared" si="117"/>
        <v>6784093.0427884618</v>
      </c>
      <c r="L100" s="138">
        <f t="shared" si="117"/>
        <v>6784093.0427884618</v>
      </c>
      <c r="M100" s="138">
        <f t="shared" si="117"/>
        <v>6784093.0427884618</v>
      </c>
      <c r="N100" s="138">
        <f t="shared" si="117"/>
        <v>6784093.0427884618</v>
      </c>
      <c r="O100" s="138">
        <f t="shared" si="117"/>
        <v>6784093.0427884618</v>
      </c>
      <c r="P100" s="138">
        <f t="shared" si="117"/>
        <v>6784093.0427884618</v>
      </c>
      <c r="Q100" s="138">
        <f t="shared" si="117"/>
        <v>6784093.0427884618</v>
      </c>
      <c r="R100" s="138">
        <f t="shared" si="117"/>
        <v>6784093.0427884618</v>
      </c>
      <c r="S100" s="138">
        <f t="shared" si="117"/>
        <v>6784093.0427884618</v>
      </c>
      <c r="T100" s="138">
        <f t="shared" si="117"/>
        <v>6784093.0427884618</v>
      </c>
      <c r="U100" s="138">
        <f t="shared" si="117"/>
        <v>6784093.0427884618</v>
      </c>
      <c r="V100" s="138">
        <f t="shared" si="117"/>
        <v>6784093.0427884618</v>
      </c>
      <c r="W100" s="138">
        <f t="shared" si="117"/>
        <v>6784093.0427884618</v>
      </c>
      <c r="X100" s="138">
        <f t="shared" si="117"/>
        <v>6784093.0427884618</v>
      </c>
      <c r="Y100" s="138">
        <f t="shared" si="117"/>
        <v>6784093.0427884618</v>
      </c>
      <c r="Z100" s="138">
        <f t="shared" si="117"/>
        <v>6784093.0427884618</v>
      </c>
      <c r="AA100" s="138">
        <f t="shared" si="117"/>
        <v>6784093.0427884618</v>
      </c>
      <c r="AB100" s="138">
        <f t="shared" si="117"/>
        <v>6784093.0427884618</v>
      </c>
      <c r="AC100" s="138">
        <f t="shared" si="117"/>
        <v>6784093.0427884618</v>
      </c>
      <c r="AD100" s="138">
        <f t="shared" si="117"/>
        <v>6784093.0427884618</v>
      </c>
      <c r="AE100" s="138">
        <f t="shared" si="117"/>
        <v>6784093.0427884618</v>
      </c>
      <c r="AF100" s="138">
        <f t="shared" si="117"/>
        <v>6784093.0427884618</v>
      </c>
      <c r="AG100" s="138">
        <f t="shared" si="117"/>
        <v>6784093.0427884618</v>
      </c>
      <c r="AH100" s="138">
        <f t="shared" si="117"/>
        <v>6784093.0427884618</v>
      </c>
      <c r="AI100" s="138">
        <f t="shared" si="117"/>
        <v>6784093.0427884618</v>
      </c>
      <c r="AJ100" s="138">
        <f t="shared" si="117"/>
        <v>6784093.0427884618</v>
      </c>
      <c r="AK100" s="138">
        <f t="shared" si="117"/>
        <v>6784093.0427884618</v>
      </c>
      <c r="AL100" s="138">
        <f t="shared" si="117"/>
        <v>6784093.0427884618</v>
      </c>
      <c r="AM100" s="138">
        <f t="shared" si="117"/>
        <v>6784093.0427884618</v>
      </c>
      <c r="AN100" s="138">
        <f t="shared" si="117"/>
        <v>6784093.0427884618</v>
      </c>
      <c r="AO100" s="138">
        <f t="shared" si="117"/>
        <v>6784093.0427884618</v>
      </c>
      <c r="AP100" s="138">
        <f t="shared" si="117"/>
        <v>6784093.0427884618</v>
      </c>
      <c r="AQ100" s="138">
        <f t="shared" si="117"/>
        <v>6784093.0427884618</v>
      </c>
      <c r="AR100" s="138">
        <f t="shared" si="117"/>
        <v>6784093.0427884618</v>
      </c>
      <c r="AS100" s="138">
        <f t="shared" si="117"/>
        <v>6784093.0427884618</v>
      </c>
      <c r="AT100" s="138">
        <f t="shared" si="117"/>
        <v>6784093.0427884618</v>
      </c>
      <c r="AU100" s="138">
        <f t="shared" si="117"/>
        <v>6784093.0427884618</v>
      </c>
      <c r="AV100" s="138">
        <f t="shared" si="117"/>
        <v>6784093.0427884618</v>
      </c>
      <c r="AW100" s="138">
        <f t="shared" si="117"/>
        <v>6784093.0427884618</v>
      </c>
      <c r="AX100" s="138">
        <f t="shared" si="117"/>
        <v>6784093.0427884618</v>
      </c>
      <c r="AY100" s="138">
        <f t="shared" si="117"/>
        <v>6784093.0427884618</v>
      </c>
      <c r="AZ100" s="138">
        <f t="shared" si="117"/>
        <v>6784093.0427884618</v>
      </c>
      <c r="BA100" s="138">
        <f t="shared" si="117"/>
        <v>6784093.0427884618</v>
      </c>
      <c r="BB100" s="138">
        <f t="shared" si="117"/>
        <v>6784093.0427884618</v>
      </c>
      <c r="BC100" s="138">
        <f t="shared" si="117"/>
        <v>6784093.0427884618</v>
      </c>
      <c r="BD100" s="138">
        <f t="shared" si="117"/>
        <v>6784093.0427884618</v>
      </c>
      <c r="BE100" s="138">
        <f t="shared" si="117"/>
        <v>6784093.0427884618</v>
      </c>
      <c r="BF100" s="138">
        <f t="shared" si="117"/>
        <v>6784093.0427884618</v>
      </c>
      <c r="BG100" s="138">
        <f t="shared" si="117"/>
        <v>6784093.0427884618</v>
      </c>
      <c r="BH100" s="138">
        <f t="shared" si="117"/>
        <v>6784093.0427884618</v>
      </c>
      <c r="BI100" s="138">
        <f t="shared" si="117"/>
        <v>6784093.0427884618</v>
      </c>
      <c r="BJ100" s="138">
        <f t="shared" si="117"/>
        <v>6784093.0427884618</v>
      </c>
      <c r="BK100" s="138">
        <f t="shared" si="117"/>
        <v>6784093.0427884618</v>
      </c>
      <c r="BL100" s="138">
        <f t="shared" si="117"/>
        <v>6784093.0427884618</v>
      </c>
      <c r="BM100" s="138">
        <f t="shared" si="117"/>
        <v>12706166.639225148</v>
      </c>
      <c r="BN100" s="138">
        <f t="shared" si="117"/>
        <v>12706166.639225148</v>
      </c>
      <c r="BO100" s="138">
        <f t="shared" si="117"/>
        <v>12706166.639225148</v>
      </c>
      <c r="BP100" s="138">
        <f t="shared" si="117"/>
        <v>12706166.639225148</v>
      </c>
      <c r="BQ100" s="138">
        <f t="shared" si="117"/>
        <v>12706166.639225148</v>
      </c>
      <c r="BR100" s="138">
        <f t="shared" ref="BR100:EC100" si="118">(($C26/12*OR(BR$66,BR$67)*BR68)+(($K26-$C26)/12*BR$67*BR75))*1000</f>
        <v>12706166.639225148</v>
      </c>
      <c r="BS100" s="138">
        <f t="shared" si="118"/>
        <v>12706166.639225148</v>
      </c>
      <c r="BT100" s="138">
        <f t="shared" si="118"/>
        <v>12706166.639225148</v>
      </c>
      <c r="BU100" s="138">
        <f t="shared" si="118"/>
        <v>12706166.639225148</v>
      </c>
      <c r="BV100" s="138">
        <f t="shared" si="118"/>
        <v>12706166.639225148</v>
      </c>
      <c r="BW100" s="138">
        <f t="shared" si="118"/>
        <v>12706166.639225148</v>
      </c>
      <c r="BX100" s="138">
        <f t="shared" si="118"/>
        <v>12706166.639225148</v>
      </c>
      <c r="BY100" s="138">
        <f t="shared" si="118"/>
        <v>12706166.639225148</v>
      </c>
      <c r="BZ100" s="138">
        <f t="shared" si="118"/>
        <v>12706166.639225148</v>
      </c>
      <c r="CA100" s="138">
        <f t="shared" si="118"/>
        <v>12706166.639225148</v>
      </c>
      <c r="CB100" s="138">
        <f t="shared" si="118"/>
        <v>12706166.639225148</v>
      </c>
      <c r="CC100" s="138">
        <f t="shared" si="118"/>
        <v>12706166.639225148</v>
      </c>
      <c r="CD100" s="138">
        <f t="shared" si="118"/>
        <v>12706166.639225148</v>
      </c>
      <c r="CE100" s="138">
        <f t="shared" si="118"/>
        <v>12706166.639225148</v>
      </c>
      <c r="CF100" s="138">
        <f t="shared" si="118"/>
        <v>12706166.639225148</v>
      </c>
      <c r="CG100" s="138">
        <f t="shared" si="118"/>
        <v>12706166.639225148</v>
      </c>
      <c r="CH100" s="138">
        <f t="shared" si="118"/>
        <v>12706166.639225148</v>
      </c>
      <c r="CI100" s="138">
        <f t="shared" si="118"/>
        <v>12706166.639225148</v>
      </c>
      <c r="CJ100" s="138">
        <f t="shared" si="118"/>
        <v>12706166.639225148</v>
      </c>
      <c r="CK100" s="138">
        <f t="shared" si="118"/>
        <v>12706166.639225148</v>
      </c>
      <c r="CL100" s="138">
        <f t="shared" si="118"/>
        <v>12706166.639225148</v>
      </c>
      <c r="CM100" s="138">
        <f t="shared" si="118"/>
        <v>12706166.639225148</v>
      </c>
      <c r="CN100" s="138">
        <f t="shared" si="118"/>
        <v>12706166.639225148</v>
      </c>
      <c r="CO100" s="138">
        <f t="shared" si="118"/>
        <v>12706166.639225148</v>
      </c>
      <c r="CP100" s="138">
        <f t="shared" si="118"/>
        <v>12706166.639225148</v>
      </c>
      <c r="CQ100" s="138">
        <f t="shared" si="118"/>
        <v>12706166.639225148</v>
      </c>
      <c r="CR100" s="138">
        <f t="shared" si="118"/>
        <v>12706166.639225148</v>
      </c>
      <c r="CS100" s="138">
        <f t="shared" si="118"/>
        <v>12706166.639225148</v>
      </c>
      <c r="CT100" s="138">
        <f t="shared" si="118"/>
        <v>12706166.639225148</v>
      </c>
      <c r="CU100" s="138">
        <f t="shared" si="118"/>
        <v>12706166.639225148</v>
      </c>
      <c r="CV100" s="138">
        <f t="shared" si="118"/>
        <v>12706166.639225148</v>
      </c>
      <c r="CW100" s="138">
        <f t="shared" si="118"/>
        <v>12706166.639225148</v>
      </c>
      <c r="CX100" s="138">
        <f t="shared" si="118"/>
        <v>12706166.639225148</v>
      </c>
      <c r="CY100" s="138">
        <f t="shared" si="118"/>
        <v>12706166.639225148</v>
      </c>
      <c r="CZ100" s="138">
        <f t="shared" si="118"/>
        <v>12706166.639225148</v>
      </c>
      <c r="DA100" s="138">
        <f t="shared" si="118"/>
        <v>12706166.639225148</v>
      </c>
      <c r="DB100" s="138">
        <f t="shared" si="118"/>
        <v>12706166.639225148</v>
      </c>
      <c r="DC100" s="138">
        <f t="shared" si="118"/>
        <v>12706166.639225148</v>
      </c>
      <c r="DD100" s="138">
        <f t="shared" si="118"/>
        <v>12706166.639225148</v>
      </c>
      <c r="DE100" s="138">
        <f t="shared" si="118"/>
        <v>12706166.639225148</v>
      </c>
      <c r="DF100" s="138">
        <f t="shared" si="118"/>
        <v>12706166.639225148</v>
      </c>
      <c r="DG100" s="138">
        <f t="shared" si="118"/>
        <v>12706166.639225148</v>
      </c>
      <c r="DH100" s="138">
        <f t="shared" si="118"/>
        <v>12706166.639225148</v>
      </c>
      <c r="DI100" s="138">
        <f t="shared" si="118"/>
        <v>12706166.639225148</v>
      </c>
      <c r="DJ100" s="138">
        <f t="shared" si="118"/>
        <v>12706166.639225148</v>
      </c>
      <c r="DK100" s="138">
        <f t="shared" si="118"/>
        <v>12706166.639225148</v>
      </c>
      <c r="DL100" s="138">
        <f t="shared" si="118"/>
        <v>12706166.639225148</v>
      </c>
      <c r="DM100" s="138">
        <f t="shared" si="118"/>
        <v>12706166.639225148</v>
      </c>
      <c r="DN100" s="138">
        <f t="shared" si="118"/>
        <v>12706166.639225148</v>
      </c>
      <c r="DO100" s="138">
        <f t="shared" si="118"/>
        <v>12706166.639225148</v>
      </c>
      <c r="DP100" s="138">
        <f t="shared" si="118"/>
        <v>12706166.639225148</v>
      </c>
      <c r="DQ100" s="138">
        <f t="shared" si="118"/>
        <v>12706166.639225148</v>
      </c>
      <c r="DR100" s="138">
        <f t="shared" si="118"/>
        <v>12706166.639225148</v>
      </c>
      <c r="DS100" s="138">
        <f t="shared" si="118"/>
        <v>12706166.639225148</v>
      </c>
      <c r="DT100" s="138">
        <f t="shared" si="118"/>
        <v>12706166.639225148</v>
      </c>
      <c r="DU100" s="138">
        <f t="shared" si="118"/>
        <v>12706166.639225148</v>
      </c>
      <c r="DV100" s="138">
        <f t="shared" si="118"/>
        <v>12706166.639225148</v>
      </c>
      <c r="DW100" s="138">
        <f t="shared" si="118"/>
        <v>12706166.639225148</v>
      </c>
      <c r="DX100" s="138">
        <f t="shared" si="118"/>
        <v>12706166.639225148</v>
      </c>
      <c r="DY100" s="138">
        <f t="shared" si="118"/>
        <v>12706166.639225148</v>
      </c>
      <c r="DZ100" s="138">
        <f t="shared" si="118"/>
        <v>12706166.639225148</v>
      </c>
      <c r="EA100" s="138">
        <f t="shared" si="118"/>
        <v>12706166.639225148</v>
      </c>
      <c r="EB100" s="138">
        <f t="shared" si="118"/>
        <v>12706166.639225148</v>
      </c>
      <c r="EC100" s="138">
        <f t="shared" si="118"/>
        <v>12706166.639225148</v>
      </c>
      <c r="ED100" s="138">
        <f t="shared" ref="ED100:GO100" si="119">(($C26/12*OR(ED$66,ED$67)*ED68)+(($K26-$C26)/12*ED$67*ED75))*1000</f>
        <v>12706166.639225148</v>
      </c>
      <c r="EE100" s="138">
        <f t="shared" si="119"/>
        <v>12706166.639225148</v>
      </c>
      <c r="EF100" s="138">
        <f t="shared" si="119"/>
        <v>12706166.639225148</v>
      </c>
      <c r="EG100" s="138">
        <f t="shared" si="119"/>
        <v>12706166.639225148</v>
      </c>
      <c r="EH100" s="138">
        <f t="shared" si="119"/>
        <v>12706166.639225148</v>
      </c>
      <c r="EI100" s="138">
        <f t="shared" si="119"/>
        <v>12706166.639225148</v>
      </c>
      <c r="EJ100" s="138">
        <f t="shared" si="119"/>
        <v>12706166.639225148</v>
      </c>
      <c r="EK100" s="138">
        <f t="shared" si="119"/>
        <v>12706166.639225148</v>
      </c>
      <c r="EL100" s="138">
        <f t="shared" si="119"/>
        <v>12706166.639225148</v>
      </c>
      <c r="EM100" s="138">
        <f t="shared" si="119"/>
        <v>12706166.639225148</v>
      </c>
      <c r="EN100" s="138">
        <f t="shared" si="119"/>
        <v>12706166.639225148</v>
      </c>
      <c r="EO100" s="138">
        <f t="shared" si="119"/>
        <v>12706166.639225148</v>
      </c>
      <c r="EP100" s="138">
        <f t="shared" si="119"/>
        <v>12706166.639225148</v>
      </c>
      <c r="EQ100" s="138">
        <f t="shared" si="119"/>
        <v>12706166.639225148</v>
      </c>
      <c r="ER100" s="138">
        <f t="shared" si="119"/>
        <v>12706166.639225148</v>
      </c>
      <c r="ES100" s="138">
        <f t="shared" si="119"/>
        <v>12706166.639225148</v>
      </c>
      <c r="ET100" s="138">
        <f t="shared" si="119"/>
        <v>12706166.639225148</v>
      </c>
      <c r="EU100" s="138">
        <f t="shared" si="119"/>
        <v>12706166.639225148</v>
      </c>
      <c r="EV100" s="138">
        <f t="shared" si="119"/>
        <v>12706166.639225148</v>
      </c>
      <c r="EW100" s="138">
        <f t="shared" si="119"/>
        <v>12706166.639225148</v>
      </c>
      <c r="EX100" s="138">
        <f t="shared" si="119"/>
        <v>12706166.639225148</v>
      </c>
      <c r="EY100" s="138">
        <f t="shared" si="119"/>
        <v>12706166.639225148</v>
      </c>
      <c r="EZ100" s="138">
        <f t="shared" si="119"/>
        <v>12706166.639225148</v>
      </c>
      <c r="FA100" s="138">
        <f t="shared" si="119"/>
        <v>12706166.639225148</v>
      </c>
      <c r="FB100" s="138">
        <f t="shared" si="119"/>
        <v>12706166.639225148</v>
      </c>
      <c r="FC100" s="138">
        <f t="shared" si="119"/>
        <v>12706166.639225148</v>
      </c>
      <c r="FD100" s="138">
        <f t="shared" si="119"/>
        <v>12706166.639225148</v>
      </c>
      <c r="FE100" s="138">
        <f t="shared" si="119"/>
        <v>12706166.639225148</v>
      </c>
      <c r="FF100" s="138">
        <f t="shared" si="119"/>
        <v>12706166.639225148</v>
      </c>
      <c r="FG100" s="138">
        <f t="shared" si="119"/>
        <v>12706166.639225148</v>
      </c>
      <c r="FH100" s="138">
        <f t="shared" si="119"/>
        <v>12706166.639225148</v>
      </c>
      <c r="FI100" s="138">
        <f t="shared" si="119"/>
        <v>12706166.639225148</v>
      </c>
      <c r="FJ100" s="138">
        <f t="shared" si="119"/>
        <v>12706166.639225148</v>
      </c>
      <c r="FK100" s="138">
        <f t="shared" si="119"/>
        <v>12706166.639225148</v>
      </c>
      <c r="FL100" s="138">
        <f t="shared" si="119"/>
        <v>12706166.639225148</v>
      </c>
      <c r="FM100" s="138">
        <f t="shared" si="119"/>
        <v>12706166.639225148</v>
      </c>
      <c r="FN100" s="138">
        <f t="shared" si="119"/>
        <v>12706166.639225148</v>
      </c>
      <c r="FO100" s="138">
        <f t="shared" si="119"/>
        <v>12706166.639225148</v>
      </c>
      <c r="FP100" s="138">
        <f t="shared" si="119"/>
        <v>12706166.639225148</v>
      </c>
      <c r="FQ100" s="138">
        <f t="shared" si="119"/>
        <v>12706166.639225148</v>
      </c>
      <c r="FR100" s="138">
        <f t="shared" si="119"/>
        <v>12706166.639225148</v>
      </c>
      <c r="FS100" s="138">
        <f t="shared" si="119"/>
        <v>12706166.639225148</v>
      </c>
      <c r="FT100" s="138">
        <f t="shared" si="119"/>
        <v>12706166.639225148</v>
      </c>
      <c r="FU100" s="138">
        <f t="shared" si="119"/>
        <v>12706166.639225148</v>
      </c>
      <c r="FV100" s="138">
        <f t="shared" si="119"/>
        <v>12706166.639225148</v>
      </c>
      <c r="FW100" s="138">
        <f t="shared" si="119"/>
        <v>12706166.639225148</v>
      </c>
      <c r="FX100" s="138">
        <f t="shared" si="119"/>
        <v>12706166.639225148</v>
      </c>
      <c r="FY100" s="138">
        <f t="shared" si="119"/>
        <v>12706166.639225148</v>
      </c>
      <c r="FZ100" s="138">
        <f t="shared" si="119"/>
        <v>12706166.639225148</v>
      </c>
      <c r="GA100" s="138">
        <f t="shared" si="119"/>
        <v>12706166.639225148</v>
      </c>
      <c r="GB100" s="138">
        <f t="shared" si="119"/>
        <v>12706166.639225148</v>
      </c>
      <c r="GC100" s="138">
        <f t="shared" si="119"/>
        <v>12706166.639225148</v>
      </c>
      <c r="GD100" s="138">
        <f t="shared" si="119"/>
        <v>12706166.639225148</v>
      </c>
      <c r="GE100" s="138">
        <f t="shared" si="119"/>
        <v>12706166.639225148</v>
      </c>
      <c r="GF100" s="138">
        <f t="shared" si="119"/>
        <v>12706166.639225148</v>
      </c>
      <c r="GG100" s="138">
        <f t="shared" si="119"/>
        <v>12706166.639225148</v>
      </c>
      <c r="GH100" s="138">
        <f t="shared" si="119"/>
        <v>12706166.639225148</v>
      </c>
      <c r="GI100" s="138">
        <f t="shared" si="119"/>
        <v>12706166.639225148</v>
      </c>
      <c r="GJ100" s="138">
        <f t="shared" si="119"/>
        <v>12706166.639225148</v>
      </c>
      <c r="GK100" s="138">
        <f t="shared" si="119"/>
        <v>12706166.639225148</v>
      </c>
      <c r="GL100" s="138">
        <f t="shared" si="119"/>
        <v>12706166.639225148</v>
      </c>
      <c r="GM100" s="138">
        <f t="shared" si="119"/>
        <v>12706166.639225148</v>
      </c>
      <c r="GN100" s="138">
        <f t="shared" si="119"/>
        <v>12706166.639225148</v>
      </c>
      <c r="GO100" s="138">
        <f t="shared" si="119"/>
        <v>12706166.639225148</v>
      </c>
      <c r="GP100" s="138">
        <f t="shared" ref="GP100:JA100" si="120">(($C26/12*OR(GP$66,GP$67)*GP68)+(($K26-$C26)/12*GP$67*GP75))*1000</f>
        <v>12706166.639225148</v>
      </c>
      <c r="GQ100" s="138">
        <f t="shared" si="120"/>
        <v>12706166.639225148</v>
      </c>
      <c r="GR100" s="138">
        <f t="shared" si="120"/>
        <v>12706166.639225148</v>
      </c>
      <c r="GS100" s="138">
        <f t="shared" si="120"/>
        <v>12706166.639225148</v>
      </c>
      <c r="GT100" s="138">
        <f t="shared" si="120"/>
        <v>12706166.639225148</v>
      </c>
      <c r="GU100" s="138">
        <f t="shared" si="120"/>
        <v>12706166.639225148</v>
      </c>
      <c r="GV100" s="138">
        <f t="shared" si="120"/>
        <v>12706166.639225148</v>
      </c>
      <c r="GW100" s="138">
        <f t="shared" si="120"/>
        <v>12706166.639225148</v>
      </c>
      <c r="GX100" s="138">
        <f t="shared" si="120"/>
        <v>12706166.639225148</v>
      </c>
      <c r="GY100" s="138">
        <f t="shared" si="120"/>
        <v>12706166.639225148</v>
      </c>
      <c r="GZ100" s="138">
        <f t="shared" si="120"/>
        <v>12706166.639225148</v>
      </c>
      <c r="HA100" s="138">
        <f t="shared" si="120"/>
        <v>12706166.639225148</v>
      </c>
      <c r="HB100" s="138">
        <f t="shared" si="120"/>
        <v>12706166.639225148</v>
      </c>
      <c r="HC100" s="138">
        <f t="shared" si="120"/>
        <v>12706166.639225148</v>
      </c>
      <c r="HD100" s="138">
        <f t="shared" si="120"/>
        <v>12706166.639225148</v>
      </c>
      <c r="HE100" s="138">
        <f t="shared" si="120"/>
        <v>12706166.639225148</v>
      </c>
      <c r="HF100" s="138">
        <f t="shared" si="120"/>
        <v>12706166.639225148</v>
      </c>
      <c r="HG100" s="138">
        <f t="shared" si="120"/>
        <v>12706166.639225148</v>
      </c>
      <c r="HH100" s="138">
        <f t="shared" si="120"/>
        <v>12706166.639225148</v>
      </c>
      <c r="HI100" s="138">
        <f t="shared" si="120"/>
        <v>12706166.639225148</v>
      </c>
      <c r="HJ100" s="138">
        <f t="shared" si="120"/>
        <v>12706166.639225148</v>
      </c>
      <c r="HK100" s="138">
        <f t="shared" si="120"/>
        <v>12706166.639225148</v>
      </c>
      <c r="HL100" s="138">
        <f t="shared" si="120"/>
        <v>12706166.639225148</v>
      </c>
      <c r="HM100" s="138">
        <f t="shared" si="120"/>
        <v>12706166.639225148</v>
      </c>
      <c r="HN100" s="138">
        <f t="shared" si="120"/>
        <v>12706166.639225148</v>
      </c>
      <c r="HO100" s="138">
        <f t="shared" si="120"/>
        <v>12706166.639225148</v>
      </c>
      <c r="HP100" s="138">
        <f t="shared" si="120"/>
        <v>12706166.639225148</v>
      </c>
      <c r="HQ100" s="138">
        <f t="shared" si="120"/>
        <v>12706166.639225148</v>
      </c>
      <c r="HR100" s="138">
        <f t="shared" si="120"/>
        <v>12706166.639225148</v>
      </c>
      <c r="HS100" s="138">
        <f t="shared" si="120"/>
        <v>12706166.639225148</v>
      </c>
      <c r="HT100" s="138">
        <f t="shared" si="120"/>
        <v>12706166.639225148</v>
      </c>
      <c r="HU100" s="138">
        <f t="shared" si="120"/>
        <v>12706166.639225148</v>
      </c>
      <c r="HV100" s="138">
        <f t="shared" si="120"/>
        <v>12706166.639225148</v>
      </c>
      <c r="HW100" s="138">
        <f t="shared" si="120"/>
        <v>12706166.639225148</v>
      </c>
      <c r="HX100" s="138">
        <f t="shared" si="120"/>
        <v>12706166.639225148</v>
      </c>
      <c r="HY100" s="138">
        <f t="shared" si="120"/>
        <v>12706166.639225148</v>
      </c>
      <c r="HZ100" s="138">
        <f t="shared" si="120"/>
        <v>12706166.639225148</v>
      </c>
      <c r="IA100" s="138">
        <f t="shared" si="120"/>
        <v>12706166.639225148</v>
      </c>
      <c r="IB100" s="138">
        <f t="shared" si="120"/>
        <v>12706166.639225148</v>
      </c>
      <c r="IC100" s="138">
        <f t="shared" si="120"/>
        <v>12706166.639225148</v>
      </c>
      <c r="ID100" s="138">
        <f t="shared" si="120"/>
        <v>12706166.639225148</v>
      </c>
      <c r="IE100" s="138">
        <f t="shared" si="120"/>
        <v>12706166.639225148</v>
      </c>
      <c r="IF100" s="138">
        <f t="shared" si="120"/>
        <v>12706166.639225148</v>
      </c>
      <c r="IG100" s="138">
        <f t="shared" si="120"/>
        <v>12706166.639225148</v>
      </c>
      <c r="IH100" s="138">
        <f t="shared" si="120"/>
        <v>12706166.639225148</v>
      </c>
      <c r="II100" s="138">
        <f t="shared" si="120"/>
        <v>12706166.639225148</v>
      </c>
      <c r="IJ100" s="138">
        <f t="shared" si="120"/>
        <v>12706166.639225148</v>
      </c>
      <c r="IK100" s="138">
        <f t="shared" si="120"/>
        <v>0</v>
      </c>
      <c r="IL100" s="138">
        <f t="shared" si="120"/>
        <v>0</v>
      </c>
      <c r="IM100" s="138">
        <f t="shared" si="120"/>
        <v>0</v>
      </c>
      <c r="IN100" s="138">
        <f t="shared" si="120"/>
        <v>0</v>
      </c>
      <c r="IO100" s="138">
        <f t="shared" si="120"/>
        <v>0</v>
      </c>
      <c r="IP100" s="138">
        <f t="shared" si="120"/>
        <v>0</v>
      </c>
      <c r="IQ100" s="138">
        <f t="shared" si="120"/>
        <v>0</v>
      </c>
      <c r="IR100" s="138">
        <f t="shared" si="120"/>
        <v>0</v>
      </c>
      <c r="IS100" s="138">
        <f t="shared" si="120"/>
        <v>0</v>
      </c>
      <c r="IT100" s="138">
        <f t="shared" si="120"/>
        <v>0</v>
      </c>
      <c r="IU100" s="138">
        <f t="shared" si="120"/>
        <v>0</v>
      </c>
      <c r="IV100" s="138">
        <f t="shared" si="120"/>
        <v>0</v>
      </c>
      <c r="IW100" s="138">
        <f t="shared" si="120"/>
        <v>0</v>
      </c>
      <c r="IX100" s="138">
        <f t="shared" si="120"/>
        <v>0</v>
      </c>
      <c r="IY100" s="138">
        <f t="shared" si="120"/>
        <v>0</v>
      </c>
      <c r="IZ100" s="138">
        <f t="shared" si="120"/>
        <v>0</v>
      </c>
      <c r="JA100" s="138">
        <f t="shared" si="120"/>
        <v>0</v>
      </c>
      <c r="JB100" s="138">
        <f t="shared" ref="JB100:LM100" si="121">(($C26/12*OR(JB$66,JB$67)*JB68)+(($K26-$C26)/12*JB$67*JB75))*1000</f>
        <v>0</v>
      </c>
      <c r="JC100" s="138">
        <f t="shared" si="121"/>
        <v>0</v>
      </c>
      <c r="JD100" s="138">
        <f t="shared" si="121"/>
        <v>0</v>
      </c>
      <c r="JE100" s="138">
        <f t="shared" si="121"/>
        <v>0</v>
      </c>
      <c r="JF100" s="138">
        <f t="shared" si="121"/>
        <v>0</v>
      </c>
      <c r="JG100" s="138">
        <f t="shared" si="121"/>
        <v>0</v>
      </c>
      <c r="JH100" s="138">
        <f t="shared" si="121"/>
        <v>0</v>
      </c>
      <c r="JI100" s="138">
        <f t="shared" si="121"/>
        <v>0</v>
      </c>
      <c r="JJ100" s="138">
        <f t="shared" si="121"/>
        <v>0</v>
      </c>
      <c r="JK100" s="138">
        <f t="shared" si="121"/>
        <v>0</v>
      </c>
      <c r="JL100" s="138">
        <f t="shared" si="121"/>
        <v>0</v>
      </c>
      <c r="JM100" s="138">
        <f t="shared" si="121"/>
        <v>0</v>
      </c>
      <c r="JN100" s="138">
        <f t="shared" si="121"/>
        <v>0</v>
      </c>
      <c r="JO100" s="138">
        <f t="shared" si="121"/>
        <v>0</v>
      </c>
      <c r="JP100" s="138">
        <f t="shared" si="121"/>
        <v>0</v>
      </c>
      <c r="JQ100" s="138">
        <f t="shared" si="121"/>
        <v>0</v>
      </c>
      <c r="JR100" s="138">
        <f t="shared" si="121"/>
        <v>0</v>
      </c>
      <c r="JS100" s="138">
        <f t="shared" si="121"/>
        <v>0</v>
      </c>
      <c r="JT100" s="138">
        <f t="shared" si="121"/>
        <v>0</v>
      </c>
      <c r="JU100" s="138">
        <f t="shared" si="121"/>
        <v>0</v>
      </c>
      <c r="JV100" s="138">
        <f t="shared" si="121"/>
        <v>0</v>
      </c>
      <c r="JW100" s="138">
        <f t="shared" si="121"/>
        <v>0</v>
      </c>
      <c r="JX100" s="138">
        <f t="shared" si="121"/>
        <v>0</v>
      </c>
      <c r="JY100" s="138">
        <f t="shared" si="121"/>
        <v>0</v>
      </c>
      <c r="JZ100" s="138">
        <f t="shared" si="121"/>
        <v>0</v>
      </c>
      <c r="KA100" s="138">
        <f t="shared" si="121"/>
        <v>0</v>
      </c>
      <c r="KB100" s="138">
        <f t="shared" si="121"/>
        <v>0</v>
      </c>
      <c r="KC100" s="138">
        <f t="shared" si="121"/>
        <v>0</v>
      </c>
      <c r="KD100" s="138">
        <f t="shared" si="121"/>
        <v>0</v>
      </c>
      <c r="KE100" s="138">
        <f t="shared" si="121"/>
        <v>0</v>
      </c>
      <c r="KF100" s="138">
        <f t="shared" si="121"/>
        <v>0</v>
      </c>
      <c r="KG100" s="138">
        <f t="shared" si="121"/>
        <v>0</v>
      </c>
      <c r="KH100" s="138">
        <f t="shared" si="121"/>
        <v>0</v>
      </c>
      <c r="KI100" s="138">
        <f t="shared" si="121"/>
        <v>0</v>
      </c>
      <c r="KJ100" s="138">
        <f t="shared" si="121"/>
        <v>0</v>
      </c>
      <c r="KK100" s="138">
        <f t="shared" si="121"/>
        <v>0</v>
      </c>
      <c r="KL100" s="138">
        <f t="shared" si="121"/>
        <v>0</v>
      </c>
      <c r="KM100" s="138">
        <f t="shared" si="121"/>
        <v>0</v>
      </c>
      <c r="KN100" s="138">
        <f t="shared" si="121"/>
        <v>0</v>
      </c>
      <c r="KO100" s="138">
        <f t="shared" si="121"/>
        <v>0</v>
      </c>
      <c r="KP100" s="138">
        <f t="shared" si="121"/>
        <v>0</v>
      </c>
      <c r="KQ100" s="138">
        <f t="shared" si="121"/>
        <v>0</v>
      </c>
      <c r="KR100" s="138">
        <f t="shared" si="121"/>
        <v>0</v>
      </c>
      <c r="KS100" s="138">
        <f t="shared" si="121"/>
        <v>0</v>
      </c>
      <c r="KT100" s="138">
        <f t="shared" si="121"/>
        <v>0</v>
      </c>
      <c r="KU100" s="138">
        <f t="shared" si="121"/>
        <v>0</v>
      </c>
      <c r="KV100" s="138">
        <f t="shared" si="121"/>
        <v>0</v>
      </c>
      <c r="KW100" s="138">
        <f t="shared" si="121"/>
        <v>0</v>
      </c>
      <c r="KX100" s="138">
        <f t="shared" si="121"/>
        <v>0</v>
      </c>
      <c r="KY100" s="138">
        <f t="shared" si="121"/>
        <v>0</v>
      </c>
      <c r="KZ100" s="138">
        <f t="shared" si="121"/>
        <v>0</v>
      </c>
      <c r="LA100" s="138">
        <f t="shared" si="121"/>
        <v>0</v>
      </c>
      <c r="LB100" s="138">
        <f t="shared" si="121"/>
        <v>0</v>
      </c>
      <c r="LC100" s="138">
        <f t="shared" si="121"/>
        <v>0</v>
      </c>
      <c r="LD100" s="138">
        <f t="shared" si="121"/>
        <v>0</v>
      </c>
      <c r="LE100" s="138">
        <f t="shared" si="121"/>
        <v>0</v>
      </c>
      <c r="LF100" s="138">
        <f t="shared" si="121"/>
        <v>0</v>
      </c>
      <c r="LG100" s="138">
        <f t="shared" si="121"/>
        <v>0</v>
      </c>
      <c r="LH100" s="138">
        <f t="shared" si="121"/>
        <v>0</v>
      </c>
      <c r="LI100" s="138">
        <f t="shared" si="121"/>
        <v>0</v>
      </c>
      <c r="LJ100" s="138">
        <f t="shared" si="121"/>
        <v>0</v>
      </c>
      <c r="LK100" s="138">
        <f t="shared" si="121"/>
        <v>0</v>
      </c>
      <c r="LL100" s="138">
        <f t="shared" si="121"/>
        <v>0</v>
      </c>
      <c r="LM100" s="138">
        <f t="shared" si="121"/>
        <v>0</v>
      </c>
      <c r="LN100" s="138">
        <f t="shared" ref="LN100:NY100" si="122">(($C26/12*OR(LN$66,LN$67)*LN68)+(($K26-$C26)/12*LN$67*LN75))*1000</f>
        <v>0</v>
      </c>
      <c r="LO100" s="138">
        <f t="shared" si="122"/>
        <v>0</v>
      </c>
      <c r="LP100" s="138">
        <f t="shared" si="122"/>
        <v>0</v>
      </c>
      <c r="LQ100" s="138">
        <f t="shared" si="122"/>
        <v>0</v>
      </c>
      <c r="LR100" s="138">
        <f t="shared" si="122"/>
        <v>0</v>
      </c>
      <c r="LS100" s="138">
        <f t="shared" si="122"/>
        <v>0</v>
      </c>
      <c r="LT100" s="138">
        <f t="shared" si="122"/>
        <v>0</v>
      </c>
      <c r="LU100" s="138">
        <f t="shared" si="122"/>
        <v>0</v>
      </c>
      <c r="LV100" s="138">
        <f t="shared" si="122"/>
        <v>0</v>
      </c>
      <c r="LW100" s="138">
        <f t="shared" si="122"/>
        <v>0</v>
      </c>
      <c r="LX100" s="138">
        <f t="shared" si="122"/>
        <v>0</v>
      </c>
      <c r="LY100" s="138">
        <f t="shared" si="122"/>
        <v>0</v>
      </c>
      <c r="LZ100" s="138">
        <f t="shared" si="122"/>
        <v>0</v>
      </c>
      <c r="MA100" s="138">
        <f t="shared" si="122"/>
        <v>0</v>
      </c>
      <c r="MB100" s="138">
        <f t="shared" si="122"/>
        <v>0</v>
      </c>
      <c r="MC100" s="138">
        <f t="shared" si="122"/>
        <v>0</v>
      </c>
      <c r="MD100" s="138">
        <f t="shared" si="122"/>
        <v>0</v>
      </c>
      <c r="ME100" s="138">
        <f t="shared" si="122"/>
        <v>0</v>
      </c>
      <c r="MF100" s="138">
        <f t="shared" si="122"/>
        <v>0</v>
      </c>
      <c r="MG100" s="138">
        <f t="shared" si="122"/>
        <v>0</v>
      </c>
      <c r="MH100" s="138">
        <f t="shared" si="122"/>
        <v>0</v>
      </c>
      <c r="MI100" s="138">
        <f t="shared" si="122"/>
        <v>0</v>
      </c>
      <c r="MJ100" s="138">
        <f t="shared" si="122"/>
        <v>0</v>
      </c>
      <c r="MK100" s="138">
        <f t="shared" si="122"/>
        <v>0</v>
      </c>
      <c r="ML100" s="138">
        <f t="shared" si="122"/>
        <v>0</v>
      </c>
      <c r="MM100" s="138">
        <f t="shared" si="122"/>
        <v>0</v>
      </c>
      <c r="MN100" s="138">
        <f t="shared" si="122"/>
        <v>0</v>
      </c>
      <c r="MO100" s="138">
        <f t="shared" si="122"/>
        <v>0</v>
      </c>
      <c r="MP100" s="138">
        <f t="shared" si="122"/>
        <v>0</v>
      </c>
      <c r="MQ100" s="138">
        <f t="shared" si="122"/>
        <v>0</v>
      </c>
      <c r="MR100" s="138">
        <f t="shared" si="122"/>
        <v>0</v>
      </c>
      <c r="MS100" s="138">
        <f t="shared" si="122"/>
        <v>0</v>
      </c>
      <c r="MT100" s="138">
        <f t="shared" si="122"/>
        <v>0</v>
      </c>
      <c r="MU100" s="138">
        <f t="shared" si="122"/>
        <v>0</v>
      </c>
      <c r="MV100" s="138">
        <f t="shared" si="122"/>
        <v>0</v>
      </c>
      <c r="MW100" s="138">
        <f t="shared" si="122"/>
        <v>0</v>
      </c>
      <c r="MX100" s="138">
        <f t="shared" si="122"/>
        <v>0</v>
      </c>
      <c r="MY100" s="138">
        <f t="shared" si="122"/>
        <v>0</v>
      </c>
      <c r="MZ100" s="138">
        <f t="shared" si="122"/>
        <v>0</v>
      </c>
      <c r="NA100" s="138">
        <f t="shared" si="122"/>
        <v>0</v>
      </c>
      <c r="NB100" s="138">
        <f t="shared" si="122"/>
        <v>0</v>
      </c>
      <c r="NC100" s="138">
        <f t="shared" si="122"/>
        <v>0</v>
      </c>
      <c r="ND100" s="138">
        <f t="shared" si="122"/>
        <v>0</v>
      </c>
      <c r="NE100" s="138">
        <f t="shared" si="122"/>
        <v>0</v>
      </c>
      <c r="NF100" s="138">
        <f t="shared" si="122"/>
        <v>0</v>
      </c>
      <c r="NG100" s="138">
        <f t="shared" si="122"/>
        <v>0</v>
      </c>
      <c r="NH100" s="138">
        <f t="shared" si="122"/>
        <v>0</v>
      </c>
      <c r="NI100" s="138">
        <f t="shared" si="122"/>
        <v>0</v>
      </c>
      <c r="NJ100" s="138">
        <f t="shared" si="122"/>
        <v>0</v>
      </c>
      <c r="NK100" s="138">
        <f t="shared" si="122"/>
        <v>0</v>
      </c>
      <c r="NL100" s="138">
        <f t="shared" si="122"/>
        <v>0</v>
      </c>
      <c r="NM100" s="138">
        <f t="shared" si="122"/>
        <v>0</v>
      </c>
      <c r="NN100" s="138">
        <f t="shared" si="122"/>
        <v>0</v>
      </c>
      <c r="NO100" s="138">
        <f t="shared" si="122"/>
        <v>0</v>
      </c>
      <c r="NP100" s="138">
        <f t="shared" si="122"/>
        <v>0</v>
      </c>
      <c r="NQ100" s="138">
        <f t="shared" si="122"/>
        <v>0</v>
      </c>
      <c r="NR100" s="138">
        <f t="shared" si="122"/>
        <v>0</v>
      </c>
      <c r="NS100" s="138">
        <f t="shared" si="122"/>
        <v>0</v>
      </c>
      <c r="NT100" s="138">
        <f t="shared" si="122"/>
        <v>0</v>
      </c>
      <c r="NU100" s="138">
        <f t="shared" si="122"/>
        <v>0</v>
      </c>
      <c r="NV100" s="138">
        <f t="shared" si="122"/>
        <v>0</v>
      </c>
      <c r="NW100" s="138">
        <f t="shared" si="122"/>
        <v>0</v>
      </c>
      <c r="NX100" s="138">
        <f t="shared" si="122"/>
        <v>0</v>
      </c>
      <c r="NY100" s="138">
        <f t="shared" si="122"/>
        <v>0</v>
      </c>
      <c r="NZ100" s="138">
        <f t="shared" ref="NZ100:QK100" si="123">(($C26/12*OR(NZ$66,NZ$67)*NZ68)+(($K26-$C26)/12*NZ$67*NZ75))*1000</f>
        <v>0</v>
      </c>
      <c r="OA100" s="138">
        <f t="shared" si="123"/>
        <v>0</v>
      </c>
      <c r="OB100" s="138">
        <f t="shared" si="123"/>
        <v>0</v>
      </c>
      <c r="OC100" s="138">
        <f t="shared" si="123"/>
        <v>0</v>
      </c>
      <c r="OD100" s="138">
        <f t="shared" si="123"/>
        <v>0</v>
      </c>
      <c r="OE100" s="138">
        <f t="shared" si="123"/>
        <v>0</v>
      </c>
      <c r="OF100" s="138">
        <f t="shared" si="123"/>
        <v>0</v>
      </c>
      <c r="OG100" s="138">
        <f t="shared" si="123"/>
        <v>0</v>
      </c>
      <c r="OH100" s="138">
        <f t="shared" si="123"/>
        <v>0</v>
      </c>
      <c r="OI100" s="138">
        <f t="shared" si="123"/>
        <v>0</v>
      </c>
      <c r="OJ100" s="138">
        <f t="shared" si="123"/>
        <v>0</v>
      </c>
      <c r="OK100" s="138">
        <f t="shared" si="123"/>
        <v>0</v>
      </c>
      <c r="OL100" s="138">
        <f t="shared" si="123"/>
        <v>0</v>
      </c>
      <c r="OM100" s="138">
        <f t="shared" si="123"/>
        <v>0</v>
      </c>
      <c r="ON100" s="138">
        <f t="shared" si="123"/>
        <v>0</v>
      </c>
      <c r="OO100" s="138">
        <f t="shared" si="123"/>
        <v>0</v>
      </c>
      <c r="OP100" s="138">
        <f t="shared" si="123"/>
        <v>0</v>
      </c>
      <c r="OQ100" s="138">
        <f t="shared" si="123"/>
        <v>0</v>
      </c>
      <c r="OR100" s="138">
        <f t="shared" si="123"/>
        <v>0</v>
      </c>
      <c r="OS100" s="138">
        <f t="shared" si="123"/>
        <v>0</v>
      </c>
      <c r="OT100" s="138">
        <f t="shared" si="123"/>
        <v>0</v>
      </c>
      <c r="OU100" s="138">
        <f t="shared" si="123"/>
        <v>0</v>
      </c>
      <c r="OV100" s="138">
        <f t="shared" si="123"/>
        <v>0</v>
      </c>
      <c r="OW100" s="138">
        <f t="shared" si="123"/>
        <v>0</v>
      </c>
      <c r="OX100" s="138">
        <f t="shared" si="123"/>
        <v>0</v>
      </c>
      <c r="OY100" s="138">
        <f t="shared" si="123"/>
        <v>0</v>
      </c>
      <c r="OZ100" s="138">
        <f t="shared" si="123"/>
        <v>0</v>
      </c>
      <c r="PA100" s="138">
        <f t="shared" si="123"/>
        <v>0</v>
      </c>
      <c r="PB100" s="138">
        <f t="shared" si="123"/>
        <v>0</v>
      </c>
      <c r="PC100" s="138">
        <f t="shared" si="123"/>
        <v>0</v>
      </c>
      <c r="PD100" s="138">
        <f t="shared" si="123"/>
        <v>0</v>
      </c>
      <c r="PE100" s="138">
        <f t="shared" si="123"/>
        <v>0</v>
      </c>
      <c r="PF100" s="138">
        <f t="shared" si="123"/>
        <v>0</v>
      </c>
      <c r="PG100" s="138">
        <f t="shared" si="123"/>
        <v>0</v>
      </c>
      <c r="PH100" s="138">
        <f t="shared" si="123"/>
        <v>0</v>
      </c>
      <c r="PI100" s="138">
        <f t="shared" si="123"/>
        <v>0</v>
      </c>
      <c r="PJ100" s="138">
        <f t="shared" si="123"/>
        <v>0</v>
      </c>
      <c r="PK100" s="138">
        <f t="shared" si="123"/>
        <v>0</v>
      </c>
      <c r="PL100" s="138">
        <f t="shared" si="123"/>
        <v>0</v>
      </c>
      <c r="PM100" s="138">
        <f t="shared" si="123"/>
        <v>0</v>
      </c>
      <c r="PN100" s="138">
        <f t="shared" si="123"/>
        <v>0</v>
      </c>
      <c r="PO100" s="138">
        <f t="shared" si="123"/>
        <v>0</v>
      </c>
      <c r="PP100" s="138">
        <f t="shared" si="123"/>
        <v>0</v>
      </c>
      <c r="PQ100" s="138">
        <f t="shared" si="123"/>
        <v>0</v>
      </c>
      <c r="PR100" s="138">
        <f t="shared" si="123"/>
        <v>0</v>
      </c>
      <c r="PS100" s="138">
        <f t="shared" si="123"/>
        <v>0</v>
      </c>
      <c r="PT100" s="138">
        <f t="shared" si="123"/>
        <v>0</v>
      </c>
      <c r="PU100" s="138">
        <f t="shared" si="123"/>
        <v>0</v>
      </c>
      <c r="PV100" s="138">
        <f t="shared" si="123"/>
        <v>0</v>
      </c>
      <c r="PW100" s="138">
        <f t="shared" si="123"/>
        <v>0</v>
      </c>
      <c r="PX100" s="138">
        <f t="shared" si="123"/>
        <v>0</v>
      </c>
      <c r="PY100" s="138">
        <f t="shared" si="123"/>
        <v>0</v>
      </c>
      <c r="PZ100" s="138">
        <f t="shared" si="123"/>
        <v>0</v>
      </c>
      <c r="QA100" s="138">
        <f t="shared" si="123"/>
        <v>0</v>
      </c>
      <c r="QB100" s="138">
        <f t="shared" si="123"/>
        <v>0</v>
      </c>
      <c r="QC100" s="138">
        <f t="shared" si="123"/>
        <v>0</v>
      </c>
      <c r="QD100" s="138">
        <f t="shared" si="123"/>
        <v>0</v>
      </c>
      <c r="QE100" s="138">
        <f t="shared" si="123"/>
        <v>0</v>
      </c>
      <c r="QF100" s="138">
        <f t="shared" si="123"/>
        <v>0</v>
      </c>
      <c r="QG100" s="138">
        <f t="shared" si="123"/>
        <v>0</v>
      </c>
      <c r="QH100" s="138">
        <f t="shared" si="123"/>
        <v>0</v>
      </c>
      <c r="QI100" s="138">
        <f t="shared" si="123"/>
        <v>0</v>
      </c>
      <c r="QJ100" s="138">
        <f t="shared" si="123"/>
        <v>0</v>
      </c>
      <c r="QK100" s="138">
        <f t="shared" si="123"/>
        <v>0</v>
      </c>
      <c r="QL100" s="138">
        <f t="shared" ref="QL100:RR100" si="124">(($C26/12*OR(QL$66,QL$67)*QL68)+(($K26-$C26)/12*QL$67*QL75))*1000</f>
        <v>0</v>
      </c>
      <c r="QM100" s="138">
        <f t="shared" si="124"/>
        <v>0</v>
      </c>
      <c r="QN100" s="138">
        <f t="shared" si="124"/>
        <v>0</v>
      </c>
      <c r="QO100" s="138">
        <f t="shared" si="124"/>
        <v>0</v>
      </c>
      <c r="QP100" s="138">
        <f t="shared" si="124"/>
        <v>0</v>
      </c>
      <c r="QQ100" s="138">
        <f t="shared" si="124"/>
        <v>0</v>
      </c>
      <c r="QR100" s="138">
        <f t="shared" si="124"/>
        <v>0</v>
      </c>
      <c r="QS100" s="138">
        <f t="shared" si="124"/>
        <v>0</v>
      </c>
      <c r="QT100" s="138">
        <f t="shared" si="124"/>
        <v>0</v>
      </c>
      <c r="QU100" s="138">
        <f t="shared" si="124"/>
        <v>0</v>
      </c>
      <c r="QV100" s="138">
        <f t="shared" si="124"/>
        <v>0</v>
      </c>
      <c r="QW100" s="138">
        <f t="shared" si="124"/>
        <v>0</v>
      </c>
      <c r="QX100" s="138">
        <f t="shared" si="124"/>
        <v>0</v>
      </c>
      <c r="QY100" s="138">
        <f t="shared" si="124"/>
        <v>0</v>
      </c>
      <c r="QZ100" s="138">
        <f t="shared" si="124"/>
        <v>0</v>
      </c>
      <c r="RA100" s="138">
        <f t="shared" si="124"/>
        <v>0</v>
      </c>
      <c r="RB100" s="138">
        <f t="shared" si="124"/>
        <v>0</v>
      </c>
      <c r="RC100" s="138">
        <f t="shared" si="124"/>
        <v>0</v>
      </c>
      <c r="RD100" s="138">
        <f t="shared" si="124"/>
        <v>0</v>
      </c>
      <c r="RE100" s="138">
        <f t="shared" si="124"/>
        <v>0</v>
      </c>
      <c r="RF100" s="138">
        <f t="shared" si="124"/>
        <v>0</v>
      </c>
      <c r="RG100" s="138">
        <f t="shared" si="124"/>
        <v>0</v>
      </c>
      <c r="RH100" s="138">
        <f t="shared" si="124"/>
        <v>0</v>
      </c>
      <c r="RI100" s="138">
        <f t="shared" si="124"/>
        <v>0</v>
      </c>
      <c r="RJ100" s="138">
        <f t="shared" si="124"/>
        <v>0</v>
      </c>
      <c r="RK100" s="138">
        <f t="shared" si="124"/>
        <v>0</v>
      </c>
      <c r="RL100" s="138">
        <f t="shared" si="124"/>
        <v>0</v>
      </c>
      <c r="RM100" s="138">
        <f t="shared" si="124"/>
        <v>0</v>
      </c>
      <c r="RN100" s="138">
        <f t="shared" si="124"/>
        <v>0</v>
      </c>
      <c r="RO100" s="138">
        <f t="shared" si="124"/>
        <v>0</v>
      </c>
      <c r="RP100" s="138">
        <f t="shared" si="124"/>
        <v>0</v>
      </c>
      <c r="RQ100" s="138">
        <f t="shared" si="124"/>
        <v>0</v>
      </c>
      <c r="RR100" s="138">
        <f t="shared" si="124"/>
        <v>0</v>
      </c>
    </row>
    <row r="101" spans="1:486" s="9" customFormat="1">
      <c r="A101" s="286"/>
      <c r="B101" s="39" t="s">
        <v>131</v>
      </c>
      <c r="E101" s="138">
        <f t="shared" ref="E101:BP101" si="125">(($C27/12*OR(E$66,E$67)*E69)+(($K27-$C27)/12*E$67*E76))*1000</f>
        <v>3514113.0695723682</v>
      </c>
      <c r="F101" s="138">
        <f t="shared" si="125"/>
        <v>3514113.0695723682</v>
      </c>
      <c r="G101" s="138">
        <f t="shared" si="125"/>
        <v>3514113.0695723682</v>
      </c>
      <c r="H101" s="138">
        <f t="shared" si="125"/>
        <v>3514113.0695723682</v>
      </c>
      <c r="I101" s="138">
        <f t="shared" si="125"/>
        <v>3514113.0695723682</v>
      </c>
      <c r="J101" s="138">
        <f t="shared" si="125"/>
        <v>3514113.0695723682</v>
      </c>
      <c r="K101" s="138">
        <f t="shared" si="125"/>
        <v>3514113.0695723682</v>
      </c>
      <c r="L101" s="138">
        <f t="shared" si="125"/>
        <v>3514113.0695723682</v>
      </c>
      <c r="M101" s="138">
        <f t="shared" si="125"/>
        <v>3514113.0695723682</v>
      </c>
      <c r="N101" s="138">
        <f t="shared" si="125"/>
        <v>3514113.0695723682</v>
      </c>
      <c r="O101" s="138">
        <f t="shared" si="125"/>
        <v>3514113.0695723682</v>
      </c>
      <c r="P101" s="138">
        <f t="shared" si="125"/>
        <v>3514113.0695723682</v>
      </c>
      <c r="Q101" s="138">
        <f t="shared" si="125"/>
        <v>3514113.0695723682</v>
      </c>
      <c r="R101" s="138">
        <f t="shared" si="125"/>
        <v>3514113.0695723682</v>
      </c>
      <c r="S101" s="138">
        <f t="shared" si="125"/>
        <v>3514113.0695723682</v>
      </c>
      <c r="T101" s="138">
        <f t="shared" si="125"/>
        <v>3514113.0695723682</v>
      </c>
      <c r="U101" s="138">
        <f t="shared" si="125"/>
        <v>3514113.0695723682</v>
      </c>
      <c r="V101" s="138">
        <f t="shared" si="125"/>
        <v>3514113.0695723682</v>
      </c>
      <c r="W101" s="138">
        <f t="shared" si="125"/>
        <v>3514113.0695723682</v>
      </c>
      <c r="X101" s="138">
        <f t="shared" si="125"/>
        <v>3514113.0695723682</v>
      </c>
      <c r="Y101" s="138">
        <f t="shared" si="125"/>
        <v>3514113.0695723682</v>
      </c>
      <c r="Z101" s="138">
        <f t="shared" si="125"/>
        <v>3514113.0695723682</v>
      </c>
      <c r="AA101" s="138">
        <f t="shared" si="125"/>
        <v>3514113.0695723682</v>
      </c>
      <c r="AB101" s="138">
        <f t="shared" si="125"/>
        <v>3514113.0695723682</v>
      </c>
      <c r="AC101" s="138">
        <f t="shared" si="125"/>
        <v>3514113.0695723682</v>
      </c>
      <c r="AD101" s="138">
        <f t="shared" si="125"/>
        <v>3514113.0695723682</v>
      </c>
      <c r="AE101" s="138">
        <f t="shared" si="125"/>
        <v>3514113.0695723682</v>
      </c>
      <c r="AF101" s="138">
        <f t="shared" si="125"/>
        <v>3514113.0695723682</v>
      </c>
      <c r="AG101" s="138">
        <f t="shared" si="125"/>
        <v>3514113.0695723682</v>
      </c>
      <c r="AH101" s="138">
        <f t="shared" si="125"/>
        <v>3514113.0695723682</v>
      </c>
      <c r="AI101" s="138">
        <f t="shared" si="125"/>
        <v>3514113.0695723682</v>
      </c>
      <c r="AJ101" s="138">
        <f t="shared" si="125"/>
        <v>3514113.0695723682</v>
      </c>
      <c r="AK101" s="138">
        <f t="shared" si="125"/>
        <v>3514113.0695723682</v>
      </c>
      <c r="AL101" s="138">
        <f t="shared" si="125"/>
        <v>3514113.0695723682</v>
      </c>
      <c r="AM101" s="138">
        <f t="shared" si="125"/>
        <v>3514113.0695723682</v>
      </c>
      <c r="AN101" s="138">
        <f t="shared" si="125"/>
        <v>3514113.0695723682</v>
      </c>
      <c r="AO101" s="138">
        <f t="shared" si="125"/>
        <v>3514113.0695723682</v>
      </c>
      <c r="AP101" s="138">
        <f t="shared" si="125"/>
        <v>3514113.0695723682</v>
      </c>
      <c r="AQ101" s="138">
        <f t="shared" si="125"/>
        <v>3514113.0695723682</v>
      </c>
      <c r="AR101" s="138">
        <f t="shared" si="125"/>
        <v>3514113.0695723682</v>
      </c>
      <c r="AS101" s="138">
        <f t="shared" si="125"/>
        <v>3514113.0695723682</v>
      </c>
      <c r="AT101" s="138">
        <f t="shared" si="125"/>
        <v>3514113.0695723682</v>
      </c>
      <c r="AU101" s="138">
        <f t="shared" si="125"/>
        <v>3514113.0695723682</v>
      </c>
      <c r="AV101" s="138">
        <f t="shared" si="125"/>
        <v>3514113.0695723682</v>
      </c>
      <c r="AW101" s="138">
        <f t="shared" si="125"/>
        <v>3514113.0695723682</v>
      </c>
      <c r="AX101" s="138">
        <f t="shared" si="125"/>
        <v>3514113.0695723682</v>
      </c>
      <c r="AY101" s="138">
        <f t="shared" si="125"/>
        <v>3514113.0695723682</v>
      </c>
      <c r="AZ101" s="138">
        <f t="shared" si="125"/>
        <v>3514113.0695723682</v>
      </c>
      <c r="BA101" s="138">
        <f t="shared" si="125"/>
        <v>3514113.0695723682</v>
      </c>
      <c r="BB101" s="138">
        <f t="shared" si="125"/>
        <v>3514113.0695723682</v>
      </c>
      <c r="BC101" s="138">
        <f t="shared" si="125"/>
        <v>3514113.0695723682</v>
      </c>
      <c r="BD101" s="138">
        <f t="shared" si="125"/>
        <v>3514113.0695723682</v>
      </c>
      <c r="BE101" s="138">
        <f t="shared" si="125"/>
        <v>3514113.0695723682</v>
      </c>
      <c r="BF101" s="138">
        <f t="shared" si="125"/>
        <v>3514113.0695723682</v>
      </c>
      <c r="BG101" s="138">
        <f t="shared" si="125"/>
        <v>3514113.0695723682</v>
      </c>
      <c r="BH101" s="138">
        <f t="shared" si="125"/>
        <v>3514113.0695723682</v>
      </c>
      <c r="BI101" s="138">
        <f t="shared" si="125"/>
        <v>3514113.0695723682</v>
      </c>
      <c r="BJ101" s="138">
        <f t="shared" si="125"/>
        <v>3514113.0695723682</v>
      </c>
      <c r="BK101" s="138">
        <f t="shared" si="125"/>
        <v>3514113.0695723682</v>
      </c>
      <c r="BL101" s="138">
        <f t="shared" si="125"/>
        <v>3514113.0695723682</v>
      </c>
      <c r="BM101" s="138">
        <f t="shared" si="125"/>
        <v>5826029.5627120845</v>
      </c>
      <c r="BN101" s="138">
        <f t="shared" si="125"/>
        <v>5826029.5627120845</v>
      </c>
      <c r="BO101" s="138">
        <f t="shared" si="125"/>
        <v>5826029.5627120845</v>
      </c>
      <c r="BP101" s="138">
        <f t="shared" si="125"/>
        <v>5826029.5627120845</v>
      </c>
      <c r="BQ101" s="138">
        <f t="shared" ref="BQ101:EB101" si="126">(($C27/12*OR(BQ$66,BQ$67)*BQ69)+(($K27-$C27)/12*BQ$67*BQ76))*1000</f>
        <v>5826029.5627120845</v>
      </c>
      <c r="BR101" s="138">
        <f t="shared" si="126"/>
        <v>5826029.5627120845</v>
      </c>
      <c r="BS101" s="138">
        <f t="shared" si="126"/>
        <v>5826029.5627120845</v>
      </c>
      <c r="BT101" s="138">
        <f t="shared" si="126"/>
        <v>5826029.5627120845</v>
      </c>
      <c r="BU101" s="138">
        <f t="shared" si="126"/>
        <v>5826029.5627120845</v>
      </c>
      <c r="BV101" s="138">
        <f t="shared" si="126"/>
        <v>5826029.5627120845</v>
      </c>
      <c r="BW101" s="138">
        <f t="shared" si="126"/>
        <v>5826029.5627120845</v>
      </c>
      <c r="BX101" s="138">
        <f t="shared" si="126"/>
        <v>5826029.5627120845</v>
      </c>
      <c r="BY101" s="138">
        <f t="shared" si="126"/>
        <v>5826029.5627120845</v>
      </c>
      <c r="BZ101" s="138">
        <f t="shared" si="126"/>
        <v>5826029.5627120845</v>
      </c>
      <c r="CA101" s="138">
        <f t="shared" si="126"/>
        <v>5826029.5627120845</v>
      </c>
      <c r="CB101" s="138">
        <f t="shared" si="126"/>
        <v>5826029.5627120845</v>
      </c>
      <c r="CC101" s="138">
        <f t="shared" si="126"/>
        <v>5826029.5627120845</v>
      </c>
      <c r="CD101" s="138">
        <f t="shared" si="126"/>
        <v>5826029.5627120845</v>
      </c>
      <c r="CE101" s="138">
        <f t="shared" si="126"/>
        <v>5826029.5627120845</v>
      </c>
      <c r="CF101" s="138">
        <f t="shared" si="126"/>
        <v>5826029.5627120845</v>
      </c>
      <c r="CG101" s="138">
        <f t="shared" si="126"/>
        <v>5826029.5627120845</v>
      </c>
      <c r="CH101" s="138">
        <f t="shared" si="126"/>
        <v>5826029.5627120845</v>
      </c>
      <c r="CI101" s="138">
        <f t="shared" si="126"/>
        <v>5826029.5627120845</v>
      </c>
      <c r="CJ101" s="138">
        <f t="shared" si="126"/>
        <v>5826029.5627120845</v>
      </c>
      <c r="CK101" s="138">
        <f t="shared" si="126"/>
        <v>5826029.5627120845</v>
      </c>
      <c r="CL101" s="138">
        <f t="shared" si="126"/>
        <v>5826029.5627120845</v>
      </c>
      <c r="CM101" s="138">
        <f t="shared" si="126"/>
        <v>5826029.5627120845</v>
      </c>
      <c r="CN101" s="138">
        <f t="shared" si="126"/>
        <v>5826029.5627120845</v>
      </c>
      <c r="CO101" s="138">
        <f t="shared" si="126"/>
        <v>5826029.5627120845</v>
      </c>
      <c r="CP101" s="138">
        <f t="shared" si="126"/>
        <v>5826029.5627120845</v>
      </c>
      <c r="CQ101" s="138">
        <f t="shared" si="126"/>
        <v>5826029.5627120845</v>
      </c>
      <c r="CR101" s="138">
        <f t="shared" si="126"/>
        <v>5826029.5627120845</v>
      </c>
      <c r="CS101" s="138">
        <f t="shared" si="126"/>
        <v>5826029.5627120845</v>
      </c>
      <c r="CT101" s="138">
        <f t="shared" si="126"/>
        <v>5826029.5627120845</v>
      </c>
      <c r="CU101" s="138">
        <f t="shared" si="126"/>
        <v>5826029.5627120845</v>
      </c>
      <c r="CV101" s="138">
        <f t="shared" si="126"/>
        <v>5826029.5627120845</v>
      </c>
      <c r="CW101" s="138">
        <f t="shared" si="126"/>
        <v>5826029.5627120845</v>
      </c>
      <c r="CX101" s="138">
        <f t="shared" si="126"/>
        <v>5826029.5627120845</v>
      </c>
      <c r="CY101" s="138">
        <f t="shared" si="126"/>
        <v>5826029.5627120845</v>
      </c>
      <c r="CZ101" s="138">
        <f t="shared" si="126"/>
        <v>5826029.5627120845</v>
      </c>
      <c r="DA101" s="138">
        <f t="shared" si="126"/>
        <v>5826029.5627120845</v>
      </c>
      <c r="DB101" s="138">
        <f t="shared" si="126"/>
        <v>5826029.5627120845</v>
      </c>
      <c r="DC101" s="138">
        <f t="shared" si="126"/>
        <v>5826029.5627120845</v>
      </c>
      <c r="DD101" s="138">
        <f t="shared" si="126"/>
        <v>5826029.5627120845</v>
      </c>
      <c r="DE101" s="138">
        <f t="shared" si="126"/>
        <v>5826029.5627120845</v>
      </c>
      <c r="DF101" s="138">
        <f t="shared" si="126"/>
        <v>5826029.5627120845</v>
      </c>
      <c r="DG101" s="138">
        <f t="shared" si="126"/>
        <v>5826029.5627120845</v>
      </c>
      <c r="DH101" s="138">
        <f t="shared" si="126"/>
        <v>5826029.5627120845</v>
      </c>
      <c r="DI101" s="138">
        <f t="shared" si="126"/>
        <v>5826029.5627120845</v>
      </c>
      <c r="DJ101" s="138">
        <f t="shared" si="126"/>
        <v>5826029.5627120845</v>
      </c>
      <c r="DK101" s="138">
        <f t="shared" si="126"/>
        <v>5826029.5627120845</v>
      </c>
      <c r="DL101" s="138">
        <f t="shared" si="126"/>
        <v>5826029.5627120845</v>
      </c>
      <c r="DM101" s="138">
        <f t="shared" si="126"/>
        <v>5826029.5627120845</v>
      </c>
      <c r="DN101" s="138">
        <f t="shared" si="126"/>
        <v>5826029.5627120845</v>
      </c>
      <c r="DO101" s="138">
        <f t="shared" si="126"/>
        <v>5826029.5627120845</v>
      </c>
      <c r="DP101" s="138">
        <f t="shared" si="126"/>
        <v>5826029.5627120845</v>
      </c>
      <c r="DQ101" s="138">
        <f t="shared" si="126"/>
        <v>5826029.5627120845</v>
      </c>
      <c r="DR101" s="138">
        <f t="shared" si="126"/>
        <v>5826029.5627120845</v>
      </c>
      <c r="DS101" s="138">
        <f t="shared" si="126"/>
        <v>5826029.5627120845</v>
      </c>
      <c r="DT101" s="138">
        <f t="shared" si="126"/>
        <v>5826029.5627120845</v>
      </c>
      <c r="DU101" s="138">
        <f t="shared" si="126"/>
        <v>5826029.5627120845</v>
      </c>
      <c r="DV101" s="138">
        <f t="shared" si="126"/>
        <v>5826029.5627120845</v>
      </c>
      <c r="DW101" s="138">
        <f t="shared" si="126"/>
        <v>5826029.5627120845</v>
      </c>
      <c r="DX101" s="138">
        <f t="shared" si="126"/>
        <v>5826029.5627120845</v>
      </c>
      <c r="DY101" s="138">
        <f t="shared" si="126"/>
        <v>5826029.5627120845</v>
      </c>
      <c r="DZ101" s="138">
        <f t="shared" si="126"/>
        <v>5826029.5627120845</v>
      </c>
      <c r="EA101" s="138">
        <f t="shared" si="126"/>
        <v>5826029.5627120845</v>
      </c>
      <c r="EB101" s="138">
        <f t="shared" si="126"/>
        <v>5826029.5627120845</v>
      </c>
      <c r="EC101" s="138">
        <f t="shared" ref="EC101:GN101" si="127">(($C27/12*OR(EC$66,EC$67)*EC69)+(($K27-$C27)/12*EC$67*EC76))*1000</f>
        <v>5826029.5627120845</v>
      </c>
      <c r="ED101" s="138">
        <f t="shared" si="127"/>
        <v>5826029.5627120845</v>
      </c>
      <c r="EE101" s="138">
        <f t="shared" si="127"/>
        <v>5826029.5627120845</v>
      </c>
      <c r="EF101" s="138">
        <f t="shared" si="127"/>
        <v>5826029.5627120845</v>
      </c>
      <c r="EG101" s="138">
        <f t="shared" si="127"/>
        <v>5826029.5627120845</v>
      </c>
      <c r="EH101" s="138">
        <f t="shared" si="127"/>
        <v>5826029.5627120845</v>
      </c>
      <c r="EI101" s="138">
        <f t="shared" si="127"/>
        <v>5826029.5627120845</v>
      </c>
      <c r="EJ101" s="138">
        <f t="shared" si="127"/>
        <v>5826029.5627120845</v>
      </c>
      <c r="EK101" s="138">
        <f t="shared" si="127"/>
        <v>5826029.5627120845</v>
      </c>
      <c r="EL101" s="138">
        <f t="shared" si="127"/>
        <v>5826029.5627120845</v>
      </c>
      <c r="EM101" s="138">
        <f t="shared" si="127"/>
        <v>5826029.5627120845</v>
      </c>
      <c r="EN101" s="138">
        <f t="shared" si="127"/>
        <v>5826029.5627120845</v>
      </c>
      <c r="EO101" s="138">
        <f t="shared" si="127"/>
        <v>5826029.5627120845</v>
      </c>
      <c r="EP101" s="138">
        <f t="shared" si="127"/>
        <v>5826029.5627120845</v>
      </c>
      <c r="EQ101" s="138">
        <f t="shared" si="127"/>
        <v>5826029.5627120845</v>
      </c>
      <c r="ER101" s="138">
        <f t="shared" si="127"/>
        <v>5826029.5627120845</v>
      </c>
      <c r="ES101" s="138">
        <f t="shared" si="127"/>
        <v>5826029.5627120845</v>
      </c>
      <c r="ET101" s="138">
        <f t="shared" si="127"/>
        <v>5826029.5627120845</v>
      </c>
      <c r="EU101" s="138">
        <f t="shared" si="127"/>
        <v>5826029.5627120845</v>
      </c>
      <c r="EV101" s="138">
        <f t="shared" si="127"/>
        <v>5826029.5627120845</v>
      </c>
      <c r="EW101" s="138">
        <f t="shared" si="127"/>
        <v>5826029.5627120845</v>
      </c>
      <c r="EX101" s="138">
        <f t="shared" si="127"/>
        <v>5826029.5627120845</v>
      </c>
      <c r="EY101" s="138">
        <f t="shared" si="127"/>
        <v>5826029.5627120845</v>
      </c>
      <c r="EZ101" s="138">
        <f t="shared" si="127"/>
        <v>5826029.5627120845</v>
      </c>
      <c r="FA101" s="138">
        <f t="shared" si="127"/>
        <v>5826029.5627120845</v>
      </c>
      <c r="FB101" s="138">
        <f t="shared" si="127"/>
        <v>5826029.5627120845</v>
      </c>
      <c r="FC101" s="138">
        <f t="shared" si="127"/>
        <v>5826029.5627120845</v>
      </c>
      <c r="FD101" s="138">
        <f t="shared" si="127"/>
        <v>5826029.5627120845</v>
      </c>
      <c r="FE101" s="138">
        <f t="shared" si="127"/>
        <v>5826029.5627120845</v>
      </c>
      <c r="FF101" s="138">
        <f t="shared" si="127"/>
        <v>5826029.5627120845</v>
      </c>
      <c r="FG101" s="138">
        <f t="shared" si="127"/>
        <v>5826029.5627120845</v>
      </c>
      <c r="FH101" s="138">
        <f t="shared" si="127"/>
        <v>5826029.5627120845</v>
      </c>
      <c r="FI101" s="138">
        <f t="shared" si="127"/>
        <v>5826029.5627120845</v>
      </c>
      <c r="FJ101" s="138">
        <f t="shared" si="127"/>
        <v>5826029.5627120845</v>
      </c>
      <c r="FK101" s="138">
        <f t="shared" si="127"/>
        <v>5826029.5627120845</v>
      </c>
      <c r="FL101" s="138">
        <f t="shared" si="127"/>
        <v>5826029.5627120845</v>
      </c>
      <c r="FM101" s="138">
        <f t="shared" si="127"/>
        <v>5826029.5627120845</v>
      </c>
      <c r="FN101" s="138">
        <f t="shared" si="127"/>
        <v>5826029.5627120845</v>
      </c>
      <c r="FO101" s="138">
        <f t="shared" si="127"/>
        <v>5826029.5627120845</v>
      </c>
      <c r="FP101" s="138">
        <f t="shared" si="127"/>
        <v>5826029.5627120845</v>
      </c>
      <c r="FQ101" s="138">
        <f t="shared" si="127"/>
        <v>5826029.5627120845</v>
      </c>
      <c r="FR101" s="138">
        <f t="shared" si="127"/>
        <v>5826029.5627120845</v>
      </c>
      <c r="FS101" s="138">
        <f t="shared" si="127"/>
        <v>5826029.5627120845</v>
      </c>
      <c r="FT101" s="138">
        <f t="shared" si="127"/>
        <v>5826029.5627120845</v>
      </c>
      <c r="FU101" s="138">
        <f t="shared" si="127"/>
        <v>5826029.5627120845</v>
      </c>
      <c r="FV101" s="138">
        <f t="shared" si="127"/>
        <v>5826029.5627120845</v>
      </c>
      <c r="FW101" s="138">
        <f t="shared" si="127"/>
        <v>5826029.5627120845</v>
      </c>
      <c r="FX101" s="138">
        <f t="shared" si="127"/>
        <v>5826029.5627120845</v>
      </c>
      <c r="FY101" s="138">
        <f t="shared" si="127"/>
        <v>5826029.5627120845</v>
      </c>
      <c r="FZ101" s="138">
        <f t="shared" si="127"/>
        <v>5826029.5627120845</v>
      </c>
      <c r="GA101" s="138">
        <f t="shared" si="127"/>
        <v>5826029.5627120845</v>
      </c>
      <c r="GB101" s="138">
        <f t="shared" si="127"/>
        <v>5826029.5627120845</v>
      </c>
      <c r="GC101" s="138">
        <f t="shared" si="127"/>
        <v>5826029.5627120845</v>
      </c>
      <c r="GD101" s="138">
        <f t="shared" si="127"/>
        <v>5826029.5627120845</v>
      </c>
      <c r="GE101" s="138">
        <f t="shared" si="127"/>
        <v>5826029.5627120845</v>
      </c>
      <c r="GF101" s="138">
        <f t="shared" si="127"/>
        <v>5826029.5627120845</v>
      </c>
      <c r="GG101" s="138">
        <f t="shared" si="127"/>
        <v>5826029.5627120845</v>
      </c>
      <c r="GH101" s="138">
        <f t="shared" si="127"/>
        <v>5826029.5627120845</v>
      </c>
      <c r="GI101" s="138">
        <f t="shared" si="127"/>
        <v>5826029.5627120845</v>
      </c>
      <c r="GJ101" s="138">
        <f t="shared" si="127"/>
        <v>5826029.5627120845</v>
      </c>
      <c r="GK101" s="138">
        <f t="shared" si="127"/>
        <v>5826029.5627120845</v>
      </c>
      <c r="GL101" s="138">
        <f t="shared" si="127"/>
        <v>5826029.5627120845</v>
      </c>
      <c r="GM101" s="138">
        <f t="shared" si="127"/>
        <v>5826029.5627120845</v>
      </c>
      <c r="GN101" s="138">
        <f t="shared" si="127"/>
        <v>5826029.5627120845</v>
      </c>
      <c r="GO101" s="138">
        <f t="shared" ref="GO101:IZ101" si="128">(($C27/12*OR(GO$66,GO$67)*GO69)+(($K27-$C27)/12*GO$67*GO76))*1000</f>
        <v>5826029.5627120845</v>
      </c>
      <c r="GP101" s="138">
        <f t="shared" si="128"/>
        <v>5826029.5627120845</v>
      </c>
      <c r="GQ101" s="138">
        <f t="shared" si="128"/>
        <v>5826029.5627120845</v>
      </c>
      <c r="GR101" s="138">
        <f t="shared" si="128"/>
        <v>5826029.5627120845</v>
      </c>
      <c r="GS101" s="138">
        <f t="shared" si="128"/>
        <v>5826029.5627120845</v>
      </c>
      <c r="GT101" s="138">
        <f t="shared" si="128"/>
        <v>5826029.5627120845</v>
      </c>
      <c r="GU101" s="138">
        <f t="shared" si="128"/>
        <v>5826029.5627120845</v>
      </c>
      <c r="GV101" s="138">
        <f t="shared" si="128"/>
        <v>5826029.5627120845</v>
      </c>
      <c r="GW101" s="138">
        <f t="shared" si="128"/>
        <v>5826029.5627120845</v>
      </c>
      <c r="GX101" s="138">
        <f t="shared" si="128"/>
        <v>5826029.5627120845</v>
      </c>
      <c r="GY101" s="138">
        <f t="shared" si="128"/>
        <v>5826029.5627120845</v>
      </c>
      <c r="GZ101" s="138">
        <f t="shared" si="128"/>
        <v>5826029.5627120845</v>
      </c>
      <c r="HA101" s="138">
        <f t="shared" si="128"/>
        <v>5826029.5627120845</v>
      </c>
      <c r="HB101" s="138">
        <f t="shared" si="128"/>
        <v>5826029.5627120845</v>
      </c>
      <c r="HC101" s="138">
        <f t="shared" si="128"/>
        <v>5826029.5627120845</v>
      </c>
      <c r="HD101" s="138">
        <f t="shared" si="128"/>
        <v>5826029.5627120845</v>
      </c>
      <c r="HE101" s="138">
        <f t="shared" si="128"/>
        <v>5826029.5627120845</v>
      </c>
      <c r="HF101" s="138">
        <f t="shared" si="128"/>
        <v>5826029.5627120845</v>
      </c>
      <c r="HG101" s="138">
        <f t="shared" si="128"/>
        <v>5826029.5627120845</v>
      </c>
      <c r="HH101" s="138">
        <f t="shared" si="128"/>
        <v>5826029.5627120845</v>
      </c>
      <c r="HI101" s="138">
        <f t="shared" si="128"/>
        <v>5826029.5627120845</v>
      </c>
      <c r="HJ101" s="138">
        <f t="shared" si="128"/>
        <v>5826029.5627120845</v>
      </c>
      <c r="HK101" s="138">
        <f t="shared" si="128"/>
        <v>5826029.5627120845</v>
      </c>
      <c r="HL101" s="138">
        <f t="shared" si="128"/>
        <v>5826029.5627120845</v>
      </c>
      <c r="HM101" s="138">
        <f t="shared" si="128"/>
        <v>5826029.5627120845</v>
      </c>
      <c r="HN101" s="138">
        <f t="shared" si="128"/>
        <v>5826029.5627120845</v>
      </c>
      <c r="HO101" s="138">
        <f t="shared" si="128"/>
        <v>5826029.5627120845</v>
      </c>
      <c r="HP101" s="138">
        <f t="shared" si="128"/>
        <v>5826029.5627120845</v>
      </c>
      <c r="HQ101" s="138">
        <f t="shared" si="128"/>
        <v>5826029.5627120845</v>
      </c>
      <c r="HR101" s="138">
        <f t="shared" si="128"/>
        <v>5826029.5627120845</v>
      </c>
      <c r="HS101" s="138">
        <f t="shared" si="128"/>
        <v>5826029.5627120845</v>
      </c>
      <c r="HT101" s="138">
        <f t="shared" si="128"/>
        <v>5826029.5627120845</v>
      </c>
      <c r="HU101" s="138">
        <f t="shared" si="128"/>
        <v>5826029.5627120845</v>
      </c>
      <c r="HV101" s="138">
        <f t="shared" si="128"/>
        <v>5826029.5627120845</v>
      </c>
      <c r="HW101" s="138">
        <f t="shared" si="128"/>
        <v>5826029.5627120845</v>
      </c>
      <c r="HX101" s="138">
        <f t="shared" si="128"/>
        <v>5826029.5627120845</v>
      </c>
      <c r="HY101" s="138">
        <f t="shared" si="128"/>
        <v>5826029.5627120845</v>
      </c>
      <c r="HZ101" s="138">
        <f t="shared" si="128"/>
        <v>5826029.5627120845</v>
      </c>
      <c r="IA101" s="138">
        <f t="shared" si="128"/>
        <v>5826029.5627120845</v>
      </c>
      <c r="IB101" s="138">
        <f t="shared" si="128"/>
        <v>5826029.5627120845</v>
      </c>
      <c r="IC101" s="138">
        <f t="shared" si="128"/>
        <v>5826029.5627120845</v>
      </c>
      <c r="ID101" s="138">
        <f t="shared" si="128"/>
        <v>5826029.5627120845</v>
      </c>
      <c r="IE101" s="138">
        <f t="shared" si="128"/>
        <v>5826029.5627120845</v>
      </c>
      <c r="IF101" s="138">
        <f t="shared" si="128"/>
        <v>5826029.5627120845</v>
      </c>
      <c r="IG101" s="138">
        <f t="shared" si="128"/>
        <v>5826029.5627120845</v>
      </c>
      <c r="IH101" s="138">
        <f t="shared" si="128"/>
        <v>5826029.5627120845</v>
      </c>
      <c r="II101" s="138">
        <f t="shared" si="128"/>
        <v>5826029.5627120845</v>
      </c>
      <c r="IJ101" s="138">
        <f t="shared" si="128"/>
        <v>5826029.5627120845</v>
      </c>
      <c r="IK101" s="138">
        <f t="shared" si="128"/>
        <v>0</v>
      </c>
      <c r="IL101" s="138">
        <f t="shared" si="128"/>
        <v>0</v>
      </c>
      <c r="IM101" s="138">
        <f t="shared" si="128"/>
        <v>0</v>
      </c>
      <c r="IN101" s="138">
        <f t="shared" si="128"/>
        <v>0</v>
      </c>
      <c r="IO101" s="138">
        <f t="shared" si="128"/>
        <v>0</v>
      </c>
      <c r="IP101" s="138">
        <f t="shared" si="128"/>
        <v>0</v>
      </c>
      <c r="IQ101" s="138">
        <f t="shared" si="128"/>
        <v>0</v>
      </c>
      <c r="IR101" s="138">
        <f t="shared" si="128"/>
        <v>0</v>
      </c>
      <c r="IS101" s="138">
        <f t="shared" si="128"/>
        <v>0</v>
      </c>
      <c r="IT101" s="138">
        <f t="shared" si="128"/>
        <v>0</v>
      </c>
      <c r="IU101" s="138">
        <f t="shared" si="128"/>
        <v>0</v>
      </c>
      <c r="IV101" s="138">
        <f t="shared" si="128"/>
        <v>0</v>
      </c>
      <c r="IW101" s="138">
        <f t="shared" si="128"/>
        <v>0</v>
      </c>
      <c r="IX101" s="138">
        <f t="shared" si="128"/>
        <v>0</v>
      </c>
      <c r="IY101" s="138">
        <f t="shared" si="128"/>
        <v>0</v>
      </c>
      <c r="IZ101" s="138">
        <f t="shared" si="128"/>
        <v>0</v>
      </c>
      <c r="JA101" s="138">
        <f t="shared" ref="JA101:LL101" si="129">(($C27/12*OR(JA$66,JA$67)*JA69)+(($K27-$C27)/12*JA$67*JA76))*1000</f>
        <v>0</v>
      </c>
      <c r="JB101" s="138">
        <f t="shared" si="129"/>
        <v>0</v>
      </c>
      <c r="JC101" s="138">
        <f t="shared" si="129"/>
        <v>0</v>
      </c>
      <c r="JD101" s="138">
        <f t="shared" si="129"/>
        <v>0</v>
      </c>
      <c r="JE101" s="138">
        <f t="shared" si="129"/>
        <v>0</v>
      </c>
      <c r="JF101" s="138">
        <f t="shared" si="129"/>
        <v>0</v>
      </c>
      <c r="JG101" s="138">
        <f t="shared" si="129"/>
        <v>0</v>
      </c>
      <c r="JH101" s="138">
        <f t="shared" si="129"/>
        <v>0</v>
      </c>
      <c r="JI101" s="138">
        <f t="shared" si="129"/>
        <v>0</v>
      </c>
      <c r="JJ101" s="138">
        <f t="shared" si="129"/>
        <v>0</v>
      </c>
      <c r="JK101" s="138">
        <f t="shared" si="129"/>
        <v>0</v>
      </c>
      <c r="JL101" s="138">
        <f t="shared" si="129"/>
        <v>0</v>
      </c>
      <c r="JM101" s="138">
        <f t="shared" si="129"/>
        <v>0</v>
      </c>
      <c r="JN101" s="138">
        <f t="shared" si="129"/>
        <v>0</v>
      </c>
      <c r="JO101" s="138">
        <f t="shared" si="129"/>
        <v>0</v>
      </c>
      <c r="JP101" s="138">
        <f t="shared" si="129"/>
        <v>0</v>
      </c>
      <c r="JQ101" s="138">
        <f t="shared" si="129"/>
        <v>0</v>
      </c>
      <c r="JR101" s="138">
        <f t="shared" si="129"/>
        <v>0</v>
      </c>
      <c r="JS101" s="138">
        <f t="shared" si="129"/>
        <v>0</v>
      </c>
      <c r="JT101" s="138">
        <f t="shared" si="129"/>
        <v>0</v>
      </c>
      <c r="JU101" s="138">
        <f t="shared" si="129"/>
        <v>0</v>
      </c>
      <c r="JV101" s="138">
        <f t="shared" si="129"/>
        <v>0</v>
      </c>
      <c r="JW101" s="138">
        <f t="shared" si="129"/>
        <v>0</v>
      </c>
      <c r="JX101" s="138">
        <f t="shared" si="129"/>
        <v>0</v>
      </c>
      <c r="JY101" s="138">
        <f t="shared" si="129"/>
        <v>0</v>
      </c>
      <c r="JZ101" s="138">
        <f t="shared" si="129"/>
        <v>0</v>
      </c>
      <c r="KA101" s="138">
        <f t="shared" si="129"/>
        <v>0</v>
      </c>
      <c r="KB101" s="138">
        <f t="shared" si="129"/>
        <v>0</v>
      </c>
      <c r="KC101" s="138">
        <f t="shared" si="129"/>
        <v>0</v>
      </c>
      <c r="KD101" s="138">
        <f t="shared" si="129"/>
        <v>0</v>
      </c>
      <c r="KE101" s="138">
        <f t="shared" si="129"/>
        <v>0</v>
      </c>
      <c r="KF101" s="138">
        <f t="shared" si="129"/>
        <v>0</v>
      </c>
      <c r="KG101" s="138">
        <f t="shared" si="129"/>
        <v>0</v>
      </c>
      <c r="KH101" s="138">
        <f t="shared" si="129"/>
        <v>0</v>
      </c>
      <c r="KI101" s="138">
        <f t="shared" si="129"/>
        <v>0</v>
      </c>
      <c r="KJ101" s="138">
        <f t="shared" si="129"/>
        <v>0</v>
      </c>
      <c r="KK101" s="138">
        <f t="shared" si="129"/>
        <v>0</v>
      </c>
      <c r="KL101" s="138">
        <f t="shared" si="129"/>
        <v>0</v>
      </c>
      <c r="KM101" s="138">
        <f t="shared" si="129"/>
        <v>0</v>
      </c>
      <c r="KN101" s="138">
        <f t="shared" si="129"/>
        <v>0</v>
      </c>
      <c r="KO101" s="138">
        <f t="shared" si="129"/>
        <v>0</v>
      </c>
      <c r="KP101" s="138">
        <f t="shared" si="129"/>
        <v>0</v>
      </c>
      <c r="KQ101" s="138">
        <f t="shared" si="129"/>
        <v>0</v>
      </c>
      <c r="KR101" s="138">
        <f t="shared" si="129"/>
        <v>0</v>
      </c>
      <c r="KS101" s="138">
        <f t="shared" si="129"/>
        <v>0</v>
      </c>
      <c r="KT101" s="138">
        <f t="shared" si="129"/>
        <v>0</v>
      </c>
      <c r="KU101" s="138">
        <f t="shared" si="129"/>
        <v>0</v>
      </c>
      <c r="KV101" s="138">
        <f t="shared" si="129"/>
        <v>0</v>
      </c>
      <c r="KW101" s="138">
        <f t="shared" si="129"/>
        <v>0</v>
      </c>
      <c r="KX101" s="138">
        <f t="shared" si="129"/>
        <v>0</v>
      </c>
      <c r="KY101" s="138">
        <f t="shared" si="129"/>
        <v>0</v>
      </c>
      <c r="KZ101" s="138">
        <f t="shared" si="129"/>
        <v>0</v>
      </c>
      <c r="LA101" s="138">
        <f t="shared" si="129"/>
        <v>0</v>
      </c>
      <c r="LB101" s="138">
        <f t="shared" si="129"/>
        <v>0</v>
      </c>
      <c r="LC101" s="138">
        <f t="shared" si="129"/>
        <v>0</v>
      </c>
      <c r="LD101" s="138">
        <f t="shared" si="129"/>
        <v>0</v>
      </c>
      <c r="LE101" s="138">
        <f t="shared" si="129"/>
        <v>0</v>
      </c>
      <c r="LF101" s="138">
        <f t="shared" si="129"/>
        <v>0</v>
      </c>
      <c r="LG101" s="138">
        <f t="shared" si="129"/>
        <v>0</v>
      </c>
      <c r="LH101" s="138">
        <f t="shared" si="129"/>
        <v>0</v>
      </c>
      <c r="LI101" s="138">
        <f t="shared" si="129"/>
        <v>0</v>
      </c>
      <c r="LJ101" s="138">
        <f t="shared" si="129"/>
        <v>0</v>
      </c>
      <c r="LK101" s="138">
        <f t="shared" si="129"/>
        <v>0</v>
      </c>
      <c r="LL101" s="138">
        <f t="shared" si="129"/>
        <v>0</v>
      </c>
      <c r="LM101" s="138">
        <f t="shared" ref="LM101:NX101" si="130">(($C27/12*OR(LM$66,LM$67)*LM69)+(($K27-$C27)/12*LM$67*LM76))*1000</f>
        <v>0</v>
      </c>
      <c r="LN101" s="138">
        <f t="shared" si="130"/>
        <v>0</v>
      </c>
      <c r="LO101" s="138">
        <f t="shared" si="130"/>
        <v>0</v>
      </c>
      <c r="LP101" s="138">
        <f t="shared" si="130"/>
        <v>0</v>
      </c>
      <c r="LQ101" s="138">
        <f t="shared" si="130"/>
        <v>0</v>
      </c>
      <c r="LR101" s="138">
        <f t="shared" si="130"/>
        <v>0</v>
      </c>
      <c r="LS101" s="138">
        <f t="shared" si="130"/>
        <v>0</v>
      </c>
      <c r="LT101" s="138">
        <f t="shared" si="130"/>
        <v>0</v>
      </c>
      <c r="LU101" s="138">
        <f t="shared" si="130"/>
        <v>0</v>
      </c>
      <c r="LV101" s="138">
        <f t="shared" si="130"/>
        <v>0</v>
      </c>
      <c r="LW101" s="138">
        <f t="shared" si="130"/>
        <v>0</v>
      </c>
      <c r="LX101" s="138">
        <f t="shared" si="130"/>
        <v>0</v>
      </c>
      <c r="LY101" s="138">
        <f t="shared" si="130"/>
        <v>0</v>
      </c>
      <c r="LZ101" s="138">
        <f t="shared" si="130"/>
        <v>0</v>
      </c>
      <c r="MA101" s="138">
        <f t="shared" si="130"/>
        <v>0</v>
      </c>
      <c r="MB101" s="138">
        <f t="shared" si="130"/>
        <v>0</v>
      </c>
      <c r="MC101" s="138">
        <f t="shared" si="130"/>
        <v>0</v>
      </c>
      <c r="MD101" s="138">
        <f t="shared" si="130"/>
        <v>0</v>
      </c>
      <c r="ME101" s="138">
        <f t="shared" si="130"/>
        <v>0</v>
      </c>
      <c r="MF101" s="138">
        <f t="shared" si="130"/>
        <v>0</v>
      </c>
      <c r="MG101" s="138">
        <f t="shared" si="130"/>
        <v>0</v>
      </c>
      <c r="MH101" s="138">
        <f t="shared" si="130"/>
        <v>0</v>
      </c>
      <c r="MI101" s="138">
        <f t="shared" si="130"/>
        <v>0</v>
      </c>
      <c r="MJ101" s="138">
        <f t="shared" si="130"/>
        <v>0</v>
      </c>
      <c r="MK101" s="138">
        <f t="shared" si="130"/>
        <v>0</v>
      </c>
      <c r="ML101" s="138">
        <f t="shared" si="130"/>
        <v>0</v>
      </c>
      <c r="MM101" s="138">
        <f t="shared" si="130"/>
        <v>0</v>
      </c>
      <c r="MN101" s="138">
        <f t="shared" si="130"/>
        <v>0</v>
      </c>
      <c r="MO101" s="138">
        <f t="shared" si="130"/>
        <v>0</v>
      </c>
      <c r="MP101" s="138">
        <f t="shared" si="130"/>
        <v>0</v>
      </c>
      <c r="MQ101" s="138">
        <f t="shared" si="130"/>
        <v>0</v>
      </c>
      <c r="MR101" s="138">
        <f t="shared" si="130"/>
        <v>0</v>
      </c>
      <c r="MS101" s="138">
        <f t="shared" si="130"/>
        <v>0</v>
      </c>
      <c r="MT101" s="138">
        <f t="shared" si="130"/>
        <v>0</v>
      </c>
      <c r="MU101" s="138">
        <f t="shared" si="130"/>
        <v>0</v>
      </c>
      <c r="MV101" s="138">
        <f t="shared" si="130"/>
        <v>0</v>
      </c>
      <c r="MW101" s="138">
        <f t="shared" si="130"/>
        <v>0</v>
      </c>
      <c r="MX101" s="138">
        <f t="shared" si="130"/>
        <v>0</v>
      </c>
      <c r="MY101" s="138">
        <f t="shared" si="130"/>
        <v>0</v>
      </c>
      <c r="MZ101" s="138">
        <f t="shared" si="130"/>
        <v>0</v>
      </c>
      <c r="NA101" s="138">
        <f t="shared" si="130"/>
        <v>0</v>
      </c>
      <c r="NB101" s="138">
        <f t="shared" si="130"/>
        <v>0</v>
      </c>
      <c r="NC101" s="138">
        <f t="shared" si="130"/>
        <v>0</v>
      </c>
      <c r="ND101" s="138">
        <f t="shared" si="130"/>
        <v>0</v>
      </c>
      <c r="NE101" s="138">
        <f t="shared" si="130"/>
        <v>0</v>
      </c>
      <c r="NF101" s="138">
        <f t="shared" si="130"/>
        <v>0</v>
      </c>
      <c r="NG101" s="138">
        <f t="shared" si="130"/>
        <v>0</v>
      </c>
      <c r="NH101" s="138">
        <f t="shared" si="130"/>
        <v>0</v>
      </c>
      <c r="NI101" s="138">
        <f t="shared" si="130"/>
        <v>0</v>
      </c>
      <c r="NJ101" s="138">
        <f t="shared" si="130"/>
        <v>0</v>
      </c>
      <c r="NK101" s="138">
        <f t="shared" si="130"/>
        <v>0</v>
      </c>
      <c r="NL101" s="138">
        <f t="shared" si="130"/>
        <v>0</v>
      </c>
      <c r="NM101" s="138">
        <f t="shared" si="130"/>
        <v>0</v>
      </c>
      <c r="NN101" s="138">
        <f t="shared" si="130"/>
        <v>0</v>
      </c>
      <c r="NO101" s="138">
        <f t="shared" si="130"/>
        <v>0</v>
      </c>
      <c r="NP101" s="138">
        <f t="shared" si="130"/>
        <v>0</v>
      </c>
      <c r="NQ101" s="138">
        <f t="shared" si="130"/>
        <v>0</v>
      </c>
      <c r="NR101" s="138">
        <f t="shared" si="130"/>
        <v>0</v>
      </c>
      <c r="NS101" s="138">
        <f t="shared" si="130"/>
        <v>0</v>
      </c>
      <c r="NT101" s="138">
        <f t="shared" si="130"/>
        <v>0</v>
      </c>
      <c r="NU101" s="138">
        <f t="shared" si="130"/>
        <v>0</v>
      </c>
      <c r="NV101" s="138">
        <f t="shared" si="130"/>
        <v>0</v>
      </c>
      <c r="NW101" s="138">
        <f t="shared" si="130"/>
        <v>0</v>
      </c>
      <c r="NX101" s="138">
        <f t="shared" si="130"/>
        <v>0</v>
      </c>
      <c r="NY101" s="138">
        <f t="shared" ref="NY101:QJ101" si="131">(($C27/12*OR(NY$66,NY$67)*NY69)+(($K27-$C27)/12*NY$67*NY76))*1000</f>
        <v>0</v>
      </c>
      <c r="NZ101" s="138">
        <f t="shared" si="131"/>
        <v>0</v>
      </c>
      <c r="OA101" s="138">
        <f t="shared" si="131"/>
        <v>0</v>
      </c>
      <c r="OB101" s="138">
        <f t="shared" si="131"/>
        <v>0</v>
      </c>
      <c r="OC101" s="138">
        <f t="shared" si="131"/>
        <v>0</v>
      </c>
      <c r="OD101" s="138">
        <f t="shared" si="131"/>
        <v>0</v>
      </c>
      <c r="OE101" s="138">
        <f t="shared" si="131"/>
        <v>0</v>
      </c>
      <c r="OF101" s="138">
        <f t="shared" si="131"/>
        <v>0</v>
      </c>
      <c r="OG101" s="138">
        <f t="shared" si="131"/>
        <v>0</v>
      </c>
      <c r="OH101" s="138">
        <f t="shared" si="131"/>
        <v>0</v>
      </c>
      <c r="OI101" s="138">
        <f t="shared" si="131"/>
        <v>0</v>
      </c>
      <c r="OJ101" s="138">
        <f t="shared" si="131"/>
        <v>0</v>
      </c>
      <c r="OK101" s="138">
        <f t="shared" si="131"/>
        <v>0</v>
      </c>
      <c r="OL101" s="138">
        <f t="shared" si="131"/>
        <v>0</v>
      </c>
      <c r="OM101" s="138">
        <f t="shared" si="131"/>
        <v>0</v>
      </c>
      <c r="ON101" s="138">
        <f t="shared" si="131"/>
        <v>0</v>
      </c>
      <c r="OO101" s="138">
        <f t="shared" si="131"/>
        <v>0</v>
      </c>
      <c r="OP101" s="138">
        <f t="shared" si="131"/>
        <v>0</v>
      </c>
      <c r="OQ101" s="138">
        <f t="shared" si="131"/>
        <v>0</v>
      </c>
      <c r="OR101" s="138">
        <f t="shared" si="131"/>
        <v>0</v>
      </c>
      <c r="OS101" s="138">
        <f t="shared" si="131"/>
        <v>0</v>
      </c>
      <c r="OT101" s="138">
        <f t="shared" si="131"/>
        <v>0</v>
      </c>
      <c r="OU101" s="138">
        <f t="shared" si="131"/>
        <v>0</v>
      </c>
      <c r="OV101" s="138">
        <f t="shared" si="131"/>
        <v>0</v>
      </c>
      <c r="OW101" s="138">
        <f t="shared" si="131"/>
        <v>0</v>
      </c>
      <c r="OX101" s="138">
        <f t="shared" si="131"/>
        <v>0</v>
      </c>
      <c r="OY101" s="138">
        <f t="shared" si="131"/>
        <v>0</v>
      </c>
      <c r="OZ101" s="138">
        <f t="shared" si="131"/>
        <v>0</v>
      </c>
      <c r="PA101" s="138">
        <f t="shared" si="131"/>
        <v>0</v>
      </c>
      <c r="PB101" s="138">
        <f t="shared" si="131"/>
        <v>0</v>
      </c>
      <c r="PC101" s="138">
        <f t="shared" si="131"/>
        <v>0</v>
      </c>
      <c r="PD101" s="138">
        <f t="shared" si="131"/>
        <v>0</v>
      </c>
      <c r="PE101" s="138">
        <f t="shared" si="131"/>
        <v>0</v>
      </c>
      <c r="PF101" s="138">
        <f t="shared" si="131"/>
        <v>0</v>
      </c>
      <c r="PG101" s="138">
        <f t="shared" si="131"/>
        <v>0</v>
      </c>
      <c r="PH101" s="138">
        <f t="shared" si="131"/>
        <v>0</v>
      </c>
      <c r="PI101" s="138">
        <f t="shared" si="131"/>
        <v>0</v>
      </c>
      <c r="PJ101" s="138">
        <f t="shared" si="131"/>
        <v>0</v>
      </c>
      <c r="PK101" s="138">
        <f t="shared" si="131"/>
        <v>0</v>
      </c>
      <c r="PL101" s="138">
        <f t="shared" si="131"/>
        <v>0</v>
      </c>
      <c r="PM101" s="138">
        <f t="shared" si="131"/>
        <v>0</v>
      </c>
      <c r="PN101" s="138">
        <f t="shared" si="131"/>
        <v>0</v>
      </c>
      <c r="PO101" s="138">
        <f t="shared" si="131"/>
        <v>0</v>
      </c>
      <c r="PP101" s="138">
        <f t="shared" si="131"/>
        <v>0</v>
      </c>
      <c r="PQ101" s="138">
        <f t="shared" si="131"/>
        <v>0</v>
      </c>
      <c r="PR101" s="138">
        <f t="shared" si="131"/>
        <v>0</v>
      </c>
      <c r="PS101" s="138">
        <f t="shared" si="131"/>
        <v>0</v>
      </c>
      <c r="PT101" s="138">
        <f t="shared" si="131"/>
        <v>0</v>
      </c>
      <c r="PU101" s="138">
        <f t="shared" si="131"/>
        <v>0</v>
      </c>
      <c r="PV101" s="138">
        <f t="shared" si="131"/>
        <v>0</v>
      </c>
      <c r="PW101" s="138">
        <f t="shared" si="131"/>
        <v>0</v>
      </c>
      <c r="PX101" s="138">
        <f t="shared" si="131"/>
        <v>0</v>
      </c>
      <c r="PY101" s="138">
        <f t="shared" si="131"/>
        <v>0</v>
      </c>
      <c r="PZ101" s="138">
        <f t="shared" si="131"/>
        <v>0</v>
      </c>
      <c r="QA101" s="138">
        <f t="shared" si="131"/>
        <v>0</v>
      </c>
      <c r="QB101" s="138">
        <f t="shared" si="131"/>
        <v>0</v>
      </c>
      <c r="QC101" s="138">
        <f t="shared" si="131"/>
        <v>0</v>
      </c>
      <c r="QD101" s="138">
        <f t="shared" si="131"/>
        <v>0</v>
      </c>
      <c r="QE101" s="138">
        <f t="shared" si="131"/>
        <v>0</v>
      </c>
      <c r="QF101" s="138">
        <f t="shared" si="131"/>
        <v>0</v>
      </c>
      <c r="QG101" s="138">
        <f t="shared" si="131"/>
        <v>0</v>
      </c>
      <c r="QH101" s="138">
        <f t="shared" si="131"/>
        <v>0</v>
      </c>
      <c r="QI101" s="138">
        <f t="shared" si="131"/>
        <v>0</v>
      </c>
      <c r="QJ101" s="138">
        <f t="shared" si="131"/>
        <v>0</v>
      </c>
      <c r="QK101" s="138">
        <f t="shared" ref="QK101:RR101" si="132">(($C27/12*OR(QK$66,QK$67)*QK69)+(($K27-$C27)/12*QK$67*QK76))*1000</f>
        <v>0</v>
      </c>
      <c r="QL101" s="138">
        <f t="shared" si="132"/>
        <v>0</v>
      </c>
      <c r="QM101" s="138">
        <f t="shared" si="132"/>
        <v>0</v>
      </c>
      <c r="QN101" s="138">
        <f t="shared" si="132"/>
        <v>0</v>
      </c>
      <c r="QO101" s="138">
        <f t="shared" si="132"/>
        <v>0</v>
      </c>
      <c r="QP101" s="138">
        <f t="shared" si="132"/>
        <v>0</v>
      </c>
      <c r="QQ101" s="138">
        <f t="shared" si="132"/>
        <v>0</v>
      </c>
      <c r="QR101" s="138">
        <f t="shared" si="132"/>
        <v>0</v>
      </c>
      <c r="QS101" s="138">
        <f t="shared" si="132"/>
        <v>0</v>
      </c>
      <c r="QT101" s="138">
        <f t="shared" si="132"/>
        <v>0</v>
      </c>
      <c r="QU101" s="138">
        <f t="shared" si="132"/>
        <v>0</v>
      </c>
      <c r="QV101" s="138">
        <f t="shared" si="132"/>
        <v>0</v>
      </c>
      <c r="QW101" s="138">
        <f t="shared" si="132"/>
        <v>0</v>
      </c>
      <c r="QX101" s="138">
        <f t="shared" si="132"/>
        <v>0</v>
      </c>
      <c r="QY101" s="138">
        <f t="shared" si="132"/>
        <v>0</v>
      </c>
      <c r="QZ101" s="138">
        <f t="shared" si="132"/>
        <v>0</v>
      </c>
      <c r="RA101" s="138">
        <f t="shared" si="132"/>
        <v>0</v>
      </c>
      <c r="RB101" s="138">
        <f t="shared" si="132"/>
        <v>0</v>
      </c>
      <c r="RC101" s="138">
        <f t="shared" si="132"/>
        <v>0</v>
      </c>
      <c r="RD101" s="138">
        <f t="shared" si="132"/>
        <v>0</v>
      </c>
      <c r="RE101" s="138">
        <f t="shared" si="132"/>
        <v>0</v>
      </c>
      <c r="RF101" s="138">
        <f t="shared" si="132"/>
        <v>0</v>
      </c>
      <c r="RG101" s="138">
        <f t="shared" si="132"/>
        <v>0</v>
      </c>
      <c r="RH101" s="138">
        <f t="shared" si="132"/>
        <v>0</v>
      </c>
      <c r="RI101" s="138">
        <f t="shared" si="132"/>
        <v>0</v>
      </c>
      <c r="RJ101" s="138">
        <f t="shared" si="132"/>
        <v>0</v>
      </c>
      <c r="RK101" s="138">
        <f t="shared" si="132"/>
        <v>0</v>
      </c>
      <c r="RL101" s="138">
        <f t="shared" si="132"/>
        <v>0</v>
      </c>
      <c r="RM101" s="138">
        <f t="shared" si="132"/>
        <v>0</v>
      </c>
      <c r="RN101" s="138">
        <f t="shared" si="132"/>
        <v>0</v>
      </c>
      <c r="RO101" s="138">
        <f t="shared" si="132"/>
        <v>0</v>
      </c>
      <c r="RP101" s="138">
        <f t="shared" si="132"/>
        <v>0</v>
      </c>
      <c r="RQ101" s="138">
        <f t="shared" si="132"/>
        <v>0</v>
      </c>
      <c r="RR101" s="138">
        <f t="shared" si="132"/>
        <v>0</v>
      </c>
    </row>
    <row r="102" spans="1:486" s="9" customFormat="1">
      <c r="A102" s="286"/>
      <c r="B102" s="39" t="s">
        <v>132</v>
      </c>
      <c r="E102" s="138">
        <f t="shared" ref="E102:BP102" si="133">(($C28/12*OR(E$66,E$67)*E70)+(($K28-$C28)/12*E$67*E77))*1000</f>
        <v>764615.14699633687</v>
      </c>
      <c r="F102" s="138">
        <f t="shared" si="133"/>
        <v>764615.14699633687</v>
      </c>
      <c r="G102" s="138">
        <f t="shared" si="133"/>
        <v>764615.14699633687</v>
      </c>
      <c r="H102" s="138">
        <f t="shared" si="133"/>
        <v>764615.14699633687</v>
      </c>
      <c r="I102" s="138">
        <f t="shared" si="133"/>
        <v>764615.14699633687</v>
      </c>
      <c r="J102" s="138">
        <f t="shared" si="133"/>
        <v>764615.14699633687</v>
      </c>
      <c r="K102" s="138">
        <f t="shared" si="133"/>
        <v>764615.14699633687</v>
      </c>
      <c r="L102" s="138">
        <f t="shared" si="133"/>
        <v>764615.14699633687</v>
      </c>
      <c r="M102" s="138">
        <f t="shared" si="133"/>
        <v>764615.14699633687</v>
      </c>
      <c r="N102" s="138">
        <f t="shared" si="133"/>
        <v>764615.14699633687</v>
      </c>
      <c r="O102" s="138">
        <f t="shared" si="133"/>
        <v>764615.14699633687</v>
      </c>
      <c r="P102" s="138">
        <f t="shared" si="133"/>
        <v>764615.14699633687</v>
      </c>
      <c r="Q102" s="138">
        <f t="shared" si="133"/>
        <v>764615.14699633687</v>
      </c>
      <c r="R102" s="138">
        <f t="shared" si="133"/>
        <v>764615.14699633687</v>
      </c>
      <c r="S102" s="138">
        <f t="shared" si="133"/>
        <v>764615.14699633687</v>
      </c>
      <c r="T102" s="138">
        <f t="shared" si="133"/>
        <v>764615.14699633687</v>
      </c>
      <c r="U102" s="138">
        <f t="shared" si="133"/>
        <v>764615.14699633687</v>
      </c>
      <c r="V102" s="138">
        <f t="shared" si="133"/>
        <v>764615.14699633687</v>
      </c>
      <c r="W102" s="138">
        <f t="shared" si="133"/>
        <v>764615.14699633687</v>
      </c>
      <c r="X102" s="138">
        <f t="shared" si="133"/>
        <v>764615.14699633687</v>
      </c>
      <c r="Y102" s="138">
        <f t="shared" si="133"/>
        <v>764615.14699633687</v>
      </c>
      <c r="Z102" s="138">
        <f t="shared" si="133"/>
        <v>764615.14699633687</v>
      </c>
      <c r="AA102" s="138">
        <f t="shared" si="133"/>
        <v>764615.14699633687</v>
      </c>
      <c r="AB102" s="138">
        <f t="shared" si="133"/>
        <v>764615.14699633687</v>
      </c>
      <c r="AC102" s="138">
        <f t="shared" si="133"/>
        <v>764615.14699633687</v>
      </c>
      <c r="AD102" s="138">
        <f t="shared" si="133"/>
        <v>764615.14699633687</v>
      </c>
      <c r="AE102" s="138">
        <f t="shared" si="133"/>
        <v>764615.14699633687</v>
      </c>
      <c r="AF102" s="138">
        <f t="shared" si="133"/>
        <v>764615.14699633687</v>
      </c>
      <c r="AG102" s="138">
        <f t="shared" si="133"/>
        <v>764615.14699633687</v>
      </c>
      <c r="AH102" s="138">
        <f t="shared" si="133"/>
        <v>764615.14699633687</v>
      </c>
      <c r="AI102" s="138">
        <f t="shared" si="133"/>
        <v>764615.14699633687</v>
      </c>
      <c r="AJ102" s="138">
        <f t="shared" si="133"/>
        <v>764615.14699633687</v>
      </c>
      <c r="AK102" s="138">
        <f t="shared" si="133"/>
        <v>764615.14699633687</v>
      </c>
      <c r="AL102" s="138">
        <f t="shared" si="133"/>
        <v>764615.14699633687</v>
      </c>
      <c r="AM102" s="138">
        <f t="shared" si="133"/>
        <v>764615.14699633687</v>
      </c>
      <c r="AN102" s="138">
        <f t="shared" si="133"/>
        <v>764615.14699633687</v>
      </c>
      <c r="AO102" s="138">
        <f t="shared" si="133"/>
        <v>764615.14699633687</v>
      </c>
      <c r="AP102" s="138">
        <f t="shared" si="133"/>
        <v>764615.14699633687</v>
      </c>
      <c r="AQ102" s="138">
        <f t="shared" si="133"/>
        <v>764615.14699633687</v>
      </c>
      <c r="AR102" s="138">
        <f t="shared" si="133"/>
        <v>764615.14699633687</v>
      </c>
      <c r="AS102" s="138">
        <f t="shared" si="133"/>
        <v>764615.14699633687</v>
      </c>
      <c r="AT102" s="138">
        <f t="shared" si="133"/>
        <v>764615.14699633687</v>
      </c>
      <c r="AU102" s="138">
        <f t="shared" si="133"/>
        <v>764615.14699633687</v>
      </c>
      <c r="AV102" s="138">
        <f t="shared" si="133"/>
        <v>764615.14699633687</v>
      </c>
      <c r="AW102" s="138">
        <f t="shared" si="133"/>
        <v>764615.14699633687</v>
      </c>
      <c r="AX102" s="138">
        <f t="shared" si="133"/>
        <v>764615.14699633687</v>
      </c>
      <c r="AY102" s="138">
        <f t="shared" si="133"/>
        <v>764615.14699633687</v>
      </c>
      <c r="AZ102" s="138">
        <f t="shared" si="133"/>
        <v>764615.14699633687</v>
      </c>
      <c r="BA102" s="138">
        <f t="shared" si="133"/>
        <v>764615.14699633687</v>
      </c>
      <c r="BB102" s="138">
        <f t="shared" si="133"/>
        <v>764615.14699633687</v>
      </c>
      <c r="BC102" s="138">
        <f t="shared" si="133"/>
        <v>764615.14699633687</v>
      </c>
      <c r="BD102" s="138">
        <f t="shared" si="133"/>
        <v>764615.14699633687</v>
      </c>
      <c r="BE102" s="138">
        <f t="shared" si="133"/>
        <v>764615.14699633687</v>
      </c>
      <c r="BF102" s="138">
        <f t="shared" si="133"/>
        <v>764615.14699633687</v>
      </c>
      <c r="BG102" s="138">
        <f t="shared" si="133"/>
        <v>764615.14699633687</v>
      </c>
      <c r="BH102" s="138">
        <f t="shared" si="133"/>
        <v>764615.14699633687</v>
      </c>
      <c r="BI102" s="138">
        <f t="shared" si="133"/>
        <v>764615.14699633687</v>
      </c>
      <c r="BJ102" s="138">
        <f t="shared" si="133"/>
        <v>764615.14699633687</v>
      </c>
      <c r="BK102" s="138">
        <f t="shared" si="133"/>
        <v>764615.14699633687</v>
      </c>
      <c r="BL102" s="138">
        <f t="shared" si="133"/>
        <v>764615.14699633687</v>
      </c>
      <c r="BM102" s="138">
        <f t="shared" si="133"/>
        <v>8507598.3910381719</v>
      </c>
      <c r="BN102" s="138">
        <f t="shared" si="133"/>
        <v>8507598.3910381719</v>
      </c>
      <c r="BO102" s="138">
        <f t="shared" si="133"/>
        <v>8507598.3910381719</v>
      </c>
      <c r="BP102" s="138">
        <f t="shared" si="133"/>
        <v>8507598.3910381719</v>
      </c>
      <c r="BQ102" s="138">
        <f t="shared" ref="BQ102:EB102" si="134">(($C28/12*OR(BQ$66,BQ$67)*BQ70)+(($K28-$C28)/12*BQ$67*BQ77))*1000</f>
        <v>8507598.3910381719</v>
      </c>
      <c r="BR102" s="138">
        <f t="shared" si="134"/>
        <v>8507598.3910381719</v>
      </c>
      <c r="BS102" s="138">
        <f t="shared" si="134"/>
        <v>8507598.3910381719</v>
      </c>
      <c r="BT102" s="138">
        <f t="shared" si="134"/>
        <v>8507598.3910381719</v>
      </c>
      <c r="BU102" s="138">
        <f t="shared" si="134"/>
        <v>8507598.3910381719</v>
      </c>
      <c r="BV102" s="138">
        <f t="shared" si="134"/>
        <v>8507598.3910381719</v>
      </c>
      <c r="BW102" s="138">
        <f t="shared" si="134"/>
        <v>8507598.3910381719</v>
      </c>
      <c r="BX102" s="138">
        <f t="shared" si="134"/>
        <v>8507598.3910381719</v>
      </c>
      <c r="BY102" s="138">
        <f t="shared" si="134"/>
        <v>8507598.3910381719</v>
      </c>
      <c r="BZ102" s="138">
        <f t="shared" si="134"/>
        <v>8507598.3910381719</v>
      </c>
      <c r="CA102" s="138">
        <f t="shared" si="134"/>
        <v>8507598.3910381719</v>
      </c>
      <c r="CB102" s="138">
        <f t="shared" si="134"/>
        <v>8507598.3910381719</v>
      </c>
      <c r="CC102" s="138">
        <f t="shared" si="134"/>
        <v>8507598.3910381719</v>
      </c>
      <c r="CD102" s="138">
        <f t="shared" si="134"/>
        <v>8507598.3910381719</v>
      </c>
      <c r="CE102" s="138">
        <f t="shared" si="134"/>
        <v>8507598.3910381719</v>
      </c>
      <c r="CF102" s="138">
        <f t="shared" si="134"/>
        <v>8507598.3910381719</v>
      </c>
      <c r="CG102" s="138">
        <f t="shared" si="134"/>
        <v>8507598.3910381719</v>
      </c>
      <c r="CH102" s="138">
        <f t="shared" si="134"/>
        <v>8507598.3910381719</v>
      </c>
      <c r="CI102" s="138">
        <f t="shared" si="134"/>
        <v>8507598.3910381719</v>
      </c>
      <c r="CJ102" s="138">
        <f t="shared" si="134"/>
        <v>8507598.3910381719</v>
      </c>
      <c r="CK102" s="138">
        <f t="shared" si="134"/>
        <v>8507598.3910381719</v>
      </c>
      <c r="CL102" s="138">
        <f t="shared" si="134"/>
        <v>8507598.3910381719</v>
      </c>
      <c r="CM102" s="138">
        <f t="shared" si="134"/>
        <v>8507598.3910381719</v>
      </c>
      <c r="CN102" s="138">
        <f t="shared" si="134"/>
        <v>8507598.3910381719</v>
      </c>
      <c r="CO102" s="138">
        <f t="shared" si="134"/>
        <v>8507598.3910381719</v>
      </c>
      <c r="CP102" s="138">
        <f t="shared" si="134"/>
        <v>8507598.3910381719</v>
      </c>
      <c r="CQ102" s="138">
        <f t="shared" si="134"/>
        <v>8507598.3910381719</v>
      </c>
      <c r="CR102" s="138">
        <f t="shared" si="134"/>
        <v>8507598.3910381719</v>
      </c>
      <c r="CS102" s="138">
        <f t="shared" si="134"/>
        <v>8507598.3910381719</v>
      </c>
      <c r="CT102" s="138">
        <f t="shared" si="134"/>
        <v>8507598.3910381719</v>
      </c>
      <c r="CU102" s="138">
        <f t="shared" si="134"/>
        <v>8507598.3910381719</v>
      </c>
      <c r="CV102" s="138">
        <f t="shared" si="134"/>
        <v>8507598.3910381719</v>
      </c>
      <c r="CW102" s="138">
        <f t="shared" si="134"/>
        <v>8507598.3910381719</v>
      </c>
      <c r="CX102" s="138">
        <f t="shared" si="134"/>
        <v>8507598.3910381719</v>
      </c>
      <c r="CY102" s="138">
        <f t="shared" si="134"/>
        <v>8507598.3910381719</v>
      </c>
      <c r="CZ102" s="138">
        <f t="shared" si="134"/>
        <v>8507598.3910381719</v>
      </c>
      <c r="DA102" s="138">
        <f t="shared" si="134"/>
        <v>8507598.3910381719</v>
      </c>
      <c r="DB102" s="138">
        <f t="shared" si="134"/>
        <v>8507598.3910381719</v>
      </c>
      <c r="DC102" s="138">
        <f t="shared" si="134"/>
        <v>8507598.3910381719</v>
      </c>
      <c r="DD102" s="138">
        <f t="shared" si="134"/>
        <v>8507598.3910381719</v>
      </c>
      <c r="DE102" s="138">
        <f t="shared" si="134"/>
        <v>8507598.3910381719</v>
      </c>
      <c r="DF102" s="138">
        <f t="shared" si="134"/>
        <v>8507598.3910381719</v>
      </c>
      <c r="DG102" s="138">
        <f t="shared" si="134"/>
        <v>8507598.3910381719</v>
      </c>
      <c r="DH102" s="138">
        <f t="shared" si="134"/>
        <v>8507598.3910381719</v>
      </c>
      <c r="DI102" s="138">
        <f t="shared" si="134"/>
        <v>8507598.3910381719</v>
      </c>
      <c r="DJ102" s="138">
        <f t="shared" si="134"/>
        <v>8507598.3910381719</v>
      </c>
      <c r="DK102" s="138">
        <f t="shared" si="134"/>
        <v>8507598.3910381719</v>
      </c>
      <c r="DL102" s="138">
        <f t="shared" si="134"/>
        <v>8507598.3910381719</v>
      </c>
      <c r="DM102" s="138">
        <f t="shared" si="134"/>
        <v>8507598.3910381719</v>
      </c>
      <c r="DN102" s="138">
        <f t="shared" si="134"/>
        <v>8507598.3910381719</v>
      </c>
      <c r="DO102" s="138">
        <f t="shared" si="134"/>
        <v>8507598.3910381719</v>
      </c>
      <c r="DP102" s="138">
        <f t="shared" si="134"/>
        <v>8507598.3910381719</v>
      </c>
      <c r="DQ102" s="138">
        <f t="shared" si="134"/>
        <v>8507598.3910381719</v>
      </c>
      <c r="DR102" s="138">
        <f t="shared" si="134"/>
        <v>8507598.3910381719</v>
      </c>
      <c r="DS102" s="138">
        <f t="shared" si="134"/>
        <v>8507598.3910381719</v>
      </c>
      <c r="DT102" s="138">
        <f t="shared" si="134"/>
        <v>8507598.3910381719</v>
      </c>
      <c r="DU102" s="138">
        <f t="shared" si="134"/>
        <v>8507598.3910381719</v>
      </c>
      <c r="DV102" s="138">
        <f t="shared" si="134"/>
        <v>8507598.3910381719</v>
      </c>
      <c r="DW102" s="138">
        <f t="shared" si="134"/>
        <v>8507598.3910381719</v>
      </c>
      <c r="DX102" s="138">
        <f t="shared" si="134"/>
        <v>8507598.3910381719</v>
      </c>
      <c r="DY102" s="138">
        <f t="shared" si="134"/>
        <v>8507598.3910381719</v>
      </c>
      <c r="DZ102" s="138">
        <f t="shared" si="134"/>
        <v>8507598.3910381719</v>
      </c>
      <c r="EA102" s="138">
        <f t="shared" si="134"/>
        <v>8507598.3910381719</v>
      </c>
      <c r="EB102" s="138">
        <f t="shared" si="134"/>
        <v>8507598.3910381719</v>
      </c>
      <c r="EC102" s="138">
        <f t="shared" ref="EC102:GN102" si="135">(($C28/12*OR(EC$66,EC$67)*EC70)+(($K28-$C28)/12*EC$67*EC77))*1000</f>
        <v>8507598.3910381719</v>
      </c>
      <c r="ED102" s="138">
        <f t="shared" si="135"/>
        <v>8507598.3910381719</v>
      </c>
      <c r="EE102" s="138">
        <f t="shared" si="135"/>
        <v>8507598.3910381719</v>
      </c>
      <c r="EF102" s="138">
        <f t="shared" si="135"/>
        <v>8507598.3910381719</v>
      </c>
      <c r="EG102" s="138">
        <f t="shared" si="135"/>
        <v>8507598.3910381719</v>
      </c>
      <c r="EH102" s="138">
        <f t="shared" si="135"/>
        <v>8507598.3910381719</v>
      </c>
      <c r="EI102" s="138">
        <f t="shared" si="135"/>
        <v>8507598.3910381719</v>
      </c>
      <c r="EJ102" s="138">
        <f t="shared" si="135"/>
        <v>8507598.3910381719</v>
      </c>
      <c r="EK102" s="138">
        <f t="shared" si="135"/>
        <v>8507598.3910381719</v>
      </c>
      <c r="EL102" s="138">
        <f t="shared" si="135"/>
        <v>8507598.3910381719</v>
      </c>
      <c r="EM102" s="138">
        <f t="shared" si="135"/>
        <v>8507598.3910381719</v>
      </c>
      <c r="EN102" s="138">
        <f t="shared" si="135"/>
        <v>8507598.3910381719</v>
      </c>
      <c r="EO102" s="138">
        <f t="shared" si="135"/>
        <v>8507598.3910381719</v>
      </c>
      <c r="EP102" s="138">
        <f t="shared" si="135"/>
        <v>8507598.3910381719</v>
      </c>
      <c r="EQ102" s="138">
        <f t="shared" si="135"/>
        <v>8507598.3910381719</v>
      </c>
      <c r="ER102" s="138">
        <f t="shared" si="135"/>
        <v>8507598.3910381719</v>
      </c>
      <c r="ES102" s="138">
        <f t="shared" si="135"/>
        <v>8507598.3910381719</v>
      </c>
      <c r="ET102" s="138">
        <f t="shared" si="135"/>
        <v>8507598.3910381719</v>
      </c>
      <c r="EU102" s="138">
        <f t="shared" si="135"/>
        <v>8507598.3910381719</v>
      </c>
      <c r="EV102" s="138">
        <f t="shared" si="135"/>
        <v>8507598.3910381719</v>
      </c>
      <c r="EW102" s="138">
        <f t="shared" si="135"/>
        <v>8507598.3910381719</v>
      </c>
      <c r="EX102" s="138">
        <f t="shared" si="135"/>
        <v>8507598.3910381719</v>
      </c>
      <c r="EY102" s="138">
        <f t="shared" si="135"/>
        <v>8507598.3910381719</v>
      </c>
      <c r="EZ102" s="138">
        <f t="shared" si="135"/>
        <v>8507598.3910381719</v>
      </c>
      <c r="FA102" s="138">
        <f t="shared" si="135"/>
        <v>8507598.3910381719</v>
      </c>
      <c r="FB102" s="138">
        <f t="shared" si="135"/>
        <v>8507598.3910381719</v>
      </c>
      <c r="FC102" s="138">
        <f t="shared" si="135"/>
        <v>8507598.3910381719</v>
      </c>
      <c r="FD102" s="138">
        <f t="shared" si="135"/>
        <v>8507598.3910381719</v>
      </c>
      <c r="FE102" s="138">
        <f t="shared" si="135"/>
        <v>8507598.3910381719</v>
      </c>
      <c r="FF102" s="138">
        <f t="shared" si="135"/>
        <v>8507598.3910381719</v>
      </c>
      <c r="FG102" s="138">
        <f t="shared" si="135"/>
        <v>8507598.3910381719</v>
      </c>
      <c r="FH102" s="138">
        <f t="shared" si="135"/>
        <v>8507598.3910381719</v>
      </c>
      <c r="FI102" s="138">
        <f t="shared" si="135"/>
        <v>8507598.3910381719</v>
      </c>
      <c r="FJ102" s="138">
        <f t="shared" si="135"/>
        <v>8507598.3910381719</v>
      </c>
      <c r="FK102" s="138">
        <f t="shared" si="135"/>
        <v>8507598.3910381719</v>
      </c>
      <c r="FL102" s="138">
        <f t="shared" si="135"/>
        <v>8507598.3910381719</v>
      </c>
      <c r="FM102" s="138">
        <f t="shared" si="135"/>
        <v>8507598.3910381719</v>
      </c>
      <c r="FN102" s="138">
        <f t="shared" si="135"/>
        <v>8507598.3910381719</v>
      </c>
      <c r="FO102" s="138">
        <f t="shared" si="135"/>
        <v>8507598.3910381719</v>
      </c>
      <c r="FP102" s="138">
        <f t="shared" si="135"/>
        <v>8507598.3910381719</v>
      </c>
      <c r="FQ102" s="138">
        <f t="shared" si="135"/>
        <v>8507598.3910381719</v>
      </c>
      <c r="FR102" s="138">
        <f t="shared" si="135"/>
        <v>8507598.3910381719</v>
      </c>
      <c r="FS102" s="138">
        <f t="shared" si="135"/>
        <v>8507598.3910381719</v>
      </c>
      <c r="FT102" s="138">
        <f t="shared" si="135"/>
        <v>8507598.3910381719</v>
      </c>
      <c r="FU102" s="138">
        <f t="shared" si="135"/>
        <v>8507598.3910381719</v>
      </c>
      <c r="FV102" s="138">
        <f t="shared" si="135"/>
        <v>8507598.3910381719</v>
      </c>
      <c r="FW102" s="138">
        <f t="shared" si="135"/>
        <v>8507598.3910381719</v>
      </c>
      <c r="FX102" s="138">
        <f t="shared" si="135"/>
        <v>8507598.3910381719</v>
      </c>
      <c r="FY102" s="138">
        <f t="shared" si="135"/>
        <v>8507598.3910381719</v>
      </c>
      <c r="FZ102" s="138">
        <f t="shared" si="135"/>
        <v>8507598.3910381719</v>
      </c>
      <c r="GA102" s="138">
        <f t="shared" si="135"/>
        <v>8507598.3910381719</v>
      </c>
      <c r="GB102" s="138">
        <f t="shared" si="135"/>
        <v>8507598.3910381719</v>
      </c>
      <c r="GC102" s="138">
        <f t="shared" si="135"/>
        <v>8507598.3910381719</v>
      </c>
      <c r="GD102" s="138">
        <f t="shared" si="135"/>
        <v>8507598.3910381719</v>
      </c>
      <c r="GE102" s="138">
        <f t="shared" si="135"/>
        <v>8507598.3910381719</v>
      </c>
      <c r="GF102" s="138">
        <f t="shared" si="135"/>
        <v>8507598.3910381719</v>
      </c>
      <c r="GG102" s="138">
        <f t="shared" si="135"/>
        <v>8507598.3910381719</v>
      </c>
      <c r="GH102" s="138">
        <f t="shared" si="135"/>
        <v>8507598.3910381719</v>
      </c>
      <c r="GI102" s="138">
        <f t="shared" si="135"/>
        <v>8507598.3910381719</v>
      </c>
      <c r="GJ102" s="138">
        <f t="shared" si="135"/>
        <v>8507598.3910381719</v>
      </c>
      <c r="GK102" s="138">
        <f t="shared" si="135"/>
        <v>8507598.3910381719</v>
      </c>
      <c r="GL102" s="138">
        <f t="shared" si="135"/>
        <v>8507598.3910381719</v>
      </c>
      <c r="GM102" s="138">
        <f t="shared" si="135"/>
        <v>8507598.3910381719</v>
      </c>
      <c r="GN102" s="138">
        <f t="shared" si="135"/>
        <v>8507598.3910381719</v>
      </c>
      <c r="GO102" s="138">
        <f t="shared" ref="GO102:IZ102" si="136">(($C28/12*OR(GO$66,GO$67)*GO70)+(($K28-$C28)/12*GO$67*GO77))*1000</f>
        <v>8507598.3910381719</v>
      </c>
      <c r="GP102" s="138">
        <f t="shared" si="136"/>
        <v>8507598.3910381719</v>
      </c>
      <c r="GQ102" s="138">
        <f t="shared" si="136"/>
        <v>8507598.3910381719</v>
      </c>
      <c r="GR102" s="138">
        <f t="shared" si="136"/>
        <v>8507598.3910381719</v>
      </c>
      <c r="GS102" s="138">
        <f t="shared" si="136"/>
        <v>8507598.3910381719</v>
      </c>
      <c r="GT102" s="138">
        <f t="shared" si="136"/>
        <v>8507598.3910381719</v>
      </c>
      <c r="GU102" s="138">
        <f t="shared" si="136"/>
        <v>8507598.3910381719</v>
      </c>
      <c r="GV102" s="138">
        <f t="shared" si="136"/>
        <v>8507598.3910381719</v>
      </c>
      <c r="GW102" s="138">
        <f t="shared" si="136"/>
        <v>8507598.3910381719</v>
      </c>
      <c r="GX102" s="138">
        <f t="shared" si="136"/>
        <v>8507598.3910381719</v>
      </c>
      <c r="GY102" s="138">
        <f t="shared" si="136"/>
        <v>8507598.3910381719</v>
      </c>
      <c r="GZ102" s="138">
        <f t="shared" si="136"/>
        <v>8507598.3910381719</v>
      </c>
      <c r="HA102" s="138">
        <f t="shared" si="136"/>
        <v>8507598.3910381719</v>
      </c>
      <c r="HB102" s="138">
        <f t="shared" si="136"/>
        <v>8507598.3910381719</v>
      </c>
      <c r="HC102" s="138">
        <f t="shared" si="136"/>
        <v>8507598.3910381719</v>
      </c>
      <c r="HD102" s="138">
        <f t="shared" si="136"/>
        <v>8507598.3910381719</v>
      </c>
      <c r="HE102" s="138">
        <f t="shared" si="136"/>
        <v>8507598.3910381719</v>
      </c>
      <c r="HF102" s="138">
        <f t="shared" si="136"/>
        <v>8507598.3910381719</v>
      </c>
      <c r="HG102" s="138">
        <f t="shared" si="136"/>
        <v>8507598.3910381719</v>
      </c>
      <c r="HH102" s="138">
        <f t="shared" si="136"/>
        <v>8507598.3910381719</v>
      </c>
      <c r="HI102" s="138">
        <f t="shared" si="136"/>
        <v>8507598.3910381719</v>
      </c>
      <c r="HJ102" s="138">
        <f t="shared" si="136"/>
        <v>8507598.3910381719</v>
      </c>
      <c r="HK102" s="138">
        <f t="shared" si="136"/>
        <v>8507598.3910381719</v>
      </c>
      <c r="HL102" s="138">
        <f t="shared" si="136"/>
        <v>8507598.3910381719</v>
      </c>
      <c r="HM102" s="138">
        <f t="shared" si="136"/>
        <v>8507598.3910381719</v>
      </c>
      <c r="HN102" s="138">
        <f t="shared" si="136"/>
        <v>8507598.3910381719</v>
      </c>
      <c r="HO102" s="138">
        <f t="shared" si="136"/>
        <v>8507598.3910381719</v>
      </c>
      <c r="HP102" s="138">
        <f t="shared" si="136"/>
        <v>8507598.3910381719</v>
      </c>
      <c r="HQ102" s="138">
        <f t="shared" si="136"/>
        <v>8507598.3910381719</v>
      </c>
      <c r="HR102" s="138">
        <f t="shared" si="136"/>
        <v>8507598.3910381719</v>
      </c>
      <c r="HS102" s="138">
        <f t="shared" si="136"/>
        <v>8507598.3910381719</v>
      </c>
      <c r="HT102" s="138">
        <f t="shared" si="136"/>
        <v>8507598.3910381719</v>
      </c>
      <c r="HU102" s="138">
        <f t="shared" si="136"/>
        <v>8507598.3910381719</v>
      </c>
      <c r="HV102" s="138">
        <f t="shared" si="136"/>
        <v>8507598.3910381719</v>
      </c>
      <c r="HW102" s="138">
        <f t="shared" si="136"/>
        <v>8507598.3910381719</v>
      </c>
      <c r="HX102" s="138">
        <f t="shared" si="136"/>
        <v>8507598.3910381719</v>
      </c>
      <c r="HY102" s="138">
        <f t="shared" si="136"/>
        <v>8507598.3910381719</v>
      </c>
      <c r="HZ102" s="138">
        <f t="shared" si="136"/>
        <v>8507598.3910381719</v>
      </c>
      <c r="IA102" s="138">
        <f t="shared" si="136"/>
        <v>8507598.3910381719</v>
      </c>
      <c r="IB102" s="138">
        <f t="shared" si="136"/>
        <v>8507598.3910381719</v>
      </c>
      <c r="IC102" s="138">
        <f t="shared" si="136"/>
        <v>8507598.3910381719</v>
      </c>
      <c r="ID102" s="138">
        <f t="shared" si="136"/>
        <v>8507598.3910381719</v>
      </c>
      <c r="IE102" s="138">
        <f t="shared" si="136"/>
        <v>8507598.3910381719</v>
      </c>
      <c r="IF102" s="138">
        <f t="shared" si="136"/>
        <v>8507598.3910381719</v>
      </c>
      <c r="IG102" s="138">
        <f t="shared" si="136"/>
        <v>8507598.3910381719</v>
      </c>
      <c r="IH102" s="138">
        <f t="shared" si="136"/>
        <v>8507598.3910381719</v>
      </c>
      <c r="II102" s="138">
        <f t="shared" si="136"/>
        <v>8507598.3910381719</v>
      </c>
      <c r="IJ102" s="138">
        <f t="shared" si="136"/>
        <v>8507598.3910381719</v>
      </c>
      <c r="IK102" s="138">
        <f t="shared" si="136"/>
        <v>0</v>
      </c>
      <c r="IL102" s="138">
        <f t="shared" si="136"/>
        <v>0</v>
      </c>
      <c r="IM102" s="138">
        <f t="shared" si="136"/>
        <v>0</v>
      </c>
      <c r="IN102" s="138">
        <f t="shared" si="136"/>
        <v>0</v>
      </c>
      <c r="IO102" s="138">
        <f t="shared" si="136"/>
        <v>0</v>
      </c>
      <c r="IP102" s="138">
        <f t="shared" si="136"/>
        <v>0</v>
      </c>
      <c r="IQ102" s="138">
        <f t="shared" si="136"/>
        <v>0</v>
      </c>
      <c r="IR102" s="138">
        <f t="shared" si="136"/>
        <v>0</v>
      </c>
      <c r="IS102" s="138">
        <f t="shared" si="136"/>
        <v>0</v>
      </c>
      <c r="IT102" s="138">
        <f t="shared" si="136"/>
        <v>0</v>
      </c>
      <c r="IU102" s="138">
        <f t="shared" si="136"/>
        <v>0</v>
      </c>
      <c r="IV102" s="138">
        <f t="shared" si="136"/>
        <v>0</v>
      </c>
      <c r="IW102" s="138">
        <f t="shared" si="136"/>
        <v>0</v>
      </c>
      <c r="IX102" s="138">
        <f t="shared" si="136"/>
        <v>0</v>
      </c>
      <c r="IY102" s="138">
        <f t="shared" si="136"/>
        <v>0</v>
      </c>
      <c r="IZ102" s="138">
        <f t="shared" si="136"/>
        <v>0</v>
      </c>
      <c r="JA102" s="138">
        <f t="shared" ref="JA102:LL102" si="137">(($C28/12*OR(JA$66,JA$67)*JA70)+(($K28-$C28)/12*JA$67*JA77))*1000</f>
        <v>0</v>
      </c>
      <c r="JB102" s="138">
        <f t="shared" si="137"/>
        <v>0</v>
      </c>
      <c r="JC102" s="138">
        <f t="shared" si="137"/>
        <v>0</v>
      </c>
      <c r="JD102" s="138">
        <f t="shared" si="137"/>
        <v>0</v>
      </c>
      <c r="JE102" s="138">
        <f t="shared" si="137"/>
        <v>0</v>
      </c>
      <c r="JF102" s="138">
        <f t="shared" si="137"/>
        <v>0</v>
      </c>
      <c r="JG102" s="138">
        <f t="shared" si="137"/>
        <v>0</v>
      </c>
      <c r="JH102" s="138">
        <f t="shared" si="137"/>
        <v>0</v>
      </c>
      <c r="JI102" s="138">
        <f t="shared" si="137"/>
        <v>0</v>
      </c>
      <c r="JJ102" s="138">
        <f t="shared" si="137"/>
        <v>0</v>
      </c>
      <c r="JK102" s="138">
        <f t="shared" si="137"/>
        <v>0</v>
      </c>
      <c r="JL102" s="138">
        <f t="shared" si="137"/>
        <v>0</v>
      </c>
      <c r="JM102" s="138">
        <f t="shared" si="137"/>
        <v>0</v>
      </c>
      <c r="JN102" s="138">
        <f t="shared" si="137"/>
        <v>0</v>
      </c>
      <c r="JO102" s="138">
        <f t="shared" si="137"/>
        <v>0</v>
      </c>
      <c r="JP102" s="138">
        <f t="shared" si="137"/>
        <v>0</v>
      </c>
      <c r="JQ102" s="138">
        <f t="shared" si="137"/>
        <v>0</v>
      </c>
      <c r="JR102" s="138">
        <f t="shared" si="137"/>
        <v>0</v>
      </c>
      <c r="JS102" s="138">
        <f t="shared" si="137"/>
        <v>0</v>
      </c>
      <c r="JT102" s="138">
        <f t="shared" si="137"/>
        <v>0</v>
      </c>
      <c r="JU102" s="138">
        <f t="shared" si="137"/>
        <v>0</v>
      </c>
      <c r="JV102" s="138">
        <f t="shared" si="137"/>
        <v>0</v>
      </c>
      <c r="JW102" s="138">
        <f t="shared" si="137"/>
        <v>0</v>
      </c>
      <c r="JX102" s="138">
        <f t="shared" si="137"/>
        <v>0</v>
      </c>
      <c r="JY102" s="138">
        <f t="shared" si="137"/>
        <v>0</v>
      </c>
      <c r="JZ102" s="138">
        <f t="shared" si="137"/>
        <v>0</v>
      </c>
      <c r="KA102" s="138">
        <f t="shared" si="137"/>
        <v>0</v>
      </c>
      <c r="KB102" s="138">
        <f t="shared" si="137"/>
        <v>0</v>
      </c>
      <c r="KC102" s="138">
        <f t="shared" si="137"/>
        <v>0</v>
      </c>
      <c r="KD102" s="138">
        <f t="shared" si="137"/>
        <v>0</v>
      </c>
      <c r="KE102" s="138">
        <f t="shared" si="137"/>
        <v>0</v>
      </c>
      <c r="KF102" s="138">
        <f t="shared" si="137"/>
        <v>0</v>
      </c>
      <c r="KG102" s="138">
        <f t="shared" si="137"/>
        <v>0</v>
      </c>
      <c r="KH102" s="138">
        <f t="shared" si="137"/>
        <v>0</v>
      </c>
      <c r="KI102" s="138">
        <f t="shared" si="137"/>
        <v>0</v>
      </c>
      <c r="KJ102" s="138">
        <f t="shared" si="137"/>
        <v>0</v>
      </c>
      <c r="KK102" s="138">
        <f t="shared" si="137"/>
        <v>0</v>
      </c>
      <c r="KL102" s="138">
        <f t="shared" si="137"/>
        <v>0</v>
      </c>
      <c r="KM102" s="138">
        <f t="shared" si="137"/>
        <v>0</v>
      </c>
      <c r="KN102" s="138">
        <f t="shared" si="137"/>
        <v>0</v>
      </c>
      <c r="KO102" s="138">
        <f t="shared" si="137"/>
        <v>0</v>
      </c>
      <c r="KP102" s="138">
        <f t="shared" si="137"/>
        <v>0</v>
      </c>
      <c r="KQ102" s="138">
        <f t="shared" si="137"/>
        <v>0</v>
      </c>
      <c r="KR102" s="138">
        <f t="shared" si="137"/>
        <v>0</v>
      </c>
      <c r="KS102" s="138">
        <f t="shared" si="137"/>
        <v>0</v>
      </c>
      <c r="KT102" s="138">
        <f t="shared" si="137"/>
        <v>0</v>
      </c>
      <c r="KU102" s="138">
        <f t="shared" si="137"/>
        <v>0</v>
      </c>
      <c r="KV102" s="138">
        <f t="shared" si="137"/>
        <v>0</v>
      </c>
      <c r="KW102" s="138">
        <f t="shared" si="137"/>
        <v>0</v>
      </c>
      <c r="KX102" s="138">
        <f t="shared" si="137"/>
        <v>0</v>
      </c>
      <c r="KY102" s="138">
        <f t="shared" si="137"/>
        <v>0</v>
      </c>
      <c r="KZ102" s="138">
        <f t="shared" si="137"/>
        <v>0</v>
      </c>
      <c r="LA102" s="138">
        <f t="shared" si="137"/>
        <v>0</v>
      </c>
      <c r="LB102" s="138">
        <f t="shared" si="137"/>
        <v>0</v>
      </c>
      <c r="LC102" s="138">
        <f t="shared" si="137"/>
        <v>0</v>
      </c>
      <c r="LD102" s="138">
        <f t="shared" si="137"/>
        <v>0</v>
      </c>
      <c r="LE102" s="138">
        <f t="shared" si="137"/>
        <v>0</v>
      </c>
      <c r="LF102" s="138">
        <f t="shared" si="137"/>
        <v>0</v>
      </c>
      <c r="LG102" s="138">
        <f t="shared" si="137"/>
        <v>0</v>
      </c>
      <c r="LH102" s="138">
        <f t="shared" si="137"/>
        <v>0</v>
      </c>
      <c r="LI102" s="138">
        <f t="shared" si="137"/>
        <v>0</v>
      </c>
      <c r="LJ102" s="138">
        <f t="shared" si="137"/>
        <v>0</v>
      </c>
      <c r="LK102" s="138">
        <f t="shared" si="137"/>
        <v>0</v>
      </c>
      <c r="LL102" s="138">
        <f t="shared" si="137"/>
        <v>0</v>
      </c>
      <c r="LM102" s="138">
        <f t="shared" ref="LM102:NX102" si="138">(($C28/12*OR(LM$66,LM$67)*LM70)+(($K28-$C28)/12*LM$67*LM77))*1000</f>
        <v>0</v>
      </c>
      <c r="LN102" s="138">
        <f t="shared" si="138"/>
        <v>0</v>
      </c>
      <c r="LO102" s="138">
        <f t="shared" si="138"/>
        <v>0</v>
      </c>
      <c r="LP102" s="138">
        <f t="shared" si="138"/>
        <v>0</v>
      </c>
      <c r="LQ102" s="138">
        <f t="shared" si="138"/>
        <v>0</v>
      </c>
      <c r="LR102" s="138">
        <f t="shared" si="138"/>
        <v>0</v>
      </c>
      <c r="LS102" s="138">
        <f t="shared" si="138"/>
        <v>0</v>
      </c>
      <c r="LT102" s="138">
        <f t="shared" si="138"/>
        <v>0</v>
      </c>
      <c r="LU102" s="138">
        <f t="shared" si="138"/>
        <v>0</v>
      </c>
      <c r="LV102" s="138">
        <f t="shared" si="138"/>
        <v>0</v>
      </c>
      <c r="LW102" s="138">
        <f t="shared" si="138"/>
        <v>0</v>
      </c>
      <c r="LX102" s="138">
        <f t="shared" si="138"/>
        <v>0</v>
      </c>
      <c r="LY102" s="138">
        <f t="shared" si="138"/>
        <v>0</v>
      </c>
      <c r="LZ102" s="138">
        <f t="shared" si="138"/>
        <v>0</v>
      </c>
      <c r="MA102" s="138">
        <f t="shared" si="138"/>
        <v>0</v>
      </c>
      <c r="MB102" s="138">
        <f t="shared" si="138"/>
        <v>0</v>
      </c>
      <c r="MC102" s="138">
        <f t="shared" si="138"/>
        <v>0</v>
      </c>
      <c r="MD102" s="138">
        <f t="shared" si="138"/>
        <v>0</v>
      </c>
      <c r="ME102" s="138">
        <f t="shared" si="138"/>
        <v>0</v>
      </c>
      <c r="MF102" s="138">
        <f t="shared" si="138"/>
        <v>0</v>
      </c>
      <c r="MG102" s="138">
        <f t="shared" si="138"/>
        <v>0</v>
      </c>
      <c r="MH102" s="138">
        <f t="shared" si="138"/>
        <v>0</v>
      </c>
      <c r="MI102" s="138">
        <f t="shared" si="138"/>
        <v>0</v>
      </c>
      <c r="MJ102" s="138">
        <f t="shared" si="138"/>
        <v>0</v>
      </c>
      <c r="MK102" s="138">
        <f t="shared" si="138"/>
        <v>0</v>
      </c>
      <c r="ML102" s="138">
        <f t="shared" si="138"/>
        <v>0</v>
      </c>
      <c r="MM102" s="138">
        <f t="shared" si="138"/>
        <v>0</v>
      </c>
      <c r="MN102" s="138">
        <f t="shared" si="138"/>
        <v>0</v>
      </c>
      <c r="MO102" s="138">
        <f t="shared" si="138"/>
        <v>0</v>
      </c>
      <c r="MP102" s="138">
        <f t="shared" si="138"/>
        <v>0</v>
      </c>
      <c r="MQ102" s="138">
        <f t="shared" si="138"/>
        <v>0</v>
      </c>
      <c r="MR102" s="138">
        <f t="shared" si="138"/>
        <v>0</v>
      </c>
      <c r="MS102" s="138">
        <f t="shared" si="138"/>
        <v>0</v>
      </c>
      <c r="MT102" s="138">
        <f t="shared" si="138"/>
        <v>0</v>
      </c>
      <c r="MU102" s="138">
        <f t="shared" si="138"/>
        <v>0</v>
      </c>
      <c r="MV102" s="138">
        <f t="shared" si="138"/>
        <v>0</v>
      </c>
      <c r="MW102" s="138">
        <f t="shared" si="138"/>
        <v>0</v>
      </c>
      <c r="MX102" s="138">
        <f t="shared" si="138"/>
        <v>0</v>
      </c>
      <c r="MY102" s="138">
        <f t="shared" si="138"/>
        <v>0</v>
      </c>
      <c r="MZ102" s="138">
        <f t="shared" si="138"/>
        <v>0</v>
      </c>
      <c r="NA102" s="138">
        <f t="shared" si="138"/>
        <v>0</v>
      </c>
      <c r="NB102" s="138">
        <f t="shared" si="138"/>
        <v>0</v>
      </c>
      <c r="NC102" s="138">
        <f t="shared" si="138"/>
        <v>0</v>
      </c>
      <c r="ND102" s="138">
        <f t="shared" si="138"/>
        <v>0</v>
      </c>
      <c r="NE102" s="138">
        <f t="shared" si="138"/>
        <v>0</v>
      </c>
      <c r="NF102" s="138">
        <f t="shared" si="138"/>
        <v>0</v>
      </c>
      <c r="NG102" s="138">
        <f t="shared" si="138"/>
        <v>0</v>
      </c>
      <c r="NH102" s="138">
        <f t="shared" si="138"/>
        <v>0</v>
      </c>
      <c r="NI102" s="138">
        <f t="shared" si="138"/>
        <v>0</v>
      </c>
      <c r="NJ102" s="138">
        <f t="shared" si="138"/>
        <v>0</v>
      </c>
      <c r="NK102" s="138">
        <f t="shared" si="138"/>
        <v>0</v>
      </c>
      <c r="NL102" s="138">
        <f t="shared" si="138"/>
        <v>0</v>
      </c>
      <c r="NM102" s="138">
        <f t="shared" si="138"/>
        <v>0</v>
      </c>
      <c r="NN102" s="138">
        <f t="shared" si="138"/>
        <v>0</v>
      </c>
      <c r="NO102" s="138">
        <f t="shared" si="138"/>
        <v>0</v>
      </c>
      <c r="NP102" s="138">
        <f t="shared" si="138"/>
        <v>0</v>
      </c>
      <c r="NQ102" s="138">
        <f t="shared" si="138"/>
        <v>0</v>
      </c>
      <c r="NR102" s="138">
        <f t="shared" si="138"/>
        <v>0</v>
      </c>
      <c r="NS102" s="138">
        <f t="shared" si="138"/>
        <v>0</v>
      </c>
      <c r="NT102" s="138">
        <f t="shared" si="138"/>
        <v>0</v>
      </c>
      <c r="NU102" s="138">
        <f t="shared" si="138"/>
        <v>0</v>
      </c>
      <c r="NV102" s="138">
        <f t="shared" si="138"/>
        <v>0</v>
      </c>
      <c r="NW102" s="138">
        <f t="shared" si="138"/>
        <v>0</v>
      </c>
      <c r="NX102" s="138">
        <f t="shared" si="138"/>
        <v>0</v>
      </c>
      <c r="NY102" s="138">
        <f t="shared" ref="NY102:QJ102" si="139">(($C28/12*OR(NY$66,NY$67)*NY70)+(($K28-$C28)/12*NY$67*NY77))*1000</f>
        <v>0</v>
      </c>
      <c r="NZ102" s="138">
        <f t="shared" si="139"/>
        <v>0</v>
      </c>
      <c r="OA102" s="138">
        <f t="shared" si="139"/>
        <v>0</v>
      </c>
      <c r="OB102" s="138">
        <f t="shared" si="139"/>
        <v>0</v>
      </c>
      <c r="OC102" s="138">
        <f t="shared" si="139"/>
        <v>0</v>
      </c>
      <c r="OD102" s="138">
        <f t="shared" si="139"/>
        <v>0</v>
      </c>
      <c r="OE102" s="138">
        <f t="shared" si="139"/>
        <v>0</v>
      </c>
      <c r="OF102" s="138">
        <f t="shared" si="139"/>
        <v>0</v>
      </c>
      <c r="OG102" s="138">
        <f t="shared" si="139"/>
        <v>0</v>
      </c>
      <c r="OH102" s="138">
        <f t="shared" si="139"/>
        <v>0</v>
      </c>
      <c r="OI102" s="138">
        <f t="shared" si="139"/>
        <v>0</v>
      </c>
      <c r="OJ102" s="138">
        <f t="shared" si="139"/>
        <v>0</v>
      </c>
      <c r="OK102" s="138">
        <f t="shared" si="139"/>
        <v>0</v>
      </c>
      <c r="OL102" s="138">
        <f t="shared" si="139"/>
        <v>0</v>
      </c>
      <c r="OM102" s="138">
        <f t="shared" si="139"/>
        <v>0</v>
      </c>
      <c r="ON102" s="138">
        <f t="shared" si="139"/>
        <v>0</v>
      </c>
      <c r="OO102" s="138">
        <f t="shared" si="139"/>
        <v>0</v>
      </c>
      <c r="OP102" s="138">
        <f t="shared" si="139"/>
        <v>0</v>
      </c>
      <c r="OQ102" s="138">
        <f t="shared" si="139"/>
        <v>0</v>
      </c>
      <c r="OR102" s="138">
        <f t="shared" si="139"/>
        <v>0</v>
      </c>
      <c r="OS102" s="138">
        <f t="shared" si="139"/>
        <v>0</v>
      </c>
      <c r="OT102" s="138">
        <f t="shared" si="139"/>
        <v>0</v>
      </c>
      <c r="OU102" s="138">
        <f t="shared" si="139"/>
        <v>0</v>
      </c>
      <c r="OV102" s="138">
        <f t="shared" si="139"/>
        <v>0</v>
      </c>
      <c r="OW102" s="138">
        <f t="shared" si="139"/>
        <v>0</v>
      </c>
      <c r="OX102" s="138">
        <f t="shared" si="139"/>
        <v>0</v>
      </c>
      <c r="OY102" s="138">
        <f t="shared" si="139"/>
        <v>0</v>
      </c>
      <c r="OZ102" s="138">
        <f t="shared" si="139"/>
        <v>0</v>
      </c>
      <c r="PA102" s="138">
        <f t="shared" si="139"/>
        <v>0</v>
      </c>
      <c r="PB102" s="138">
        <f t="shared" si="139"/>
        <v>0</v>
      </c>
      <c r="PC102" s="138">
        <f t="shared" si="139"/>
        <v>0</v>
      </c>
      <c r="PD102" s="138">
        <f t="shared" si="139"/>
        <v>0</v>
      </c>
      <c r="PE102" s="138">
        <f t="shared" si="139"/>
        <v>0</v>
      </c>
      <c r="PF102" s="138">
        <f t="shared" si="139"/>
        <v>0</v>
      </c>
      <c r="PG102" s="138">
        <f t="shared" si="139"/>
        <v>0</v>
      </c>
      <c r="PH102" s="138">
        <f t="shared" si="139"/>
        <v>0</v>
      </c>
      <c r="PI102" s="138">
        <f t="shared" si="139"/>
        <v>0</v>
      </c>
      <c r="PJ102" s="138">
        <f t="shared" si="139"/>
        <v>0</v>
      </c>
      <c r="PK102" s="138">
        <f t="shared" si="139"/>
        <v>0</v>
      </c>
      <c r="PL102" s="138">
        <f t="shared" si="139"/>
        <v>0</v>
      </c>
      <c r="PM102" s="138">
        <f t="shared" si="139"/>
        <v>0</v>
      </c>
      <c r="PN102" s="138">
        <f t="shared" si="139"/>
        <v>0</v>
      </c>
      <c r="PO102" s="138">
        <f t="shared" si="139"/>
        <v>0</v>
      </c>
      <c r="PP102" s="138">
        <f t="shared" si="139"/>
        <v>0</v>
      </c>
      <c r="PQ102" s="138">
        <f t="shared" si="139"/>
        <v>0</v>
      </c>
      <c r="PR102" s="138">
        <f t="shared" si="139"/>
        <v>0</v>
      </c>
      <c r="PS102" s="138">
        <f t="shared" si="139"/>
        <v>0</v>
      </c>
      <c r="PT102" s="138">
        <f t="shared" si="139"/>
        <v>0</v>
      </c>
      <c r="PU102" s="138">
        <f t="shared" si="139"/>
        <v>0</v>
      </c>
      <c r="PV102" s="138">
        <f t="shared" si="139"/>
        <v>0</v>
      </c>
      <c r="PW102" s="138">
        <f t="shared" si="139"/>
        <v>0</v>
      </c>
      <c r="PX102" s="138">
        <f t="shared" si="139"/>
        <v>0</v>
      </c>
      <c r="PY102" s="138">
        <f t="shared" si="139"/>
        <v>0</v>
      </c>
      <c r="PZ102" s="138">
        <f t="shared" si="139"/>
        <v>0</v>
      </c>
      <c r="QA102" s="138">
        <f t="shared" si="139"/>
        <v>0</v>
      </c>
      <c r="QB102" s="138">
        <f t="shared" si="139"/>
        <v>0</v>
      </c>
      <c r="QC102" s="138">
        <f t="shared" si="139"/>
        <v>0</v>
      </c>
      <c r="QD102" s="138">
        <f t="shared" si="139"/>
        <v>0</v>
      </c>
      <c r="QE102" s="138">
        <f t="shared" si="139"/>
        <v>0</v>
      </c>
      <c r="QF102" s="138">
        <f t="shared" si="139"/>
        <v>0</v>
      </c>
      <c r="QG102" s="138">
        <f t="shared" si="139"/>
        <v>0</v>
      </c>
      <c r="QH102" s="138">
        <f t="shared" si="139"/>
        <v>0</v>
      </c>
      <c r="QI102" s="138">
        <f t="shared" si="139"/>
        <v>0</v>
      </c>
      <c r="QJ102" s="138">
        <f t="shared" si="139"/>
        <v>0</v>
      </c>
      <c r="QK102" s="138">
        <f t="shared" ref="QK102:RR102" si="140">(($C28/12*OR(QK$66,QK$67)*QK70)+(($K28-$C28)/12*QK$67*QK77))*1000</f>
        <v>0</v>
      </c>
      <c r="QL102" s="138">
        <f t="shared" si="140"/>
        <v>0</v>
      </c>
      <c r="QM102" s="138">
        <f t="shared" si="140"/>
        <v>0</v>
      </c>
      <c r="QN102" s="138">
        <f t="shared" si="140"/>
        <v>0</v>
      </c>
      <c r="QO102" s="138">
        <f t="shared" si="140"/>
        <v>0</v>
      </c>
      <c r="QP102" s="138">
        <f t="shared" si="140"/>
        <v>0</v>
      </c>
      <c r="QQ102" s="138">
        <f t="shared" si="140"/>
        <v>0</v>
      </c>
      <c r="QR102" s="138">
        <f t="shared" si="140"/>
        <v>0</v>
      </c>
      <c r="QS102" s="138">
        <f t="shared" si="140"/>
        <v>0</v>
      </c>
      <c r="QT102" s="138">
        <f t="shared" si="140"/>
        <v>0</v>
      </c>
      <c r="QU102" s="138">
        <f t="shared" si="140"/>
        <v>0</v>
      </c>
      <c r="QV102" s="138">
        <f t="shared" si="140"/>
        <v>0</v>
      </c>
      <c r="QW102" s="138">
        <f t="shared" si="140"/>
        <v>0</v>
      </c>
      <c r="QX102" s="138">
        <f t="shared" si="140"/>
        <v>0</v>
      </c>
      <c r="QY102" s="138">
        <f t="shared" si="140"/>
        <v>0</v>
      </c>
      <c r="QZ102" s="138">
        <f t="shared" si="140"/>
        <v>0</v>
      </c>
      <c r="RA102" s="138">
        <f t="shared" si="140"/>
        <v>0</v>
      </c>
      <c r="RB102" s="138">
        <f t="shared" si="140"/>
        <v>0</v>
      </c>
      <c r="RC102" s="138">
        <f t="shared" si="140"/>
        <v>0</v>
      </c>
      <c r="RD102" s="138">
        <f t="shared" si="140"/>
        <v>0</v>
      </c>
      <c r="RE102" s="138">
        <f t="shared" si="140"/>
        <v>0</v>
      </c>
      <c r="RF102" s="138">
        <f t="shared" si="140"/>
        <v>0</v>
      </c>
      <c r="RG102" s="138">
        <f t="shared" si="140"/>
        <v>0</v>
      </c>
      <c r="RH102" s="138">
        <f t="shared" si="140"/>
        <v>0</v>
      </c>
      <c r="RI102" s="138">
        <f t="shared" si="140"/>
        <v>0</v>
      </c>
      <c r="RJ102" s="138">
        <f t="shared" si="140"/>
        <v>0</v>
      </c>
      <c r="RK102" s="138">
        <f t="shared" si="140"/>
        <v>0</v>
      </c>
      <c r="RL102" s="138">
        <f t="shared" si="140"/>
        <v>0</v>
      </c>
      <c r="RM102" s="138">
        <f t="shared" si="140"/>
        <v>0</v>
      </c>
      <c r="RN102" s="138">
        <f t="shared" si="140"/>
        <v>0</v>
      </c>
      <c r="RO102" s="138">
        <f t="shared" si="140"/>
        <v>0</v>
      </c>
      <c r="RP102" s="138">
        <f t="shared" si="140"/>
        <v>0</v>
      </c>
      <c r="RQ102" s="138">
        <f t="shared" si="140"/>
        <v>0</v>
      </c>
      <c r="RR102" s="138">
        <f t="shared" si="140"/>
        <v>0</v>
      </c>
    </row>
    <row r="103" spans="1:486" s="9" customFormat="1">
      <c r="A103" s="286"/>
      <c r="B103" s="39" t="s">
        <v>133</v>
      </c>
      <c r="E103" s="138">
        <f t="shared" ref="E103:BP103" si="141">(($C29/12*OR(E$66,E$67)*E71)+(($K29-$C29)/12*E$67*E78))*1000</f>
        <v>945844.99785852479</v>
      </c>
      <c r="F103" s="138">
        <f t="shared" si="141"/>
        <v>945844.99785852479</v>
      </c>
      <c r="G103" s="138">
        <f t="shared" si="141"/>
        <v>945844.99785852479</v>
      </c>
      <c r="H103" s="138">
        <f t="shared" si="141"/>
        <v>945844.99785852479</v>
      </c>
      <c r="I103" s="138">
        <f t="shared" si="141"/>
        <v>945844.99785852479</v>
      </c>
      <c r="J103" s="138">
        <f t="shared" si="141"/>
        <v>945844.99785852479</v>
      </c>
      <c r="K103" s="138">
        <f t="shared" si="141"/>
        <v>945844.99785852479</v>
      </c>
      <c r="L103" s="138">
        <f t="shared" si="141"/>
        <v>945844.99785852479</v>
      </c>
      <c r="M103" s="138">
        <f t="shared" si="141"/>
        <v>945844.99785852479</v>
      </c>
      <c r="N103" s="138">
        <f t="shared" si="141"/>
        <v>945844.99785852479</v>
      </c>
      <c r="O103" s="138">
        <f t="shared" si="141"/>
        <v>945844.99785852479</v>
      </c>
      <c r="P103" s="138">
        <f t="shared" si="141"/>
        <v>945844.99785852479</v>
      </c>
      <c r="Q103" s="138">
        <f t="shared" si="141"/>
        <v>945844.99785852479</v>
      </c>
      <c r="R103" s="138">
        <f t="shared" si="141"/>
        <v>945844.99785852479</v>
      </c>
      <c r="S103" s="138">
        <f t="shared" si="141"/>
        <v>945844.99785852479</v>
      </c>
      <c r="T103" s="138">
        <f t="shared" si="141"/>
        <v>945844.99785852479</v>
      </c>
      <c r="U103" s="138">
        <f t="shared" si="141"/>
        <v>945844.99785852479</v>
      </c>
      <c r="V103" s="138">
        <f t="shared" si="141"/>
        <v>945844.99785852479</v>
      </c>
      <c r="W103" s="138">
        <f t="shared" si="141"/>
        <v>945844.99785852479</v>
      </c>
      <c r="X103" s="138">
        <f t="shared" si="141"/>
        <v>945844.99785852479</v>
      </c>
      <c r="Y103" s="138">
        <f t="shared" si="141"/>
        <v>945844.99785852479</v>
      </c>
      <c r="Z103" s="138">
        <f t="shared" si="141"/>
        <v>945844.99785852479</v>
      </c>
      <c r="AA103" s="138">
        <f t="shared" si="141"/>
        <v>945844.99785852479</v>
      </c>
      <c r="AB103" s="138">
        <f t="shared" si="141"/>
        <v>945844.99785852479</v>
      </c>
      <c r="AC103" s="138">
        <f t="shared" si="141"/>
        <v>945844.99785852479</v>
      </c>
      <c r="AD103" s="138">
        <f t="shared" si="141"/>
        <v>945844.99785852479</v>
      </c>
      <c r="AE103" s="138">
        <f t="shared" si="141"/>
        <v>945844.99785852479</v>
      </c>
      <c r="AF103" s="138">
        <f t="shared" si="141"/>
        <v>945844.99785852479</v>
      </c>
      <c r="AG103" s="138">
        <f t="shared" si="141"/>
        <v>945844.99785852479</v>
      </c>
      <c r="AH103" s="138">
        <f t="shared" si="141"/>
        <v>945844.99785852479</v>
      </c>
      <c r="AI103" s="138">
        <f t="shared" si="141"/>
        <v>945844.99785852479</v>
      </c>
      <c r="AJ103" s="138">
        <f t="shared" si="141"/>
        <v>945844.99785852479</v>
      </c>
      <c r="AK103" s="138">
        <f t="shared" si="141"/>
        <v>945844.99785852479</v>
      </c>
      <c r="AL103" s="138">
        <f t="shared" si="141"/>
        <v>945844.99785852479</v>
      </c>
      <c r="AM103" s="138">
        <f t="shared" si="141"/>
        <v>945844.99785852479</v>
      </c>
      <c r="AN103" s="138">
        <f t="shared" si="141"/>
        <v>945844.99785852479</v>
      </c>
      <c r="AO103" s="138">
        <f t="shared" si="141"/>
        <v>945844.99785852479</v>
      </c>
      <c r="AP103" s="138">
        <f t="shared" si="141"/>
        <v>945844.99785852479</v>
      </c>
      <c r="AQ103" s="138">
        <f t="shared" si="141"/>
        <v>945844.99785852479</v>
      </c>
      <c r="AR103" s="138">
        <f t="shared" si="141"/>
        <v>945844.99785852479</v>
      </c>
      <c r="AS103" s="138">
        <f t="shared" si="141"/>
        <v>945844.99785852479</v>
      </c>
      <c r="AT103" s="138">
        <f t="shared" si="141"/>
        <v>945844.99785852479</v>
      </c>
      <c r="AU103" s="138">
        <f t="shared" si="141"/>
        <v>945844.99785852479</v>
      </c>
      <c r="AV103" s="138">
        <f t="shared" si="141"/>
        <v>945844.99785852479</v>
      </c>
      <c r="AW103" s="138">
        <f t="shared" si="141"/>
        <v>945844.99785852479</v>
      </c>
      <c r="AX103" s="138">
        <f t="shared" si="141"/>
        <v>945844.99785852479</v>
      </c>
      <c r="AY103" s="138">
        <f t="shared" si="141"/>
        <v>945844.99785852479</v>
      </c>
      <c r="AZ103" s="138">
        <f t="shared" si="141"/>
        <v>945844.99785852479</v>
      </c>
      <c r="BA103" s="138">
        <f t="shared" si="141"/>
        <v>945844.99785852479</v>
      </c>
      <c r="BB103" s="138">
        <f t="shared" si="141"/>
        <v>945844.99785852479</v>
      </c>
      <c r="BC103" s="138">
        <f t="shared" si="141"/>
        <v>945844.99785852479</v>
      </c>
      <c r="BD103" s="138">
        <f t="shared" si="141"/>
        <v>945844.99785852479</v>
      </c>
      <c r="BE103" s="138">
        <f t="shared" si="141"/>
        <v>945844.99785852479</v>
      </c>
      <c r="BF103" s="138">
        <f t="shared" si="141"/>
        <v>945844.99785852479</v>
      </c>
      <c r="BG103" s="138">
        <f t="shared" si="141"/>
        <v>945844.99785852479</v>
      </c>
      <c r="BH103" s="138">
        <f t="shared" si="141"/>
        <v>945844.99785852479</v>
      </c>
      <c r="BI103" s="138">
        <f t="shared" si="141"/>
        <v>945844.99785852479</v>
      </c>
      <c r="BJ103" s="138">
        <f t="shared" si="141"/>
        <v>945844.99785852479</v>
      </c>
      <c r="BK103" s="138">
        <f t="shared" si="141"/>
        <v>945844.99785852479</v>
      </c>
      <c r="BL103" s="138">
        <f t="shared" si="141"/>
        <v>945844.99785852479</v>
      </c>
      <c r="BM103" s="138">
        <f t="shared" si="141"/>
        <v>945844.99785852479</v>
      </c>
      <c r="BN103" s="138">
        <f t="shared" si="141"/>
        <v>945844.99785852479</v>
      </c>
      <c r="BO103" s="138">
        <f t="shared" si="141"/>
        <v>945844.99785852479</v>
      </c>
      <c r="BP103" s="138">
        <f t="shared" si="141"/>
        <v>945844.99785852479</v>
      </c>
      <c r="BQ103" s="138">
        <f t="shared" ref="BQ103:EB103" si="142">(($C29/12*OR(BQ$66,BQ$67)*BQ71)+(($K29-$C29)/12*BQ$67*BQ78))*1000</f>
        <v>945844.99785852479</v>
      </c>
      <c r="BR103" s="138">
        <f t="shared" si="142"/>
        <v>945844.99785852479</v>
      </c>
      <c r="BS103" s="138">
        <f t="shared" si="142"/>
        <v>945844.99785852479</v>
      </c>
      <c r="BT103" s="138">
        <f t="shared" si="142"/>
        <v>945844.99785852479</v>
      </c>
      <c r="BU103" s="138">
        <f t="shared" si="142"/>
        <v>945844.99785852479</v>
      </c>
      <c r="BV103" s="138">
        <f t="shared" si="142"/>
        <v>945844.99785852479</v>
      </c>
      <c r="BW103" s="138">
        <f t="shared" si="142"/>
        <v>945844.99785852479</v>
      </c>
      <c r="BX103" s="138">
        <f t="shared" si="142"/>
        <v>945844.99785852479</v>
      </c>
      <c r="BY103" s="138">
        <f t="shared" si="142"/>
        <v>945844.99785852479</v>
      </c>
      <c r="BZ103" s="138">
        <f t="shared" si="142"/>
        <v>945844.99785852479</v>
      </c>
      <c r="CA103" s="138">
        <f t="shared" si="142"/>
        <v>945844.99785852479</v>
      </c>
      <c r="CB103" s="138">
        <f t="shared" si="142"/>
        <v>945844.99785852479</v>
      </c>
      <c r="CC103" s="138">
        <f t="shared" si="142"/>
        <v>945844.99785852479</v>
      </c>
      <c r="CD103" s="138">
        <f t="shared" si="142"/>
        <v>945844.99785852479</v>
      </c>
      <c r="CE103" s="138">
        <f t="shared" si="142"/>
        <v>945844.99785852479</v>
      </c>
      <c r="CF103" s="138">
        <f t="shared" si="142"/>
        <v>945844.99785852479</v>
      </c>
      <c r="CG103" s="138">
        <f t="shared" si="142"/>
        <v>945844.99785852479</v>
      </c>
      <c r="CH103" s="138">
        <f t="shared" si="142"/>
        <v>945844.99785852479</v>
      </c>
      <c r="CI103" s="138">
        <f t="shared" si="142"/>
        <v>945844.99785852479</v>
      </c>
      <c r="CJ103" s="138">
        <f t="shared" si="142"/>
        <v>945844.99785852479</v>
      </c>
      <c r="CK103" s="138">
        <f t="shared" si="142"/>
        <v>945844.99785852479</v>
      </c>
      <c r="CL103" s="138">
        <f t="shared" si="142"/>
        <v>945844.99785852479</v>
      </c>
      <c r="CM103" s="138">
        <f t="shared" si="142"/>
        <v>945844.99785852479</v>
      </c>
      <c r="CN103" s="138">
        <f t="shared" si="142"/>
        <v>945844.99785852479</v>
      </c>
      <c r="CO103" s="138">
        <f t="shared" si="142"/>
        <v>945844.99785852479</v>
      </c>
      <c r="CP103" s="138">
        <f t="shared" si="142"/>
        <v>945844.99785852479</v>
      </c>
      <c r="CQ103" s="138">
        <f t="shared" si="142"/>
        <v>945844.99785852479</v>
      </c>
      <c r="CR103" s="138">
        <f t="shared" si="142"/>
        <v>945844.99785852479</v>
      </c>
      <c r="CS103" s="138">
        <f t="shared" si="142"/>
        <v>945844.99785852479</v>
      </c>
      <c r="CT103" s="138">
        <f t="shared" si="142"/>
        <v>945844.99785852479</v>
      </c>
      <c r="CU103" s="138">
        <f t="shared" si="142"/>
        <v>945844.99785852479</v>
      </c>
      <c r="CV103" s="138">
        <f t="shared" si="142"/>
        <v>945844.99785852479</v>
      </c>
      <c r="CW103" s="138">
        <f t="shared" si="142"/>
        <v>945844.99785852479</v>
      </c>
      <c r="CX103" s="138">
        <f t="shared" si="142"/>
        <v>945844.99785852479</v>
      </c>
      <c r="CY103" s="138">
        <f t="shared" si="142"/>
        <v>945844.99785852479</v>
      </c>
      <c r="CZ103" s="138">
        <f t="shared" si="142"/>
        <v>945844.99785852479</v>
      </c>
      <c r="DA103" s="138">
        <f t="shared" si="142"/>
        <v>945844.99785852479</v>
      </c>
      <c r="DB103" s="138">
        <f t="shared" si="142"/>
        <v>945844.99785852479</v>
      </c>
      <c r="DC103" s="138">
        <f t="shared" si="142"/>
        <v>945844.99785852479</v>
      </c>
      <c r="DD103" s="138">
        <f t="shared" si="142"/>
        <v>945844.99785852479</v>
      </c>
      <c r="DE103" s="138">
        <f t="shared" si="142"/>
        <v>945844.99785852479</v>
      </c>
      <c r="DF103" s="138">
        <f t="shared" si="142"/>
        <v>945844.99785852479</v>
      </c>
      <c r="DG103" s="138">
        <f t="shared" si="142"/>
        <v>945844.99785852479</v>
      </c>
      <c r="DH103" s="138">
        <f t="shared" si="142"/>
        <v>945844.99785852479</v>
      </c>
      <c r="DI103" s="138">
        <f t="shared" si="142"/>
        <v>945844.99785852479</v>
      </c>
      <c r="DJ103" s="138">
        <f t="shared" si="142"/>
        <v>945844.99785852479</v>
      </c>
      <c r="DK103" s="138">
        <f t="shared" si="142"/>
        <v>945844.99785852479</v>
      </c>
      <c r="DL103" s="138">
        <f t="shared" si="142"/>
        <v>945844.99785852479</v>
      </c>
      <c r="DM103" s="138">
        <f t="shared" si="142"/>
        <v>945844.99785852479</v>
      </c>
      <c r="DN103" s="138">
        <f t="shared" si="142"/>
        <v>945844.99785852479</v>
      </c>
      <c r="DO103" s="138">
        <f t="shared" si="142"/>
        <v>945844.99785852479</v>
      </c>
      <c r="DP103" s="138">
        <f t="shared" si="142"/>
        <v>945844.99785852479</v>
      </c>
      <c r="DQ103" s="138">
        <f t="shared" si="142"/>
        <v>945844.99785852479</v>
      </c>
      <c r="DR103" s="138">
        <f t="shared" si="142"/>
        <v>945844.99785852479</v>
      </c>
      <c r="DS103" s="138">
        <f t="shared" si="142"/>
        <v>945844.99785852479</v>
      </c>
      <c r="DT103" s="138">
        <f t="shared" si="142"/>
        <v>945844.99785852479</v>
      </c>
      <c r="DU103" s="138">
        <f t="shared" si="142"/>
        <v>945844.99785852479</v>
      </c>
      <c r="DV103" s="138">
        <f t="shared" si="142"/>
        <v>945844.99785852479</v>
      </c>
      <c r="DW103" s="138">
        <f t="shared" si="142"/>
        <v>945844.99785852479</v>
      </c>
      <c r="DX103" s="138">
        <f t="shared" si="142"/>
        <v>945844.99785852479</v>
      </c>
      <c r="DY103" s="138">
        <f t="shared" si="142"/>
        <v>945844.99785852479</v>
      </c>
      <c r="DZ103" s="138">
        <f t="shared" si="142"/>
        <v>945844.99785852479</v>
      </c>
      <c r="EA103" s="138">
        <f t="shared" si="142"/>
        <v>945844.99785852479</v>
      </c>
      <c r="EB103" s="138">
        <f t="shared" si="142"/>
        <v>945844.99785852479</v>
      </c>
      <c r="EC103" s="138">
        <f t="shared" ref="EC103:GN103" si="143">(($C29/12*OR(EC$66,EC$67)*EC71)+(($K29-$C29)/12*EC$67*EC78))*1000</f>
        <v>945844.99785852479</v>
      </c>
      <c r="ED103" s="138">
        <f t="shared" si="143"/>
        <v>945844.99785852479</v>
      </c>
      <c r="EE103" s="138">
        <f t="shared" si="143"/>
        <v>945844.99785852479</v>
      </c>
      <c r="EF103" s="138">
        <f t="shared" si="143"/>
        <v>945844.99785852479</v>
      </c>
      <c r="EG103" s="138">
        <f t="shared" si="143"/>
        <v>945844.99785852479</v>
      </c>
      <c r="EH103" s="138">
        <f t="shared" si="143"/>
        <v>945844.99785852479</v>
      </c>
      <c r="EI103" s="138">
        <f t="shared" si="143"/>
        <v>945844.99785852479</v>
      </c>
      <c r="EJ103" s="138">
        <f t="shared" si="143"/>
        <v>945844.99785852479</v>
      </c>
      <c r="EK103" s="138">
        <f t="shared" si="143"/>
        <v>945844.99785852479</v>
      </c>
      <c r="EL103" s="138">
        <f t="shared" si="143"/>
        <v>945844.99785852479</v>
      </c>
      <c r="EM103" s="138">
        <f t="shared" si="143"/>
        <v>945844.99785852479</v>
      </c>
      <c r="EN103" s="138">
        <f t="shared" si="143"/>
        <v>945844.99785852479</v>
      </c>
      <c r="EO103" s="138">
        <f t="shared" si="143"/>
        <v>945844.99785852479</v>
      </c>
      <c r="EP103" s="138">
        <f t="shared" si="143"/>
        <v>945844.99785852479</v>
      </c>
      <c r="EQ103" s="138">
        <f t="shared" si="143"/>
        <v>945844.99785852479</v>
      </c>
      <c r="ER103" s="138">
        <f t="shared" si="143"/>
        <v>945844.99785852479</v>
      </c>
      <c r="ES103" s="138">
        <f t="shared" si="143"/>
        <v>945844.99785852479</v>
      </c>
      <c r="ET103" s="138">
        <f t="shared" si="143"/>
        <v>945844.99785852479</v>
      </c>
      <c r="EU103" s="138">
        <f t="shared" si="143"/>
        <v>945844.99785852479</v>
      </c>
      <c r="EV103" s="138">
        <f t="shared" si="143"/>
        <v>945844.99785852479</v>
      </c>
      <c r="EW103" s="138">
        <f t="shared" si="143"/>
        <v>945844.99785852479</v>
      </c>
      <c r="EX103" s="138">
        <f t="shared" si="143"/>
        <v>945844.99785852479</v>
      </c>
      <c r="EY103" s="138">
        <f t="shared" si="143"/>
        <v>945844.99785852479</v>
      </c>
      <c r="EZ103" s="138">
        <f t="shared" si="143"/>
        <v>945844.99785852479</v>
      </c>
      <c r="FA103" s="138">
        <f t="shared" si="143"/>
        <v>945844.99785852479</v>
      </c>
      <c r="FB103" s="138">
        <f t="shared" si="143"/>
        <v>945844.99785852479</v>
      </c>
      <c r="FC103" s="138">
        <f t="shared" si="143"/>
        <v>945844.99785852479</v>
      </c>
      <c r="FD103" s="138">
        <f t="shared" si="143"/>
        <v>945844.99785852479</v>
      </c>
      <c r="FE103" s="138">
        <f t="shared" si="143"/>
        <v>945844.99785852479</v>
      </c>
      <c r="FF103" s="138">
        <f t="shared" si="143"/>
        <v>945844.99785852479</v>
      </c>
      <c r="FG103" s="138">
        <f t="shared" si="143"/>
        <v>945844.99785852479</v>
      </c>
      <c r="FH103" s="138">
        <f t="shared" si="143"/>
        <v>945844.99785852479</v>
      </c>
      <c r="FI103" s="138">
        <f t="shared" si="143"/>
        <v>945844.99785852479</v>
      </c>
      <c r="FJ103" s="138">
        <f t="shared" si="143"/>
        <v>945844.99785852479</v>
      </c>
      <c r="FK103" s="138">
        <f t="shared" si="143"/>
        <v>945844.99785852479</v>
      </c>
      <c r="FL103" s="138">
        <f t="shared" si="143"/>
        <v>945844.99785852479</v>
      </c>
      <c r="FM103" s="138">
        <f t="shared" si="143"/>
        <v>945844.99785852479</v>
      </c>
      <c r="FN103" s="138">
        <f t="shared" si="143"/>
        <v>945844.99785852479</v>
      </c>
      <c r="FO103" s="138">
        <f t="shared" si="143"/>
        <v>945844.99785852479</v>
      </c>
      <c r="FP103" s="138">
        <f t="shared" si="143"/>
        <v>945844.99785852479</v>
      </c>
      <c r="FQ103" s="138">
        <f t="shared" si="143"/>
        <v>945844.99785852479</v>
      </c>
      <c r="FR103" s="138">
        <f t="shared" si="143"/>
        <v>945844.99785852479</v>
      </c>
      <c r="FS103" s="138">
        <f t="shared" si="143"/>
        <v>945844.99785852479</v>
      </c>
      <c r="FT103" s="138">
        <f t="shared" si="143"/>
        <v>945844.99785852479</v>
      </c>
      <c r="FU103" s="138">
        <f t="shared" si="143"/>
        <v>945844.99785852479</v>
      </c>
      <c r="FV103" s="138">
        <f t="shared" si="143"/>
        <v>945844.99785852479</v>
      </c>
      <c r="FW103" s="138">
        <f t="shared" si="143"/>
        <v>945844.99785852479</v>
      </c>
      <c r="FX103" s="138">
        <f t="shared" si="143"/>
        <v>945844.99785852479</v>
      </c>
      <c r="FY103" s="138">
        <f t="shared" si="143"/>
        <v>945844.99785852479</v>
      </c>
      <c r="FZ103" s="138">
        <f t="shared" si="143"/>
        <v>945844.99785852479</v>
      </c>
      <c r="GA103" s="138">
        <f t="shared" si="143"/>
        <v>945844.99785852479</v>
      </c>
      <c r="GB103" s="138">
        <f t="shared" si="143"/>
        <v>945844.99785852479</v>
      </c>
      <c r="GC103" s="138">
        <f t="shared" si="143"/>
        <v>945844.99785852479</v>
      </c>
      <c r="GD103" s="138">
        <f t="shared" si="143"/>
        <v>945844.99785852479</v>
      </c>
      <c r="GE103" s="138">
        <f t="shared" si="143"/>
        <v>945844.99785852479</v>
      </c>
      <c r="GF103" s="138">
        <f t="shared" si="143"/>
        <v>945844.99785852479</v>
      </c>
      <c r="GG103" s="138">
        <f t="shared" si="143"/>
        <v>945844.99785852479</v>
      </c>
      <c r="GH103" s="138">
        <f t="shared" si="143"/>
        <v>945844.99785852479</v>
      </c>
      <c r="GI103" s="138">
        <f t="shared" si="143"/>
        <v>945844.99785852479</v>
      </c>
      <c r="GJ103" s="138">
        <f t="shared" si="143"/>
        <v>945844.99785852479</v>
      </c>
      <c r="GK103" s="138">
        <f t="shared" si="143"/>
        <v>945844.99785852479</v>
      </c>
      <c r="GL103" s="138">
        <f t="shared" si="143"/>
        <v>945844.99785852479</v>
      </c>
      <c r="GM103" s="138">
        <f t="shared" si="143"/>
        <v>945844.99785852479</v>
      </c>
      <c r="GN103" s="138">
        <f t="shared" si="143"/>
        <v>945844.99785852479</v>
      </c>
      <c r="GO103" s="138">
        <f t="shared" ref="GO103:IZ103" si="144">(($C29/12*OR(GO$66,GO$67)*GO71)+(($K29-$C29)/12*GO$67*GO78))*1000</f>
        <v>945844.99785852479</v>
      </c>
      <c r="GP103" s="138">
        <f t="shared" si="144"/>
        <v>945844.99785852479</v>
      </c>
      <c r="GQ103" s="138">
        <f t="shared" si="144"/>
        <v>945844.99785852479</v>
      </c>
      <c r="GR103" s="138">
        <f t="shared" si="144"/>
        <v>945844.99785852479</v>
      </c>
      <c r="GS103" s="138">
        <f t="shared" si="144"/>
        <v>945844.99785852479</v>
      </c>
      <c r="GT103" s="138">
        <f t="shared" si="144"/>
        <v>945844.99785852479</v>
      </c>
      <c r="GU103" s="138">
        <f t="shared" si="144"/>
        <v>945844.99785852479</v>
      </c>
      <c r="GV103" s="138">
        <f t="shared" si="144"/>
        <v>945844.99785852479</v>
      </c>
      <c r="GW103" s="138">
        <f t="shared" si="144"/>
        <v>945844.99785852479</v>
      </c>
      <c r="GX103" s="138">
        <f t="shared" si="144"/>
        <v>945844.99785852479</v>
      </c>
      <c r="GY103" s="138">
        <f t="shared" si="144"/>
        <v>945844.99785852479</v>
      </c>
      <c r="GZ103" s="138">
        <f t="shared" si="144"/>
        <v>945844.99785852479</v>
      </c>
      <c r="HA103" s="138">
        <f t="shared" si="144"/>
        <v>945844.99785852479</v>
      </c>
      <c r="HB103" s="138">
        <f t="shared" si="144"/>
        <v>945844.99785852479</v>
      </c>
      <c r="HC103" s="138">
        <f t="shared" si="144"/>
        <v>945844.99785852479</v>
      </c>
      <c r="HD103" s="138">
        <f t="shared" si="144"/>
        <v>945844.99785852479</v>
      </c>
      <c r="HE103" s="138">
        <f t="shared" si="144"/>
        <v>945844.99785852479</v>
      </c>
      <c r="HF103" s="138">
        <f t="shared" si="144"/>
        <v>945844.99785852479</v>
      </c>
      <c r="HG103" s="138">
        <f t="shared" si="144"/>
        <v>945844.99785852479</v>
      </c>
      <c r="HH103" s="138">
        <f t="shared" si="144"/>
        <v>945844.99785852479</v>
      </c>
      <c r="HI103" s="138">
        <f t="shared" si="144"/>
        <v>945844.99785852479</v>
      </c>
      <c r="HJ103" s="138">
        <f t="shared" si="144"/>
        <v>945844.99785852479</v>
      </c>
      <c r="HK103" s="138">
        <f t="shared" si="144"/>
        <v>945844.99785852479</v>
      </c>
      <c r="HL103" s="138">
        <f t="shared" si="144"/>
        <v>945844.99785852479</v>
      </c>
      <c r="HM103" s="138">
        <f t="shared" si="144"/>
        <v>945844.99785852479</v>
      </c>
      <c r="HN103" s="138">
        <f t="shared" si="144"/>
        <v>945844.99785852479</v>
      </c>
      <c r="HO103" s="138">
        <f t="shared" si="144"/>
        <v>945844.99785852479</v>
      </c>
      <c r="HP103" s="138">
        <f t="shared" si="144"/>
        <v>945844.99785852479</v>
      </c>
      <c r="HQ103" s="138">
        <f t="shared" si="144"/>
        <v>945844.99785852479</v>
      </c>
      <c r="HR103" s="138">
        <f t="shared" si="144"/>
        <v>945844.99785852479</v>
      </c>
      <c r="HS103" s="138">
        <f t="shared" si="144"/>
        <v>945844.99785852479</v>
      </c>
      <c r="HT103" s="138">
        <f t="shared" si="144"/>
        <v>945844.99785852479</v>
      </c>
      <c r="HU103" s="138">
        <f t="shared" si="144"/>
        <v>945844.99785852479</v>
      </c>
      <c r="HV103" s="138">
        <f t="shared" si="144"/>
        <v>945844.99785852479</v>
      </c>
      <c r="HW103" s="138">
        <f t="shared" si="144"/>
        <v>945844.99785852479</v>
      </c>
      <c r="HX103" s="138">
        <f t="shared" si="144"/>
        <v>945844.99785852479</v>
      </c>
      <c r="HY103" s="138">
        <f t="shared" si="144"/>
        <v>945844.99785852479</v>
      </c>
      <c r="HZ103" s="138">
        <f t="shared" si="144"/>
        <v>945844.99785852479</v>
      </c>
      <c r="IA103" s="138">
        <f t="shared" si="144"/>
        <v>945844.99785852479</v>
      </c>
      <c r="IB103" s="138">
        <f t="shared" si="144"/>
        <v>945844.99785852479</v>
      </c>
      <c r="IC103" s="138">
        <f t="shared" si="144"/>
        <v>945844.99785852479</v>
      </c>
      <c r="ID103" s="138">
        <f t="shared" si="144"/>
        <v>945844.99785852479</v>
      </c>
      <c r="IE103" s="138">
        <f t="shared" si="144"/>
        <v>945844.99785852479</v>
      </c>
      <c r="IF103" s="138">
        <f t="shared" si="144"/>
        <v>945844.99785852479</v>
      </c>
      <c r="IG103" s="138">
        <f t="shared" si="144"/>
        <v>945844.99785852479</v>
      </c>
      <c r="IH103" s="138">
        <f t="shared" si="144"/>
        <v>945844.99785852479</v>
      </c>
      <c r="II103" s="138">
        <f t="shared" si="144"/>
        <v>945844.99785852479</v>
      </c>
      <c r="IJ103" s="138">
        <f t="shared" si="144"/>
        <v>945844.99785852479</v>
      </c>
      <c r="IK103" s="138">
        <f t="shared" si="144"/>
        <v>0</v>
      </c>
      <c r="IL103" s="138">
        <f t="shared" si="144"/>
        <v>0</v>
      </c>
      <c r="IM103" s="138">
        <f t="shared" si="144"/>
        <v>0</v>
      </c>
      <c r="IN103" s="138">
        <f t="shared" si="144"/>
        <v>0</v>
      </c>
      <c r="IO103" s="138">
        <f t="shared" si="144"/>
        <v>0</v>
      </c>
      <c r="IP103" s="138">
        <f t="shared" si="144"/>
        <v>0</v>
      </c>
      <c r="IQ103" s="138">
        <f t="shared" si="144"/>
        <v>0</v>
      </c>
      <c r="IR103" s="138">
        <f t="shared" si="144"/>
        <v>0</v>
      </c>
      <c r="IS103" s="138">
        <f t="shared" si="144"/>
        <v>0</v>
      </c>
      <c r="IT103" s="138">
        <f t="shared" si="144"/>
        <v>0</v>
      </c>
      <c r="IU103" s="138">
        <f t="shared" si="144"/>
        <v>0</v>
      </c>
      <c r="IV103" s="138">
        <f t="shared" si="144"/>
        <v>0</v>
      </c>
      <c r="IW103" s="138">
        <f t="shared" si="144"/>
        <v>0</v>
      </c>
      <c r="IX103" s="138">
        <f t="shared" si="144"/>
        <v>0</v>
      </c>
      <c r="IY103" s="138">
        <f t="shared" si="144"/>
        <v>0</v>
      </c>
      <c r="IZ103" s="138">
        <f t="shared" si="144"/>
        <v>0</v>
      </c>
      <c r="JA103" s="138">
        <f t="shared" ref="JA103:LL103" si="145">(($C29/12*OR(JA$66,JA$67)*JA71)+(($K29-$C29)/12*JA$67*JA78))*1000</f>
        <v>0</v>
      </c>
      <c r="JB103" s="138">
        <f t="shared" si="145"/>
        <v>0</v>
      </c>
      <c r="JC103" s="138">
        <f t="shared" si="145"/>
        <v>0</v>
      </c>
      <c r="JD103" s="138">
        <f t="shared" si="145"/>
        <v>0</v>
      </c>
      <c r="JE103" s="138">
        <f t="shared" si="145"/>
        <v>0</v>
      </c>
      <c r="JF103" s="138">
        <f t="shared" si="145"/>
        <v>0</v>
      </c>
      <c r="JG103" s="138">
        <f t="shared" si="145"/>
        <v>0</v>
      </c>
      <c r="JH103" s="138">
        <f t="shared" si="145"/>
        <v>0</v>
      </c>
      <c r="JI103" s="138">
        <f t="shared" si="145"/>
        <v>0</v>
      </c>
      <c r="JJ103" s="138">
        <f t="shared" si="145"/>
        <v>0</v>
      </c>
      <c r="JK103" s="138">
        <f t="shared" si="145"/>
        <v>0</v>
      </c>
      <c r="JL103" s="138">
        <f t="shared" si="145"/>
        <v>0</v>
      </c>
      <c r="JM103" s="138">
        <f t="shared" si="145"/>
        <v>0</v>
      </c>
      <c r="JN103" s="138">
        <f t="shared" si="145"/>
        <v>0</v>
      </c>
      <c r="JO103" s="138">
        <f t="shared" si="145"/>
        <v>0</v>
      </c>
      <c r="JP103" s="138">
        <f t="shared" si="145"/>
        <v>0</v>
      </c>
      <c r="JQ103" s="138">
        <f t="shared" si="145"/>
        <v>0</v>
      </c>
      <c r="JR103" s="138">
        <f t="shared" si="145"/>
        <v>0</v>
      </c>
      <c r="JS103" s="138">
        <f t="shared" si="145"/>
        <v>0</v>
      </c>
      <c r="JT103" s="138">
        <f t="shared" si="145"/>
        <v>0</v>
      </c>
      <c r="JU103" s="138">
        <f t="shared" si="145"/>
        <v>0</v>
      </c>
      <c r="JV103" s="138">
        <f t="shared" si="145"/>
        <v>0</v>
      </c>
      <c r="JW103" s="138">
        <f t="shared" si="145"/>
        <v>0</v>
      </c>
      <c r="JX103" s="138">
        <f t="shared" si="145"/>
        <v>0</v>
      </c>
      <c r="JY103" s="138">
        <f t="shared" si="145"/>
        <v>0</v>
      </c>
      <c r="JZ103" s="138">
        <f t="shared" si="145"/>
        <v>0</v>
      </c>
      <c r="KA103" s="138">
        <f t="shared" si="145"/>
        <v>0</v>
      </c>
      <c r="KB103" s="138">
        <f t="shared" si="145"/>
        <v>0</v>
      </c>
      <c r="KC103" s="138">
        <f t="shared" si="145"/>
        <v>0</v>
      </c>
      <c r="KD103" s="138">
        <f t="shared" si="145"/>
        <v>0</v>
      </c>
      <c r="KE103" s="138">
        <f t="shared" si="145"/>
        <v>0</v>
      </c>
      <c r="KF103" s="138">
        <f t="shared" si="145"/>
        <v>0</v>
      </c>
      <c r="KG103" s="138">
        <f t="shared" si="145"/>
        <v>0</v>
      </c>
      <c r="KH103" s="138">
        <f t="shared" si="145"/>
        <v>0</v>
      </c>
      <c r="KI103" s="138">
        <f t="shared" si="145"/>
        <v>0</v>
      </c>
      <c r="KJ103" s="138">
        <f t="shared" si="145"/>
        <v>0</v>
      </c>
      <c r="KK103" s="138">
        <f t="shared" si="145"/>
        <v>0</v>
      </c>
      <c r="KL103" s="138">
        <f t="shared" si="145"/>
        <v>0</v>
      </c>
      <c r="KM103" s="138">
        <f t="shared" si="145"/>
        <v>0</v>
      </c>
      <c r="KN103" s="138">
        <f t="shared" si="145"/>
        <v>0</v>
      </c>
      <c r="KO103" s="138">
        <f t="shared" si="145"/>
        <v>0</v>
      </c>
      <c r="KP103" s="138">
        <f t="shared" si="145"/>
        <v>0</v>
      </c>
      <c r="KQ103" s="138">
        <f t="shared" si="145"/>
        <v>0</v>
      </c>
      <c r="KR103" s="138">
        <f t="shared" si="145"/>
        <v>0</v>
      </c>
      <c r="KS103" s="138">
        <f t="shared" si="145"/>
        <v>0</v>
      </c>
      <c r="KT103" s="138">
        <f t="shared" si="145"/>
        <v>0</v>
      </c>
      <c r="KU103" s="138">
        <f t="shared" si="145"/>
        <v>0</v>
      </c>
      <c r="KV103" s="138">
        <f t="shared" si="145"/>
        <v>0</v>
      </c>
      <c r="KW103" s="138">
        <f t="shared" si="145"/>
        <v>0</v>
      </c>
      <c r="KX103" s="138">
        <f t="shared" si="145"/>
        <v>0</v>
      </c>
      <c r="KY103" s="138">
        <f t="shared" si="145"/>
        <v>0</v>
      </c>
      <c r="KZ103" s="138">
        <f t="shared" si="145"/>
        <v>0</v>
      </c>
      <c r="LA103" s="138">
        <f t="shared" si="145"/>
        <v>0</v>
      </c>
      <c r="LB103" s="138">
        <f t="shared" si="145"/>
        <v>0</v>
      </c>
      <c r="LC103" s="138">
        <f t="shared" si="145"/>
        <v>0</v>
      </c>
      <c r="LD103" s="138">
        <f t="shared" si="145"/>
        <v>0</v>
      </c>
      <c r="LE103" s="138">
        <f t="shared" si="145"/>
        <v>0</v>
      </c>
      <c r="LF103" s="138">
        <f t="shared" si="145"/>
        <v>0</v>
      </c>
      <c r="LG103" s="138">
        <f t="shared" si="145"/>
        <v>0</v>
      </c>
      <c r="LH103" s="138">
        <f t="shared" si="145"/>
        <v>0</v>
      </c>
      <c r="LI103" s="138">
        <f t="shared" si="145"/>
        <v>0</v>
      </c>
      <c r="LJ103" s="138">
        <f t="shared" si="145"/>
        <v>0</v>
      </c>
      <c r="LK103" s="138">
        <f t="shared" si="145"/>
        <v>0</v>
      </c>
      <c r="LL103" s="138">
        <f t="shared" si="145"/>
        <v>0</v>
      </c>
      <c r="LM103" s="138">
        <f t="shared" ref="LM103:NX103" si="146">(($C29/12*OR(LM$66,LM$67)*LM71)+(($K29-$C29)/12*LM$67*LM78))*1000</f>
        <v>0</v>
      </c>
      <c r="LN103" s="138">
        <f t="shared" si="146"/>
        <v>0</v>
      </c>
      <c r="LO103" s="138">
        <f t="shared" si="146"/>
        <v>0</v>
      </c>
      <c r="LP103" s="138">
        <f t="shared" si="146"/>
        <v>0</v>
      </c>
      <c r="LQ103" s="138">
        <f t="shared" si="146"/>
        <v>0</v>
      </c>
      <c r="LR103" s="138">
        <f t="shared" si="146"/>
        <v>0</v>
      </c>
      <c r="LS103" s="138">
        <f t="shared" si="146"/>
        <v>0</v>
      </c>
      <c r="LT103" s="138">
        <f t="shared" si="146"/>
        <v>0</v>
      </c>
      <c r="LU103" s="138">
        <f t="shared" si="146"/>
        <v>0</v>
      </c>
      <c r="LV103" s="138">
        <f t="shared" si="146"/>
        <v>0</v>
      </c>
      <c r="LW103" s="138">
        <f t="shared" si="146"/>
        <v>0</v>
      </c>
      <c r="LX103" s="138">
        <f t="shared" si="146"/>
        <v>0</v>
      </c>
      <c r="LY103" s="138">
        <f t="shared" si="146"/>
        <v>0</v>
      </c>
      <c r="LZ103" s="138">
        <f t="shared" si="146"/>
        <v>0</v>
      </c>
      <c r="MA103" s="138">
        <f t="shared" si="146"/>
        <v>0</v>
      </c>
      <c r="MB103" s="138">
        <f t="shared" si="146"/>
        <v>0</v>
      </c>
      <c r="MC103" s="138">
        <f t="shared" si="146"/>
        <v>0</v>
      </c>
      <c r="MD103" s="138">
        <f t="shared" si="146"/>
        <v>0</v>
      </c>
      <c r="ME103" s="138">
        <f t="shared" si="146"/>
        <v>0</v>
      </c>
      <c r="MF103" s="138">
        <f t="shared" si="146"/>
        <v>0</v>
      </c>
      <c r="MG103" s="138">
        <f t="shared" si="146"/>
        <v>0</v>
      </c>
      <c r="MH103" s="138">
        <f t="shared" si="146"/>
        <v>0</v>
      </c>
      <c r="MI103" s="138">
        <f t="shared" si="146"/>
        <v>0</v>
      </c>
      <c r="MJ103" s="138">
        <f t="shared" si="146"/>
        <v>0</v>
      </c>
      <c r="MK103" s="138">
        <f t="shared" si="146"/>
        <v>0</v>
      </c>
      <c r="ML103" s="138">
        <f t="shared" si="146"/>
        <v>0</v>
      </c>
      <c r="MM103" s="138">
        <f t="shared" si="146"/>
        <v>0</v>
      </c>
      <c r="MN103" s="138">
        <f t="shared" si="146"/>
        <v>0</v>
      </c>
      <c r="MO103" s="138">
        <f t="shared" si="146"/>
        <v>0</v>
      </c>
      <c r="MP103" s="138">
        <f t="shared" si="146"/>
        <v>0</v>
      </c>
      <c r="MQ103" s="138">
        <f t="shared" si="146"/>
        <v>0</v>
      </c>
      <c r="MR103" s="138">
        <f t="shared" si="146"/>
        <v>0</v>
      </c>
      <c r="MS103" s="138">
        <f t="shared" si="146"/>
        <v>0</v>
      </c>
      <c r="MT103" s="138">
        <f t="shared" si="146"/>
        <v>0</v>
      </c>
      <c r="MU103" s="138">
        <f t="shared" si="146"/>
        <v>0</v>
      </c>
      <c r="MV103" s="138">
        <f t="shared" si="146"/>
        <v>0</v>
      </c>
      <c r="MW103" s="138">
        <f t="shared" si="146"/>
        <v>0</v>
      </c>
      <c r="MX103" s="138">
        <f t="shared" si="146"/>
        <v>0</v>
      </c>
      <c r="MY103" s="138">
        <f t="shared" si="146"/>
        <v>0</v>
      </c>
      <c r="MZ103" s="138">
        <f t="shared" si="146"/>
        <v>0</v>
      </c>
      <c r="NA103" s="138">
        <f t="shared" si="146"/>
        <v>0</v>
      </c>
      <c r="NB103" s="138">
        <f t="shared" si="146"/>
        <v>0</v>
      </c>
      <c r="NC103" s="138">
        <f t="shared" si="146"/>
        <v>0</v>
      </c>
      <c r="ND103" s="138">
        <f t="shared" si="146"/>
        <v>0</v>
      </c>
      <c r="NE103" s="138">
        <f t="shared" si="146"/>
        <v>0</v>
      </c>
      <c r="NF103" s="138">
        <f t="shared" si="146"/>
        <v>0</v>
      </c>
      <c r="NG103" s="138">
        <f t="shared" si="146"/>
        <v>0</v>
      </c>
      <c r="NH103" s="138">
        <f t="shared" si="146"/>
        <v>0</v>
      </c>
      <c r="NI103" s="138">
        <f t="shared" si="146"/>
        <v>0</v>
      </c>
      <c r="NJ103" s="138">
        <f t="shared" si="146"/>
        <v>0</v>
      </c>
      <c r="NK103" s="138">
        <f t="shared" si="146"/>
        <v>0</v>
      </c>
      <c r="NL103" s="138">
        <f t="shared" si="146"/>
        <v>0</v>
      </c>
      <c r="NM103" s="138">
        <f t="shared" si="146"/>
        <v>0</v>
      </c>
      <c r="NN103" s="138">
        <f t="shared" si="146"/>
        <v>0</v>
      </c>
      <c r="NO103" s="138">
        <f t="shared" si="146"/>
        <v>0</v>
      </c>
      <c r="NP103" s="138">
        <f t="shared" si="146"/>
        <v>0</v>
      </c>
      <c r="NQ103" s="138">
        <f t="shared" si="146"/>
        <v>0</v>
      </c>
      <c r="NR103" s="138">
        <f t="shared" si="146"/>
        <v>0</v>
      </c>
      <c r="NS103" s="138">
        <f t="shared" si="146"/>
        <v>0</v>
      </c>
      <c r="NT103" s="138">
        <f t="shared" si="146"/>
        <v>0</v>
      </c>
      <c r="NU103" s="138">
        <f t="shared" si="146"/>
        <v>0</v>
      </c>
      <c r="NV103" s="138">
        <f t="shared" si="146"/>
        <v>0</v>
      </c>
      <c r="NW103" s="138">
        <f t="shared" si="146"/>
        <v>0</v>
      </c>
      <c r="NX103" s="138">
        <f t="shared" si="146"/>
        <v>0</v>
      </c>
      <c r="NY103" s="138">
        <f t="shared" ref="NY103:QJ103" si="147">(($C29/12*OR(NY$66,NY$67)*NY71)+(($K29-$C29)/12*NY$67*NY78))*1000</f>
        <v>0</v>
      </c>
      <c r="NZ103" s="138">
        <f t="shared" si="147"/>
        <v>0</v>
      </c>
      <c r="OA103" s="138">
        <f t="shared" si="147"/>
        <v>0</v>
      </c>
      <c r="OB103" s="138">
        <f t="shared" si="147"/>
        <v>0</v>
      </c>
      <c r="OC103" s="138">
        <f t="shared" si="147"/>
        <v>0</v>
      </c>
      <c r="OD103" s="138">
        <f t="shared" si="147"/>
        <v>0</v>
      </c>
      <c r="OE103" s="138">
        <f t="shared" si="147"/>
        <v>0</v>
      </c>
      <c r="OF103" s="138">
        <f t="shared" si="147"/>
        <v>0</v>
      </c>
      <c r="OG103" s="138">
        <f t="shared" si="147"/>
        <v>0</v>
      </c>
      <c r="OH103" s="138">
        <f t="shared" si="147"/>
        <v>0</v>
      </c>
      <c r="OI103" s="138">
        <f t="shared" si="147"/>
        <v>0</v>
      </c>
      <c r="OJ103" s="138">
        <f t="shared" si="147"/>
        <v>0</v>
      </c>
      <c r="OK103" s="138">
        <f t="shared" si="147"/>
        <v>0</v>
      </c>
      <c r="OL103" s="138">
        <f t="shared" si="147"/>
        <v>0</v>
      </c>
      <c r="OM103" s="138">
        <f t="shared" si="147"/>
        <v>0</v>
      </c>
      <c r="ON103" s="138">
        <f t="shared" si="147"/>
        <v>0</v>
      </c>
      <c r="OO103" s="138">
        <f t="shared" si="147"/>
        <v>0</v>
      </c>
      <c r="OP103" s="138">
        <f t="shared" si="147"/>
        <v>0</v>
      </c>
      <c r="OQ103" s="138">
        <f t="shared" si="147"/>
        <v>0</v>
      </c>
      <c r="OR103" s="138">
        <f t="shared" si="147"/>
        <v>0</v>
      </c>
      <c r="OS103" s="138">
        <f t="shared" si="147"/>
        <v>0</v>
      </c>
      <c r="OT103" s="138">
        <f t="shared" si="147"/>
        <v>0</v>
      </c>
      <c r="OU103" s="138">
        <f t="shared" si="147"/>
        <v>0</v>
      </c>
      <c r="OV103" s="138">
        <f t="shared" si="147"/>
        <v>0</v>
      </c>
      <c r="OW103" s="138">
        <f t="shared" si="147"/>
        <v>0</v>
      </c>
      <c r="OX103" s="138">
        <f t="shared" si="147"/>
        <v>0</v>
      </c>
      <c r="OY103" s="138">
        <f t="shared" si="147"/>
        <v>0</v>
      </c>
      <c r="OZ103" s="138">
        <f t="shared" si="147"/>
        <v>0</v>
      </c>
      <c r="PA103" s="138">
        <f t="shared" si="147"/>
        <v>0</v>
      </c>
      <c r="PB103" s="138">
        <f t="shared" si="147"/>
        <v>0</v>
      </c>
      <c r="PC103" s="138">
        <f t="shared" si="147"/>
        <v>0</v>
      </c>
      <c r="PD103" s="138">
        <f t="shared" si="147"/>
        <v>0</v>
      </c>
      <c r="PE103" s="138">
        <f t="shared" si="147"/>
        <v>0</v>
      </c>
      <c r="PF103" s="138">
        <f t="shared" si="147"/>
        <v>0</v>
      </c>
      <c r="PG103" s="138">
        <f t="shared" si="147"/>
        <v>0</v>
      </c>
      <c r="PH103" s="138">
        <f t="shared" si="147"/>
        <v>0</v>
      </c>
      <c r="PI103" s="138">
        <f t="shared" si="147"/>
        <v>0</v>
      </c>
      <c r="PJ103" s="138">
        <f t="shared" si="147"/>
        <v>0</v>
      </c>
      <c r="PK103" s="138">
        <f t="shared" si="147"/>
        <v>0</v>
      </c>
      <c r="PL103" s="138">
        <f t="shared" si="147"/>
        <v>0</v>
      </c>
      <c r="PM103" s="138">
        <f t="shared" si="147"/>
        <v>0</v>
      </c>
      <c r="PN103" s="138">
        <f t="shared" si="147"/>
        <v>0</v>
      </c>
      <c r="PO103" s="138">
        <f t="shared" si="147"/>
        <v>0</v>
      </c>
      <c r="PP103" s="138">
        <f t="shared" si="147"/>
        <v>0</v>
      </c>
      <c r="PQ103" s="138">
        <f t="shared" si="147"/>
        <v>0</v>
      </c>
      <c r="PR103" s="138">
        <f t="shared" si="147"/>
        <v>0</v>
      </c>
      <c r="PS103" s="138">
        <f t="shared" si="147"/>
        <v>0</v>
      </c>
      <c r="PT103" s="138">
        <f t="shared" si="147"/>
        <v>0</v>
      </c>
      <c r="PU103" s="138">
        <f t="shared" si="147"/>
        <v>0</v>
      </c>
      <c r="PV103" s="138">
        <f t="shared" si="147"/>
        <v>0</v>
      </c>
      <c r="PW103" s="138">
        <f t="shared" si="147"/>
        <v>0</v>
      </c>
      <c r="PX103" s="138">
        <f t="shared" si="147"/>
        <v>0</v>
      </c>
      <c r="PY103" s="138">
        <f t="shared" si="147"/>
        <v>0</v>
      </c>
      <c r="PZ103" s="138">
        <f t="shared" si="147"/>
        <v>0</v>
      </c>
      <c r="QA103" s="138">
        <f t="shared" si="147"/>
        <v>0</v>
      </c>
      <c r="QB103" s="138">
        <f t="shared" si="147"/>
        <v>0</v>
      </c>
      <c r="QC103" s="138">
        <f t="shared" si="147"/>
        <v>0</v>
      </c>
      <c r="QD103" s="138">
        <f t="shared" si="147"/>
        <v>0</v>
      </c>
      <c r="QE103" s="138">
        <f t="shared" si="147"/>
        <v>0</v>
      </c>
      <c r="QF103" s="138">
        <f t="shared" si="147"/>
        <v>0</v>
      </c>
      <c r="QG103" s="138">
        <f t="shared" si="147"/>
        <v>0</v>
      </c>
      <c r="QH103" s="138">
        <f t="shared" si="147"/>
        <v>0</v>
      </c>
      <c r="QI103" s="138">
        <f t="shared" si="147"/>
        <v>0</v>
      </c>
      <c r="QJ103" s="138">
        <f t="shared" si="147"/>
        <v>0</v>
      </c>
      <c r="QK103" s="138">
        <f t="shared" ref="QK103:RR103" si="148">(($C29/12*OR(QK$66,QK$67)*QK71)+(($K29-$C29)/12*QK$67*QK78))*1000</f>
        <v>0</v>
      </c>
      <c r="QL103" s="138">
        <f t="shared" si="148"/>
        <v>0</v>
      </c>
      <c r="QM103" s="138">
        <f t="shared" si="148"/>
        <v>0</v>
      </c>
      <c r="QN103" s="138">
        <f t="shared" si="148"/>
        <v>0</v>
      </c>
      <c r="QO103" s="138">
        <f t="shared" si="148"/>
        <v>0</v>
      </c>
      <c r="QP103" s="138">
        <f t="shared" si="148"/>
        <v>0</v>
      </c>
      <c r="QQ103" s="138">
        <f t="shared" si="148"/>
        <v>0</v>
      </c>
      <c r="QR103" s="138">
        <f t="shared" si="148"/>
        <v>0</v>
      </c>
      <c r="QS103" s="138">
        <f t="shared" si="148"/>
        <v>0</v>
      </c>
      <c r="QT103" s="138">
        <f t="shared" si="148"/>
        <v>0</v>
      </c>
      <c r="QU103" s="138">
        <f t="shared" si="148"/>
        <v>0</v>
      </c>
      <c r="QV103" s="138">
        <f t="shared" si="148"/>
        <v>0</v>
      </c>
      <c r="QW103" s="138">
        <f t="shared" si="148"/>
        <v>0</v>
      </c>
      <c r="QX103" s="138">
        <f t="shared" si="148"/>
        <v>0</v>
      </c>
      <c r="QY103" s="138">
        <f t="shared" si="148"/>
        <v>0</v>
      </c>
      <c r="QZ103" s="138">
        <f t="shared" si="148"/>
        <v>0</v>
      </c>
      <c r="RA103" s="138">
        <f t="shared" si="148"/>
        <v>0</v>
      </c>
      <c r="RB103" s="138">
        <f t="shared" si="148"/>
        <v>0</v>
      </c>
      <c r="RC103" s="138">
        <f t="shared" si="148"/>
        <v>0</v>
      </c>
      <c r="RD103" s="138">
        <f t="shared" si="148"/>
        <v>0</v>
      </c>
      <c r="RE103" s="138">
        <f t="shared" si="148"/>
        <v>0</v>
      </c>
      <c r="RF103" s="138">
        <f t="shared" si="148"/>
        <v>0</v>
      </c>
      <c r="RG103" s="138">
        <f t="shared" si="148"/>
        <v>0</v>
      </c>
      <c r="RH103" s="138">
        <f t="shared" si="148"/>
        <v>0</v>
      </c>
      <c r="RI103" s="138">
        <f t="shared" si="148"/>
        <v>0</v>
      </c>
      <c r="RJ103" s="138">
        <f t="shared" si="148"/>
        <v>0</v>
      </c>
      <c r="RK103" s="138">
        <f t="shared" si="148"/>
        <v>0</v>
      </c>
      <c r="RL103" s="138">
        <f t="shared" si="148"/>
        <v>0</v>
      </c>
      <c r="RM103" s="138">
        <f t="shared" si="148"/>
        <v>0</v>
      </c>
      <c r="RN103" s="138">
        <f t="shared" si="148"/>
        <v>0</v>
      </c>
      <c r="RO103" s="138">
        <f t="shared" si="148"/>
        <v>0</v>
      </c>
      <c r="RP103" s="138">
        <f t="shared" si="148"/>
        <v>0</v>
      </c>
      <c r="RQ103" s="138">
        <f t="shared" si="148"/>
        <v>0</v>
      </c>
      <c r="RR103" s="138">
        <f t="shared" si="148"/>
        <v>0</v>
      </c>
    </row>
    <row r="104" spans="1:486" s="9" customFormat="1">
      <c r="A104" s="286"/>
      <c r="B104" s="39" t="s">
        <v>134</v>
      </c>
      <c r="E104" s="138">
        <f t="shared" ref="E104:BP104" si="149">(($C30/12*OR(E$66,E$67)*E72)+(($K30-$C30)/12*E$67*E79))*1000</f>
        <v>10092372.064343134</v>
      </c>
      <c r="F104" s="138">
        <f t="shared" si="149"/>
        <v>10092372.064343134</v>
      </c>
      <c r="G104" s="138">
        <f t="shared" si="149"/>
        <v>10092372.064343134</v>
      </c>
      <c r="H104" s="138">
        <f t="shared" si="149"/>
        <v>10092372.064343134</v>
      </c>
      <c r="I104" s="138">
        <f t="shared" si="149"/>
        <v>10092372.064343134</v>
      </c>
      <c r="J104" s="138">
        <f t="shared" si="149"/>
        <v>10092372.064343134</v>
      </c>
      <c r="K104" s="138">
        <f t="shared" si="149"/>
        <v>10092372.064343134</v>
      </c>
      <c r="L104" s="138">
        <f t="shared" si="149"/>
        <v>10092372.064343134</v>
      </c>
      <c r="M104" s="138">
        <f t="shared" si="149"/>
        <v>10092372.064343134</v>
      </c>
      <c r="N104" s="138">
        <f t="shared" si="149"/>
        <v>10092372.064343134</v>
      </c>
      <c r="O104" s="138">
        <f t="shared" si="149"/>
        <v>10092372.064343134</v>
      </c>
      <c r="P104" s="138">
        <f t="shared" si="149"/>
        <v>10092372.064343134</v>
      </c>
      <c r="Q104" s="138">
        <f t="shared" si="149"/>
        <v>10092372.064343134</v>
      </c>
      <c r="R104" s="138">
        <f t="shared" si="149"/>
        <v>10092372.064343134</v>
      </c>
      <c r="S104" s="138">
        <f t="shared" si="149"/>
        <v>10092372.064343134</v>
      </c>
      <c r="T104" s="138">
        <f t="shared" si="149"/>
        <v>10092372.064343134</v>
      </c>
      <c r="U104" s="138">
        <f t="shared" si="149"/>
        <v>10092372.064343134</v>
      </c>
      <c r="V104" s="138">
        <f t="shared" si="149"/>
        <v>10092372.064343134</v>
      </c>
      <c r="W104" s="138">
        <f t="shared" si="149"/>
        <v>10092372.064343134</v>
      </c>
      <c r="X104" s="138">
        <f t="shared" si="149"/>
        <v>10092372.064343134</v>
      </c>
      <c r="Y104" s="138">
        <f t="shared" si="149"/>
        <v>10092372.064343134</v>
      </c>
      <c r="Z104" s="138">
        <f t="shared" si="149"/>
        <v>10092372.064343134</v>
      </c>
      <c r="AA104" s="138">
        <f t="shared" si="149"/>
        <v>10092372.064343134</v>
      </c>
      <c r="AB104" s="138">
        <f t="shared" si="149"/>
        <v>10092372.064343134</v>
      </c>
      <c r="AC104" s="138">
        <f t="shared" si="149"/>
        <v>10092372.064343134</v>
      </c>
      <c r="AD104" s="138">
        <f t="shared" si="149"/>
        <v>10092372.064343134</v>
      </c>
      <c r="AE104" s="138">
        <f t="shared" si="149"/>
        <v>10092372.064343134</v>
      </c>
      <c r="AF104" s="138">
        <f t="shared" si="149"/>
        <v>10092372.064343134</v>
      </c>
      <c r="AG104" s="138">
        <f t="shared" si="149"/>
        <v>10092372.064343134</v>
      </c>
      <c r="AH104" s="138">
        <f t="shared" si="149"/>
        <v>10092372.064343134</v>
      </c>
      <c r="AI104" s="138">
        <f t="shared" si="149"/>
        <v>10092372.064343134</v>
      </c>
      <c r="AJ104" s="138">
        <f t="shared" si="149"/>
        <v>10092372.064343134</v>
      </c>
      <c r="AK104" s="138">
        <f t="shared" si="149"/>
        <v>10092372.064343134</v>
      </c>
      <c r="AL104" s="138">
        <f t="shared" si="149"/>
        <v>10092372.064343134</v>
      </c>
      <c r="AM104" s="138">
        <f t="shared" si="149"/>
        <v>10092372.064343134</v>
      </c>
      <c r="AN104" s="138">
        <f t="shared" si="149"/>
        <v>10092372.064343134</v>
      </c>
      <c r="AO104" s="138">
        <f t="shared" si="149"/>
        <v>10092372.064343134</v>
      </c>
      <c r="AP104" s="138">
        <f t="shared" si="149"/>
        <v>10092372.064343134</v>
      </c>
      <c r="AQ104" s="138">
        <f t="shared" si="149"/>
        <v>10092372.064343134</v>
      </c>
      <c r="AR104" s="138">
        <f t="shared" si="149"/>
        <v>10092372.064343134</v>
      </c>
      <c r="AS104" s="138">
        <f t="shared" si="149"/>
        <v>10092372.064343134</v>
      </c>
      <c r="AT104" s="138">
        <f t="shared" si="149"/>
        <v>10092372.064343134</v>
      </c>
      <c r="AU104" s="138">
        <f t="shared" si="149"/>
        <v>10092372.064343134</v>
      </c>
      <c r="AV104" s="138">
        <f t="shared" si="149"/>
        <v>10092372.064343134</v>
      </c>
      <c r="AW104" s="138">
        <f t="shared" si="149"/>
        <v>10092372.064343134</v>
      </c>
      <c r="AX104" s="138">
        <f t="shared" si="149"/>
        <v>10092372.064343134</v>
      </c>
      <c r="AY104" s="138">
        <f t="shared" si="149"/>
        <v>10092372.064343134</v>
      </c>
      <c r="AZ104" s="138">
        <f t="shared" si="149"/>
        <v>10092372.064343134</v>
      </c>
      <c r="BA104" s="138">
        <f t="shared" si="149"/>
        <v>10092372.064343134</v>
      </c>
      <c r="BB104" s="138">
        <f t="shared" si="149"/>
        <v>10092372.064343134</v>
      </c>
      <c r="BC104" s="138">
        <f t="shared" si="149"/>
        <v>10092372.064343134</v>
      </c>
      <c r="BD104" s="138">
        <f t="shared" si="149"/>
        <v>10092372.064343134</v>
      </c>
      <c r="BE104" s="138">
        <f t="shared" si="149"/>
        <v>10092372.064343134</v>
      </c>
      <c r="BF104" s="138">
        <f t="shared" si="149"/>
        <v>10092372.064343134</v>
      </c>
      <c r="BG104" s="138">
        <f t="shared" si="149"/>
        <v>10092372.064343134</v>
      </c>
      <c r="BH104" s="138">
        <f t="shared" si="149"/>
        <v>10092372.064343134</v>
      </c>
      <c r="BI104" s="138">
        <f t="shared" si="149"/>
        <v>10092372.064343134</v>
      </c>
      <c r="BJ104" s="138">
        <f t="shared" si="149"/>
        <v>10092372.064343134</v>
      </c>
      <c r="BK104" s="138">
        <f t="shared" si="149"/>
        <v>10092372.064343134</v>
      </c>
      <c r="BL104" s="138">
        <f t="shared" si="149"/>
        <v>10092372.064343134</v>
      </c>
      <c r="BM104" s="138">
        <f t="shared" si="149"/>
        <v>23528223.223940793</v>
      </c>
      <c r="BN104" s="138">
        <f t="shared" si="149"/>
        <v>23528223.223940793</v>
      </c>
      <c r="BO104" s="138">
        <f t="shared" si="149"/>
        <v>23528223.223940793</v>
      </c>
      <c r="BP104" s="138">
        <f t="shared" si="149"/>
        <v>23528223.223940793</v>
      </c>
      <c r="BQ104" s="138">
        <f t="shared" ref="BQ104:EB104" si="150">(($C30/12*OR(BQ$66,BQ$67)*BQ72)+(($K30-$C30)/12*BQ$67*BQ79))*1000</f>
        <v>23528223.223940793</v>
      </c>
      <c r="BR104" s="138">
        <f t="shared" si="150"/>
        <v>23528223.223940793</v>
      </c>
      <c r="BS104" s="138">
        <f t="shared" si="150"/>
        <v>23528223.223940793</v>
      </c>
      <c r="BT104" s="138">
        <f t="shared" si="150"/>
        <v>23528223.223940793</v>
      </c>
      <c r="BU104" s="138">
        <f t="shared" si="150"/>
        <v>23528223.223940793</v>
      </c>
      <c r="BV104" s="138">
        <f t="shared" si="150"/>
        <v>23528223.223940793</v>
      </c>
      <c r="BW104" s="138">
        <f t="shared" si="150"/>
        <v>23528223.223940793</v>
      </c>
      <c r="BX104" s="138">
        <f t="shared" si="150"/>
        <v>23528223.223940793</v>
      </c>
      <c r="BY104" s="138">
        <f t="shared" si="150"/>
        <v>23528223.223940793</v>
      </c>
      <c r="BZ104" s="138">
        <f t="shared" si="150"/>
        <v>23528223.223940793</v>
      </c>
      <c r="CA104" s="138">
        <f t="shared" si="150"/>
        <v>23528223.223940793</v>
      </c>
      <c r="CB104" s="138">
        <f t="shared" si="150"/>
        <v>23528223.223940793</v>
      </c>
      <c r="CC104" s="138">
        <f t="shared" si="150"/>
        <v>23528223.223940793</v>
      </c>
      <c r="CD104" s="138">
        <f t="shared" si="150"/>
        <v>23528223.223940793</v>
      </c>
      <c r="CE104" s="138">
        <f t="shared" si="150"/>
        <v>23528223.223940793</v>
      </c>
      <c r="CF104" s="138">
        <f t="shared" si="150"/>
        <v>23528223.223940793</v>
      </c>
      <c r="CG104" s="138">
        <f t="shared" si="150"/>
        <v>23528223.223940793</v>
      </c>
      <c r="CH104" s="138">
        <f t="shared" si="150"/>
        <v>23528223.223940793</v>
      </c>
      <c r="CI104" s="138">
        <f t="shared" si="150"/>
        <v>23528223.223940793</v>
      </c>
      <c r="CJ104" s="138">
        <f t="shared" si="150"/>
        <v>23528223.223940793</v>
      </c>
      <c r="CK104" s="138">
        <f t="shared" si="150"/>
        <v>23528223.223940793</v>
      </c>
      <c r="CL104" s="138">
        <f t="shared" si="150"/>
        <v>23528223.223940793</v>
      </c>
      <c r="CM104" s="138">
        <f t="shared" si="150"/>
        <v>23528223.223940793</v>
      </c>
      <c r="CN104" s="138">
        <f t="shared" si="150"/>
        <v>23528223.223940793</v>
      </c>
      <c r="CO104" s="138">
        <f t="shared" si="150"/>
        <v>23528223.223940793</v>
      </c>
      <c r="CP104" s="138">
        <f t="shared" si="150"/>
        <v>23528223.223940793</v>
      </c>
      <c r="CQ104" s="138">
        <f t="shared" si="150"/>
        <v>23528223.223940793</v>
      </c>
      <c r="CR104" s="138">
        <f t="shared" si="150"/>
        <v>23528223.223940793</v>
      </c>
      <c r="CS104" s="138">
        <f t="shared" si="150"/>
        <v>23528223.223940793</v>
      </c>
      <c r="CT104" s="138">
        <f t="shared" si="150"/>
        <v>23528223.223940793</v>
      </c>
      <c r="CU104" s="138">
        <f t="shared" si="150"/>
        <v>23528223.223940793</v>
      </c>
      <c r="CV104" s="138">
        <f t="shared" si="150"/>
        <v>23528223.223940793</v>
      </c>
      <c r="CW104" s="138">
        <f t="shared" si="150"/>
        <v>23528223.223940793</v>
      </c>
      <c r="CX104" s="138">
        <f t="shared" si="150"/>
        <v>23528223.223940793</v>
      </c>
      <c r="CY104" s="138">
        <f t="shared" si="150"/>
        <v>23528223.223940793</v>
      </c>
      <c r="CZ104" s="138">
        <f t="shared" si="150"/>
        <v>23528223.223940793</v>
      </c>
      <c r="DA104" s="138">
        <f t="shared" si="150"/>
        <v>23528223.223940793</v>
      </c>
      <c r="DB104" s="138">
        <f t="shared" si="150"/>
        <v>23528223.223940793</v>
      </c>
      <c r="DC104" s="138">
        <f t="shared" si="150"/>
        <v>23528223.223940793</v>
      </c>
      <c r="DD104" s="138">
        <f t="shared" si="150"/>
        <v>23528223.223940793</v>
      </c>
      <c r="DE104" s="138">
        <f t="shared" si="150"/>
        <v>23528223.223940793</v>
      </c>
      <c r="DF104" s="138">
        <f t="shared" si="150"/>
        <v>23528223.223940793</v>
      </c>
      <c r="DG104" s="138">
        <f t="shared" si="150"/>
        <v>23528223.223940793</v>
      </c>
      <c r="DH104" s="138">
        <f t="shared" si="150"/>
        <v>23528223.223940793</v>
      </c>
      <c r="DI104" s="138">
        <f t="shared" si="150"/>
        <v>23528223.223940793</v>
      </c>
      <c r="DJ104" s="138">
        <f t="shared" si="150"/>
        <v>23528223.223940793</v>
      </c>
      <c r="DK104" s="138">
        <f t="shared" si="150"/>
        <v>23528223.223940793</v>
      </c>
      <c r="DL104" s="138">
        <f t="shared" si="150"/>
        <v>23528223.223940793</v>
      </c>
      <c r="DM104" s="138">
        <f t="shared" si="150"/>
        <v>23528223.223940793</v>
      </c>
      <c r="DN104" s="138">
        <f t="shared" si="150"/>
        <v>23528223.223940793</v>
      </c>
      <c r="DO104" s="138">
        <f t="shared" si="150"/>
        <v>23528223.223940793</v>
      </c>
      <c r="DP104" s="138">
        <f t="shared" si="150"/>
        <v>23528223.223940793</v>
      </c>
      <c r="DQ104" s="138">
        <f t="shared" si="150"/>
        <v>23528223.223940793</v>
      </c>
      <c r="DR104" s="138">
        <f t="shared" si="150"/>
        <v>23528223.223940793</v>
      </c>
      <c r="DS104" s="138">
        <f t="shared" si="150"/>
        <v>23528223.223940793</v>
      </c>
      <c r="DT104" s="138">
        <f t="shared" si="150"/>
        <v>23528223.223940793</v>
      </c>
      <c r="DU104" s="138">
        <f t="shared" si="150"/>
        <v>23528223.223940793</v>
      </c>
      <c r="DV104" s="138">
        <f t="shared" si="150"/>
        <v>23528223.223940793</v>
      </c>
      <c r="DW104" s="138">
        <f t="shared" si="150"/>
        <v>23528223.223940793</v>
      </c>
      <c r="DX104" s="138">
        <f t="shared" si="150"/>
        <v>23528223.223940793</v>
      </c>
      <c r="DY104" s="138">
        <f t="shared" si="150"/>
        <v>23528223.223940793</v>
      </c>
      <c r="DZ104" s="138">
        <f t="shared" si="150"/>
        <v>23528223.223940793</v>
      </c>
      <c r="EA104" s="138">
        <f t="shared" si="150"/>
        <v>23528223.223940793</v>
      </c>
      <c r="EB104" s="138">
        <f t="shared" si="150"/>
        <v>23528223.223940793</v>
      </c>
      <c r="EC104" s="138">
        <f t="shared" ref="EC104:GN104" si="151">(($C30/12*OR(EC$66,EC$67)*EC72)+(($K30-$C30)/12*EC$67*EC79))*1000</f>
        <v>23528223.223940793</v>
      </c>
      <c r="ED104" s="138">
        <f t="shared" si="151"/>
        <v>23528223.223940793</v>
      </c>
      <c r="EE104" s="138">
        <f t="shared" si="151"/>
        <v>23528223.223940793</v>
      </c>
      <c r="EF104" s="138">
        <f t="shared" si="151"/>
        <v>23528223.223940793</v>
      </c>
      <c r="EG104" s="138">
        <f t="shared" si="151"/>
        <v>23528223.223940793</v>
      </c>
      <c r="EH104" s="138">
        <f t="shared" si="151"/>
        <v>23528223.223940793</v>
      </c>
      <c r="EI104" s="138">
        <f t="shared" si="151"/>
        <v>23528223.223940793</v>
      </c>
      <c r="EJ104" s="138">
        <f t="shared" si="151"/>
        <v>23528223.223940793</v>
      </c>
      <c r="EK104" s="138">
        <f t="shared" si="151"/>
        <v>23528223.223940793</v>
      </c>
      <c r="EL104" s="138">
        <f t="shared" si="151"/>
        <v>23528223.223940793</v>
      </c>
      <c r="EM104" s="138">
        <f t="shared" si="151"/>
        <v>23528223.223940793</v>
      </c>
      <c r="EN104" s="138">
        <f t="shared" si="151"/>
        <v>23528223.223940793</v>
      </c>
      <c r="EO104" s="138">
        <f t="shared" si="151"/>
        <v>23528223.223940793</v>
      </c>
      <c r="EP104" s="138">
        <f t="shared" si="151"/>
        <v>23528223.223940793</v>
      </c>
      <c r="EQ104" s="138">
        <f t="shared" si="151"/>
        <v>23528223.223940793</v>
      </c>
      <c r="ER104" s="138">
        <f t="shared" si="151"/>
        <v>23528223.223940793</v>
      </c>
      <c r="ES104" s="138">
        <f t="shared" si="151"/>
        <v>23528223.223940793</v>
      </c>
      <c r="ET104" s="138">
        <f t="shared" si="151"/>
        <v>23528223.223940793</v>
      </c>
      <c r="EU104" s="138">
        <f t="shared" si="151"/>
        <v>23528223.223940793</v>
      </c>
      <c r="EV104" s="138">
        <f t="shared" si="151"/>
        <v>23528223.223940793</v>
      </c>
      <c r="EW104" s="138">
        <f t="shared" si="151"/>
        <v>23528223.223940793</v>
      </c>
      <c r="EX104" s="138">
        <f t="shared" si="151"/>
        <v>23528223.223940793</v>
      </c>
      <c r="EY104" s="138">
        <f t="shared" si="151"/>
        <v>23528223.223940793</v>
      </c>
      <c r="EZ104" s="138">
        <f t="shared" si="151"/>
        <v>23528223.223940793</v>
      </c>
      <c r="FA104" s="138">
        <f t="shared" si="151"/>
        <v>23528223.223940793</v>
      </c>
      <c r="FB104" s="138">
        <f t="shared" si="151"/>
        <v>23528223.223940793</v>
      </c>
      <c r="FC104" s="138">
        <f t="shared" si="151"/>
        <v>23528223.223940793</v>
      </c>
      <c r="FD104" s="138">
        <f t="shared" si="151"/>
        <v>23528223.223940793</v>
      </c>
      <c r="FE104" s="138">
        <f t="shared" si="151"/>
        <v>23528223.223940793</v>
      </c>
      <c r="FF104" s="138">
        <f t="shared" si="151"/>
        <v>23528223.223940793</v>
      </c>
      <c r="FG104" s="138">
        <f t="shared" si="151"/>
        <v>23528223.223940793</v>
      </c>
      <c r="FH104" s="138">
        <f t="shared" si="151"/>
        <v>23528223.223940793</v>
      </c>
      <c r="FI104" s="138">
        <f t="shared" si="151"/>
        <v>23528223.223940793</v>
      </c>
      <c r="FJ104" s="138">
        <f t="shared" si="151"/>
        <v>23528223.223940793</v>
      </c>
      <c r="FK104" s="138">
        <f t="shared" si="151"/>
        <v>23528223.223940793</v>
      </c>
      <c r="FL104" s="138">
        <f t="shared" si="151"/>
        <v>23528223.223940793</v>
      </c>
      <c r="FM104" s="138">
        <f t="shared" si="151"/>
        <v>23528223.223940793</v>
      </c>
      <c r="FN104" s="138">
        <f t="shared" si="151"/>
        <v>23528223.223940793</v>
      </c>
      <c r="FO104" s="138">
        <f t="shared" si="151"/>
        <v>23528223.223940793</v>
      </c>
      <c r="FP104" s="138">
        <f t="shared" si="151"/>
        <v>23528223.223940793</v>
      </c>
      <c r="FQ104" s="138">
        <f t="shared" si="151"/>
        <v>23528223.223940793</v>
      </c>
      <c r="FR104" s="138">
        <f t="shared" si="151"/>
        <v>23528223.223940793</v>
      </c>
      <c r="FS104" s="138">
        <f t="shared" si="151"/>
        <v>23528223.223940793</v>
      </c>
      <c r="FT104" s="138">
        <f t="shared" si="151"/>
        <v>23528223.223940793</v>
      </c>
      <c r="FU104" s="138">
        <f t="shared" si="151"/>
        <v>23528223.223940793</v>
      </c>
      <c r="FV104" s="138">
        <f t="shared" si="151"/>
        <v>23528223.223940793</v>
      </c>
      <c r="FW104" s="138">
        <f t="shared" si="151"/>
        <v>23528223.223940793</v>
      </c>
      <c r="FX104" s="138">
        <f t="shared" si="151"/>
        <v>23528223.223940793</v>
      </c>
      <c r="FY104" s="138">
        <f t="shared" si="151"/>
        <v>23528223.223940793</v>
      </c>
      <c r="FZ104" s="138">
        <f t="shared" si="151"/>
        <v>23528223.223940793</v>
      </c>
      <c r="GA104" s="138">
        <f t="shared" si="151"/>
        <v>23528223.223940793</v>
      </c>
      <c r="GB104" s="138">
        <f t="shared" si="151"/>
        <v>23528223.223940793</v>
      </c>
      <c r="GC104" s="138">
        <f t="shared" si="151"/>
        <v>23528223.223940793</v>
      </c>
      <c r="GD104" s="138">
        <f t="shared" si="151"/>
        <v>23528223.223940793</v>
      </c>
      <c r="GE104" s="138">
        <f t="shared" si="151"/>
        <v>23528223.223940793</v>
      </c>
      <c r="GF104" s="138">
        <f t="shared" si="151"/>
        <v>23528223.223940793</v>
      </c>
      <c r="GG104" s="138">
        <f t="shared" si="151"/>
        <v>23528223.223940793</v>
      </c>
      <c r="GH104" s="138">
        <f t="shared" si="151"/>
        <v>23528223.223940793</v>
      </c>
      <c r="GI104" s="138">
        <f t="shared" si="151"/>
        <v>23528223.223940793</v>
      </c>
      <c r="GJ104" s="138">
        <f t="shared" si="151"/>
        <v>23528223.223940793</v>
      </c>
      <c r="GK104" s="138">
        <f t="shared" si="151"/>
        <v>23528223.223940793</v>
      </c>
      <c r="GL104" s="138">
        <f t="shared" si="151"/>
        <v>23528223.223940793</v>
      </c>
      <c r="GM104" s="138">
        <f t="shared" si="151"/>
        <v>23528223.223940793</v>
      </c>
      <c r="GN104" s="138">
        <f t="shared" si="151"/>
        <v>23528223.223940793</v>
      </c>
      <c r="GO104" s="138">
        <f t="shared" ref="GO104:IZ104" si="152">(($C30/12*OR(GO$66,GO$67)*GO72)+(($K30-$C30)/12*GO$67*GO79))*1000</f>
        <v>23528223.223940793</v>
      </c>
      <c r="GP104" s="138">
        <f t="shared" si="152"/>
        <v>23528223.223940793</v>
      </c>
      <c r="GQ104" s="138">
        <f t="shared" si="152"/>
        <v>23528223.223940793</v>
      </c>
      <c r="GR104" s="138">
        <f t="shared" si="152"/>
        <v>23528223.223940793</v>
      </c>
      <c r="GS104" s="138">
        <f t="shared" si="152"/>
        <v>23528223.223940793</v>
      </c>
      <c r="GT104" s="138">
        <f t="shared" si="152"/>
        <v>23528223.223940793</v>
      </c>
      <c r="GU104" s="138">
        <f t="shared" si="152"/>
        <v>23528223.223940793</v>
      </c>
      <c r="GV104" s="138">
        <f t="shared" si="152"/>
        <v>23528223.223940793</v>
      </c>
      <c r="GW104" s="138">
        <f t="shared" si="152"/>
        <v>23528223.223940793</v>
      </c>
      <c r="GX104" s="138">
        <f t="shared" si="152"/>
        <v>23528223.223940793</v>
      </c>
      <c r="GY104" s="138">
        <f t="shared" si="152"/>
        <v>23528223.223940793</v>
      </c>
      <c r="GZ104" s="138">
        <f t="shared" si="152"/>
        <v>23528223.223940793</v>
      </c>
      <c r="HA104" s="138">
        <f t="shared" si="152"/>
        <v>23528223.223940793</v>
      </c>
      <c r="HB104" s="138">
        <f t="shared" si="152"/>
        <v>23528223.223940793</v>
      </c>
      <c r="HC104" s="138">
        <f t="shared" si="152"/>
        <v>23528223.223940793</v>
      </c>
      <c r="HD104" s="138">
        <f t="shared" si="152"/>
        <v>23528223.223940793</v>
      </c>
      <c r="HE104" s="138">
        <f t="shared" si="152"/>
        <v>23528223.223940793</v>
      </c>
      <c r="HF104" s="138">
        <f t="shared" si="152"/>
        <v>23528223.223940793</v>
      </c>
      <c r="HG104" s="138">
        <f t="shared" si="152"/>
        <v>23528223.223940793</v>
      </c>
      <c r="HH104" s="138">
        <f t="shared" si="152"/>
        <v>23528223.223940793</v>
      </c>
      <c r="HI104" s="138">
        <f t="shared" si="152"/>
        <v>23528223.223940793</v>
      </c>
      <c r="HJ104" s="138">
        <f t="shared" si="152"/>
        <v>23528223.223940793</v>
      </c>
      <c r="HK104" s="138">
        <f t="shared" si="152"/>
        <v>23528223.223940793</v>
      </c>
      <c r="HL104" s="138">
        <f t="shared" si="152"/>
        <v>23528223.223940793</v>
      </c>
      <c r="HM104" s="138">
        <f t="shared" si="152"/>
        <v>23528223.223940793</v>
      </c>
      <c r="HN104" s="138">
        <f t="shared" si="152"/>
        <v>23528223.223940793</v>
      </c>
      <c r="HO104" s="138">
        <f t="shared" si="152"/>
        <v>23528223.223940793</v>
      </c>
      <c r="HP104" s="138">
        <f t="shared" si="152"/>
        <v>23528223.223940793</v>
      </c>
      <c r="HQ104" s="138">
        <f t="shared" si="152"/>
        <v>23528223.223940793</v>
      </c>
      <c r="HR104" s="138">
        <f t="shared" si="152"/>
        <v>23528223.223940793</v>
      </c>
      <c r="HS104" s="138">
        <f t="shared" si="152"/>
        <v>23528223.223940793</v>
      </c>
      <c r="HT104" s="138">
        <f t="shared" si="152"/>
        <v>23528223.223940793</v>
      </c>
      <c r="HU104" s="138">
        <f t="shared" si="152"/>
        <v>23528223.223940793</v>
      </c>
      <c r="HV104" s="138">
        <f t="shared" si="152"/>
        <v>23528223.223940793</v>
      </c>
      <c r="HW104" s="138">
        <f t="shared" si="152"/>
        <v>23528223.223940793</v>
      </c>
      <c r="HX104" s="138">
        <f t="shared" si="152"/>
        <v>23528223.223940793</v>
      </c>
      <c r="HY104" s="138">
        <f t="shared" si="152"/>
        <v>23528223.223940793</v>
      </c>
      <c r="HZ104" s="138">
        <f t="shared" si="152"/>
        <v>23528223.223940793</v>
      </c>
      <c r="IA104" s="138">
        <f t="shared" si="152"/>
        <v>23528223.223940793</v>
      </c>
      <c r="IB104" s="138">
        <f t="shared" si="152"/>
        <v>23528223.223940793</v>
      </c>
      <c r="IC104" s="138">
        <f t="shared" si="152"/>
        <v>23528223.223940793</v>
      </c>
      <c r="ID104" s="138">
        <f t="shared" si="152"/>
        <v>23528223.223940793</v>
      </c>
      <c r="IE104" s="138">
        <f t="shared" si="152"/>
        <v>23528223.223940793</v>
      </c>
      <c r="IF104" s="138">
        <f t="shared" si="152"/>
        <v>23528223.223940793</v>
      </c>
      <c r="IG104" s="138">
        <f t="shared" si="152"/>
        <v>23528223.223940793</v>
      </c>
      <c r="IH104" s="138">
        <f t="shared" si="152"/>
        <v>23528223.223940793</v>
      </c>
      <c r="II104" s="138">
        <f t="shared" si="152"/>
        <v>23528223.223940793</v>
      </c>
      <c r="IJ104" s="138">
        <f t="shared" si="152"/>
        <v>23528223.223940793</v>
      </c>
      <c r="IK104" s="138">
        <f t="shared" si="152"/>
        <v>0</v>
      </c>
      <c r="IL104" s="138">
        <f t="shared" si="152"/>
        <v>0</v>
      </c>
      <c r="IM104" s="138">
        <f t="shared" si="152"/>
        <v>0</v>
      </c>
      <c r="IN104" s="138">
        <f t="shared" si="152"/>
        <v>0</v>
      </c>
      <c r="IO104" s="138">
        <f t="shared" si="152"/>
        <v>0</v>
      </c>
      <c r="IP104" s="138">
        <f t="shared" si="152"/>
        <v>0</v>
      </c>
      <c r="IQ104" s="138">
        <f t="shared" si="152"/>
        <v>0</v>
      </c>
      <c r="IR104" s="138">
        <f t="shared" si="152"/>
        <v>0</v>
      </c>
      <c r="IS104" s="138">
        <f t="shared" si="152"/>
        <v>0</v>
      </c>
      <c r="IT104" s="138">
        <f t="shared" si="152"/>
        <v>0</v>
      </c>
      <c r="IU104" s="138">
        <f t="shared" si="152"/>
        <v>0</v>
      </c>
      <c r="IV104" s="138">
        <f t="shared" si="152"/>
        <v>0</v>
      </c>
      <c r="IW104" s="138">
        <f t="shared" si="152"/>
        <v>0</v>
      </c>
      <c r="IX104" s="138">
        <f t="shared" si="152"/>
        <v>0</v>
      </c>
      <c r="IY104" s="138">
        <f t="shared" si="152"/>
        <v>0</v>
      </c>
      <c r="IZ104" s="138">
        <f t="shared" si="152"/>
        <v>0</v>
      </c>
      <c r="JA104" s="138">
        <f t="shared" ref="JA104:LL104" si="153">(($C30/12*OR(JA$66,JA$67)*JA72)+(($K30-$C30)/12*JA$67*JA79))*1000</f>
        <v>0</v>
      </c>
      <c r="JB104" s="138">
        <f t="shared" si="153"/>
        <v>0</v>
      </c>
      <c r="JC104" s="138">
        <f t="shared" si="153"/>
        <v>0</v>
      </c>
      <c r="JD104" s="138">
        <f t="shared" si="153"/>
        <v>0</v>
      </c>
      <c r="JE104" s="138">
        <f t="shared" si="153"/>
        <v>0</v>
      </c>
      <c r="JF104" s="138">
        <f t="shared" si="153"/>
        <v>0</v>
      </c>
      <c r="JG104" s="138">
        <f t="shared" si="153"/>
        <v>0</v>
      </c>
      <c r="JH104" s="138">
        <f t="shared" si="153"/>
        <v>0</v>
      </c>
      <c r="JI104" s="138">
        <f t="shared" si="153"/>
        <v>0</v>
      </c>
      <c r="JJ104" s="138">
        <f t="shared" si="153"/>
        <v>0</v>
      </c>
      <c r="JK104" s="138">
        <f t="shared" si="153"/>
        <v>0</v>
      </c>
      <c r="JL104" s="138">
        <f t="shared" si="153"/>
        <v>0</v>
      </c>
      <c r="JM104" s="138">
        <f t="shared" si="153"/>
        <v>0</v>
      </c>
      <c r="JN104" s="138">
        <f t="shared" si="153"/>
        <v>0</v>
      </c>
      <c r="JO104" s="138">
        <f t="shared" si="153"/>
        <v>0</v>
      </c>
      <c r="JP104" s="138">
        <f t="shared" si="153"/>
        <v>0</v>
      </c>
      <c r="JQ104" s="138">
        <f t="shared" si="153"/>
        <v>0</v>
      </c>
      <c r="JR104" s="138">
        <f t="shared" si="153"/>
        <v>0</v>
      </c>
      <c r="JS104" s="138">
        <f t="shared" si="153"/>
        <v>0</v>
      </c>
      <c r="JT104" s="138">
        <f t="shared" si="153"/>
        <v>0</v>
      </c>
      <c r="JU104" s="138">
        <f t="shared" si="153"/>
        <v>0</v>
      </c>
      <c r="JV104" s="138">
        <f t="shared" si="153"/>
        <v>0</v>
      </c>
      <c r="JW104" s="138">
        <f t="shared" si="153"/>
        <v>0</v>
      </c>
      <c r="JX104" s="138">
        <f t="shared" si="153"/>
        <v>0</v>
      </c>
      <c r="JY104" s="138">
        <f t="shared" si="153"/>
        <v>0</v>
      </c>
      <c r="JZ104" s="138">
        <f t="shared" si="153"/>
        <v>0</v>
      </c>
      <c r="KA104" s="138">
        <f t="shared" si="153"/>
        <v>0</v>
      </c>
      <c r="KB104" s="138">
        <f t="shared" si="153"/>
        <v>0</v>
      </c>
      <c r="KC104" s="138">
        <f t="shared" si="153"/>
        <v>0</v>
      </c>
      <c r="KD104" s="138">
        <f t="shared" si="153"/>
        <v>0</v>
      </c>
      <c r="KE104" s="138">
        <f t="shared" si="153"/>
        <v>0</v>
      </c>
      <c r="KF104" s="138">
        <f t="shared" si="153"/>
        <v>0</v>
      </c>
      <c r="KG104" s="138">
        <f t="shared" si="153"/>
        <v>0</v>
      </c>
      <c r="KH104" s="138">
        <f t="shared" si="153"/>
        <v>0</v>
      </c>
      <c r="KI104" s="138">
        <f t="shared" si="153"/>
        <v>0</v>
      </c>
      <c r="KJ104" s="138">
        <f t="shared" si="153"/>
        <v>0</v>
      </c>
      <c r="KK104" s="138">
        <f t="shared" si="153"/>
        <v>0</v>
      </c>
      <c r="KL104" s="138">
        <f t="shared" si="153"/>
        <v>0</v>
      </c>
      <c r="KM104" s="138">
        <f t="shared" si="153"/>
        <v>0</v>
      </c>
      <c r="KN104" s="138">
        <f t="shared" si="153"/>
        <v>0</v>
      </c>
      <c r="KO104" s="138">
        <f t="shared" si="153"/>
        <v>0</v>
      </c>
      <c r="KP104" s="138">
        <f t="shared" si="153"/>
        <v>0</v>
      </c>
      <c r="KQ104" s="138">
        <f t="shared" si="153"/>
        <v>0</v>
      </c>
      <c r="KR104" s="138">
        <f t="shared" si="153"/>
        <v>0</v>
      </c>
      <c r="KS104" s="138">
        <f t="shared" si="153"/>
        <v>0</v>
      </c>
      <c r="KT104" s="138">
        <f t="shared" si="153"/>
        <v>0</v>
      </c>
      <c r="KU104" s="138">
        <f t="shared" si="153"/>
        <v>0</v>
      </c>
      <c r="KV104" s="138">
        <f t="shared" si="153"/>
        <v>0</v>
      </c>
      <c r="KW104" s="138">
        <f t="shared" si="153"/>
        <v>0</v>
      </c>
      <c r="KX104" s="138">
        <f t="shared" si="153"/>
        <v>0</v>
      </c>
      <c r="KY104" s="138">
        <f t="shared" si="153"/>
        <v>0</v>
      </c>
      <c r="KZ104" s="138">
        <f t="shared" si="153"/>
        <v>0</v>
      </c>
      <c r="LA104" s="138">
        <f t="shared" si="153"/>
        <v>0</v>
      </c>
      <c r="LB104" s="138">
        <f t="shared" si="153"/>
        <v>0</v>
      </c>
      <c r="LC104" s="138">
        <f t="shared" si="153"/>
        <v>0</v>
      </c>
      <c r="LD104" s="138">
        <f t="shared" si="153"/>
        <v>0</v>
      </c>
      <c r="LE104" s="138">
        <f t="shared" si="153"/>
        <v>0</v>
      </c>
      <c r="LF104" s="138">
        <f t="shared" si="153"/>
        <v>0</v>
      </c>
      <c r="LG104" s="138">
        <f t="shared" si="153"/>
        <v>0</v>
      </c>
      <c r="LH104" s="138">
        <f t="shared" si="153"/>
        <v>0</v>
      </c>
      <c r="LI104" s="138">
        <f t="shared" si="153"/>
        <v>0</v>
      </c>
      <c r="LJ104" s="138">
        <f t="shared" si="153"/>
        <v>0</v>
      </c>
      <c r="LK104" s="138">
        <f t="shared" si="153"/>
        <v>0</v>
      </c>
      <c r="LL104" s="138">
        <f t="shared" si="153"/>
        <v>0</v>
      </c>
      <c r="LM104" s="138">
        <f t="shared" ref="LM104:NX104" si="154">(($C30/12*OR(LM$66,LM$67)*LM72)+(($K30-$C30)/12*LM$67*LM79))*1000</f>
        <v>0</v>
      </c>
      <c r="LN104" s="138">
        <f t="shared" si="154"/>
        <v>0</v>
      </c>
      <c r="LO104" s="138">
        <f t="shared" si="154"/>
        <v>0</v>
      </c>
      <c r="LP104" s="138">
        <f t="shared" si="154"/>
        <v>0</v>
      </c>
      <c r="LQ104" s="138">
        <f t="shared" si="154"/>
        <v>0</v>
      </c>
      <c r="LR104" s="138">
        <f t="shared" si="154"/>
        <v>0</v>
      </c>
      <c r="LS104" s="138">
        <f t="shared" si="154"/>
        <v>0</v>
      </c>
      <c r="LT104" s="138">
        <f t="shared" si="154"/>
        <v>0</v>
      </c>
      <c r="LU104" s="138">
        <f t="shared" si="154"/>
        <v>0</v>
      </c>
      <c r="LV104" s="138">
        <f t="shared" si="154"/>
        <v>0</v>
      </c>
      <c r="LW104" s="138">
        <f t="shared" si="154"/>
        <v>0</v>
      </c>
      <c r="LX104" s="138">
        <f t="shared" si="154"/>
        <v>0</v>
      </c>
      <c r="LY104" s="138">
        <f t="shared" si="154"/>
        <v>0</v>
      </c>
      <c r="LZ104" s="138">
        <f t="shared" si="154"/>
        <v>0</v>
      </c>
      <c r="MA104" s="138">
        <f t="shared" si="154"/>
        <v>0</v>
      </c>
      <c r="MB104" s="138">
        <f t="shared" si="154"/>
        <v>0</v>
      </c>
      <c r="MC104" s="138">
        <f t="shared" si="154"/>
        <v>0</v>
      </c>
      <c r="MD104" s="138">
        <f t="shared" si="154"/>
        <v>0</v>
      </c>
      <c r="ME104" s="138">
        <f t="shared" si="154"/>
        <v>0</v>
      </c>
      <c r="MF104" s="138">
        <f t="shared" si="154"/>
        <v>0</v>
      </c>
      <c r="MG104" s="138">
        <f t="shared" si="154"/>
        <v>0</v>
      </c>
      <c r="MH104" s="138">
        <f t="shared" si="154"/>
        <v>0</v>
      </c>
      <c r="MI104" s="138">
        <f t="shared" si="154"/>
        <v>0</v>
      </c>
      <c r="MJ104" s="138">
        <f t="shared" si="154"/>
        <v>0</v>
      </c>
      <c r="MK104" s="138">
        <f t="shared" si="154"/>
        <v>0</v>
      </c>
      <c r="ML104" s="138">
        <f t="shared" si="154"/>
        <v>0</v>
      </c>
      <c r="MM104" s="138">
        <f t="shared" si="154"/>
        <v>0</v>
      </c>
      <c r="MN104" s="138">
        <f t="shared" si="154"/>
        <v>0</v>
      </c>
      <c r="MO104" s="138">
        <f t="shared" si="154"/>
        <v>0</v>
      </c>
      <c r="MP104" s="138">
        <f t="shared" si="154"/>
        <v>0</v>
      </c>
      <c r="MQ104" s="138">
        <f t="shared" si="154"/>
        <v>0</v>
      </c>
      <c r="MR104" s="138">
        <f t="shared" si="154"/>
        <v>0</v>
      </c>
      <c r="MS104" s="138">
        <f t="shared" si="154"/>
        <v>0</v>
      </c>
      <c r="MT104" s="138">
        <f t="shared" si="154"/>
        <v>0</v>
      </c>
      <c r="MU104" s="138">
        <f t="shared" si="154"/>
        <v>0</v>
      </c>
      <c r="MV104" s="138">
        <f t="shared" si="154"/>
        <v>0</v>
      </c>
      <c r="MW104" s="138">
        <f t="shared" si="154"/>
        <v>0</v>
      </c>
      <c r="MX104" s="138">
        <f t="shared" si="154"/>
        <v>0</v>
      </c>
      <c r="MY104" s="138">
        <f t="shared" si="154"/>
        <v>0</v>
      </c>
      <c r="MZ104" s="138">
        <f t="shared" si="154"/>
        <v>0</v>
      </c>
      <c r="NA104" s="138">
        <f t="shared" si="154"/>
        <v>0</v>
      </c>
      <c r="NB104" s="138">
        <f t="shared" si="154"/>
        <v>0</v>
      </c>
      <c r="NC104" s="138">
        <f t="shared" si="154"/>
        <v>0</v>
      </c>
      <c r="ND104" s="138">
        <f t="shared" si="154"/>
        <v>0</v>
      </c>
      <c r="NE104" s="138">
        <f t="shared" si="154"/>
        <v>0</v>
      </c>
      <c r="NF104" s="138">
        <f t="shared" si="154"/>
        <v>0</v>
      </c>
      <c r="NG104" s="138">
        <f t="shared" si="154"/>
        <v>0</v>
      </c>
      <c r="NH104" s="138">
        <f t="shared" si="154"/>
        <v>0</v>
      </c>
      <c r="NI104" s="138">
        <f t="shared" si="154"/>
        <v>0</v>
      </c>
      <c r="NJ104" s="138">
        <f t="shared" si="154"/>
        <v>0</v>
      </c>
      <c r="NK104" s="138">
        <f t="shared" si="154"/>
        <v>0</v>
      </c>
      <c r="NL104" s="138">
        <f t="shared" si="154"/>
        <v>0</v>
      </c>
      <c r="NM104" s="138">
        <f t="shared" si="154"/>
        <v>0</v>
      </c>
      <c r="NN104" s="138">
        <f t="shared" si="154"/>
        <v>0</v>
      </c>
      <c r="NO104" s="138">
        <f t="shared" si="154"/>
        <v>0</v>
      </c>
      <c r="NP104" s="138">
        <f t="shared" si="154"/>
        <v>0</v>
      </c>
      <c r="NQ104" s="138">
        <f t="shared" si="154"/>
        <v>0</v>
      </c>
      <c r="NR104" s="138">
        <f t="shared" si="154"/>
        <v>0</v>
      </c>
      <c r="NS104" s="138">
        <f t="shared" si="154"/>
        <v>0</v>
      </c>
      <c r="NT104" s="138">
        <f t="shared" si="154"/>
        <v>0</v>
      </c>
      <c r="NU104" s="138">
        <f t="shared" si="154"/>
        <v>0</v>
      </c>
      <c r="NV104" s="138">
        <f t="shared" si="154"/>
        <v>0</v>
      </c>
      <c r="NW104" s="138">
        <f t="shared" si="154"/>
        <v>0</v>
      </c>
      <c r="NX104" s="138">
        <f t="shared" si="154"/>
        <v>0</v>
      </c>
      <c r="NY104" s="138">
        <f t="shared" ref="NY104:QJ104" si="155">(($C30/12*OR(NY$66,NY$67)*NY72)+(($K30-$C30)/12*NY$67*NY79))*1000</f>
        <v>0</v>
      </c>
      <c r="NZ104" s="138">
        <f t="shared" si="155"/>
        <v>0</v>
      </c>
      <c r="OA104" s="138">
        <f t="shared" si="155"/>
        <v>0</v>
      </c>
      <c r="OB104" s="138">
        <f t="shared" si="155"/>
        <v>0</v>
      </c>
      <c r="OC104" s="138">
        <f t="shared" si="155"/>
        <v>0</v>
      </c>
      <c r="OD104" s="138">
        <f t="shared" si="155"/>
        <v>0</v>
      </c>
      <c r="OE104" s="138">
        <f t="shared" si="155"/>
        <v>0</v>
      </c>
      <c r="OF104" s="138">
        <f t="shared" si="155"/>
        <v>0</v>
      </c>
      <c r="OG104" s="138">
        <f t="shared" si="155"/>
        <v>0</v>
      </c>
      <c r="OH104" s="138">
        <f t="shared" si="155"/>
        <v>0</v>
      </c>
      <c r="OI104" s="138">
        <f t="shared" si="155"/>
        <v>0</v>
      </c>
      <c r="OJ104" s="138">
        <f t="shared" si="155"/>
        <v>0</v>
      </c>
      <c r="OK104" s="138">
        <f t="shared" si="155"/>
        <v>0</v>
      </c>
      <c r="OL104" s="138">
        <f t="shared" si="155"/>
        <v>0</v>
      </c>
      <c r="OM104" s="138">
        <f t="shared" si="155"/>
        <v>0</v>
      </c>
      <c r="ON104" s="138">
        <f t="shared" si="155"/>
        <v>0</v>
      </c>
      <c r="OO104" s="138">
        <f t="shared" si="155"/>
        <v>0</v>
      </c>
      <c r="OP104" s="138">
        <f t="shared" si="155"/>
        <v>0</v>
      </c>
      <c r="OQ104" s="138">
        <f t="shared" si="155"/>
        <v>0</v>
      </c>
      <c r="OR104" s="138">
        <f t="shared" si="155"/>
        <v>0</v>
      </c>
      <c r="OS104" s="138">
        <f t="shared" si="155"/>
        <v>0</v>
      </c>
      <c r="OT104" s="138">
        <f t="shared" si="155"/>
        <v>0</v>
      </c>
      <c r="OU104" s="138">
        <f t="shared" si="155"/>
        <v>0</v>
      </c>
      <c r="OV104" s="138">
        <f t="shared" si="155"/>
        <v>0</v>
      </c>
      <c r="OW104" s="138">
        <f t="shared" si="155"/>
        <v>0</v>
      </c>
      <c r="OX104" s="138">
        <f t="shared" si="155"/>
        <v>0</v>
      </c>
      <c r="OY104" s="138">
        <f t="shared" si="155"/>
        <v>0</v>
      </c>
      <c r="OZ104" s="138">
        <f t="shared" si="155"/>
        <v>0</v>
      </c>
      <c r="PA104" s="138">
        <f t="shared" si="155"/>
        <v>0</v>
      </c>
      <c r="PB104" s="138">
        <f t="shared" si="155"/>
        <v>0</v>
      </c>
      <c r="PC104" s="138">
        <f t="shared" si="155"/>
        <v>0</v>
      </c>
      <c r="PD104" s="138">
        <f t="shared" si="155"/>
        <v>0</v>
      </c>
      <c r="PE104" s="138">
        <f t="shared" si="155"/>
        <v>0</v>
      </c>
      <c r="PF104" s="138">
        <f t="shared" si="155"/>
        <v>0</v>
      </c>
      <c r="PG104" s="138">
        <f t="shared" si="155"/>
        <v>0</v>
      </c>
      <c r="PH104" s="138">
        <f t="shared" si="155"/>
        <v>0</v>
      </c>
      <c r="PI104" s="138">
        <f t="shared" si="155"/>
        <v>0</v>
      </c>
      <c r="PJ104" s="138">
        <f t="shared" si="155"/>
        <v>0</v>
      </c>
      <c r="PK104" s="138">
        <f t="shared" si="155"/>
        <v>0</v>
      </c>
      <c r="PL104" s="138">
        <f t="shared" si="155"/>
        <v>0</v>
      </c>
      <c r="PM104" s="138">
        <f t="shared" si="155"/>
        <v>0</v>
      </c>
      <c r="PN104" s="138">
        <f t="shared" si="155"/>
        <v>0</v>
      </c>
      <c r="PO104" s="138">
        <f t="shared" si="155"/>
        <v>0</v>
      </c>
      <c r="PP104" s="138">
        <f t="shared" si="155"/>
        <v>0</v>
      </c>
      <c r="PQ104" s="138">
        <f t="shared" si="155"/>
        <v>0</v>
      </c>
      <c r="PR104" s="138">
        <f t="shared" si="155"/>
        <v>0</v>
      </c>
      <c r="PS104" s="138">
        <f t="shared" si="155"/>
        <v>0</v>
      </c>
      <c r="PT104" s="138">
        <f t="shared" si="155"/>
        <v>0</v>
      </c>
      <c r="PU104" s="138">
        <f t="shared" si="155"/>
        <v>0</v>
      </c>
      <c r="PV104" s="138">
        <f t="shared" si="155"/>
        <v>0</v>
      </c>
      <c r="PW104" s="138">
        <f t="shared" si="155"/>
        <v>0</v>
      </c>
      <c r="PX104" s="138">
        <f t="shared" si="155"/>
        <v>0</v>
      </c>
      <c r="PY104" s="138">
        <f t="shared" si="155"/>
        <v>0</v>
      </c>
      <c r="PZ104" s="138">
        <f t="shared" si="155"/>
        <v>0</v>
      </c>
      <c r="QA104" s="138">
        <f t="shared" si="155"/>
        <v>0</v>
      </c>
      <c r="QB104" s="138">
        <f t="shared" si="155"/>
        <v>0</v>
      </c>
      <c r="QC104" s="138">
        <f t="shared" si="155"/>
        <v>0</v>
      </c>
      <c r="QD104" s="138">
        <f t="shared" si="155"/>
        <v>0</v>
      </c>
      <c r="QE104" s="138">
        <f t="shared" si="155"/>
        <v>0</v>
      </c>
      <c r="QF104" s="138">
        <f t="shared" si="155"/>
        <v>0</v>
      </c>
      <c r="QG104" s="138">
        <f t="shared" si="155"/>
        <v>0</v>
      </c>
      <c r="QH104" s="138">
        <f t="shared" si="155"/>
        <v>0</v>
      </c>
      <c r="QI104" s="138">
        <f t="shared" si="155"/>
        <v>0</v>
      </c>
      <c r="QJ104" s="138">
        <f t="shared" si="155"/>
        <v>0</v>
      </c>
      <c r="QK104" s="138">
        <f t="shared" ref="QK104:RR104" si="156">(($C30/12*OR(QK$66,QK$67)*QK72)+(($K30-$C30)/12*QK$67*QK79))*1000</f>
        <v>0</v>
      </c>
      <c r="QL104" s="138">
        <f t="shared" si="156"/>
        <v>0</v>
      </c>
      <c r="QM104" s="138">
        <f t="shared" si="156"/>
        <v>0</v>
      </c>
      <c r="QN104" s="138">
        <f t="shared" si="156"/>
        <v>0</v>
      </c>
      <c r="QO104" s="138">
        <f t="shared" si="156"/>
        <v>0</v>
      </c>
      <c r="QP104" s="138">
        <f t="shared" si="156"/>
        <v>0</v>
      </c>
      <c r="QQ104" s="138">
        <f t="shared" si="156"/>
        <v>0</v>
      </c>
      <c r="QR104" s="138">
        <f t="shared" si="156"/>
        <v>0</v>
      </c>
      <c r="QS104" s="138">
        <f t="shared" si="156"/>
        <v>0</v>
      </c>
      <c r="QT104" s="138">
        <f t="shared" si="156"/>
        <v>0</v>
      </c>
      <c r="QU104" s="138">
        <f t="shared" si="156"/>
        <v>0</v>
      </c>
      <c r="QV104" s="138">
        <f t="shared" si="156"/>
        <v>0</v>
      </c>
      <c r="QW104" s="138">
        <f t="shared" si="156"/>
        <v>0</v>
      </c>
      <c r="QX104" s="138">
        <f t="shared" si="156"/>
        <v>0</v>
      </c>
      <c r="QY104" s="138">
        <f t="shared" si="156"/>
        <v>0</v>
      </c>
      <c r="QZ104" s="138">
        <f t="shared" si="156"/>
        <v>0</v>
      </c>
      <c r="RA104" s="138">
        <f t="shared" si="156"/>
        <v>0</v>
      </c>
      <c r="RB104" s="138">
        <f t="shared" si="156"/>
        <v>0</v>
      </c>
      <c r="RC104" s="138">
        <f t="shared" si="156"/>
        <v>0</v>
      </c>
      <c r="RD104" s="138">
        <f t="shared" si="156"/>
        <v>0</v>
      </c>
      <c r="RE104" s="138">
        <f t="shared" si="156"/>
        <v>0</v>
      </c>
      <c r="RF104" s="138">
        <f t="shared" si="156"/>
        <v>0</v>
      </c>
      <c r="RG104" s="138">
        <f t="shared" si="156"/>
        <v>0</v>
      </c>
      <c r="RH104" s="138">
        <f t="shared" si="156"/>
        <v>0</v>
      </c>
      <c r="RI104" s="138">
        <f t="shared" si="156"/>
        <v>0</v>
      </c>
      <c r="RJ104" s="138">
        <f t="shared" si="156"/>
        <v>0</v>
      </c>
      <c r="RK104" s="138">
        <f t="shared" si="156"/>
        <v>0</v>
      </c>
      <c r="RL104" s="138">
        <f t="shared" si="156"/>
        <v>0</v>
      </c>
      <c r="RM104" s="138">
        <f t="shared" si="156"/>
        <v>0</v>
      </c>
      <c r="RN104" s="138">
        <f t="shared" si="156"/>
        <v>0</v>
      </c>
      <c r="RO104" s="138">
        <f t="shared" si="156"/>
        <v>0</v>
      </c>
      <c r="RP104" s="138">
        <f t="shared" si="156"/>
        <v>0</v>
      </c>
      <c r="RQ104" s="138">
        <f t="shared" si="156"/>
        <v>0</v>
      </c>
      <c r="RR104" s="138">
        <f t="shared" si="156"/>
        <v>0</v>
      </c>
    </row>
    <row r="105" spans="1:486" s="9" customFormat="1">
      <c r="A105" s="286"/>
      <c r="B105" s="66" t="s">
        <v>189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0</v>
      </c>
      <c r="M105" s="138">
        <v>0</v>
      </c>
      <c r="N105" s="138">
        <v>0</v>
      </c>
      <c r="O105" s="138">
        <v>0</v>
      </c>
      <c r="P105" s="138">
        <v>0</v>
      </c>
      <c r="Q105" s="138">
        <v>0</v>
      </c>
      <c r="R105" s="138">
        <v>0</v>
      </c>
      <c r="S105" s="138">
        <v>0</v>
      </c>
      <c r="T105" s="138">
        <v>0</v>
      </c>
      <c r="U105" s="138">
        <v>0</v>
      </c>
      <c r="V105" s="138">
        <v>0</v>
      </c>
      <c r="W105" s="138">
        <v>0</v>
      </c>
      <c r="X105" s="138">
        <v>0</v>
      </c>
      <c r="Y105" s="138">
        <v>0</v>
      </c>
      <c r="Z105" s="138">
        <v>0</v>
      </c>
      <c r="AA105" s="138">
        <v>0</v>
      </c>
      <c r="AB105" s="138">
        <v>0</v>
      </c>
      <c r="AC105" s="138">
        <v>0</v>
      </c>
      <c r="AD105" s="138">
        <v>0</v>
      </c>
      <c r="AE105" s="138">
        <v>0</v>
      </c>
      <c r="AF105" s="138">
        <v>0</v>
      </c>
      <c r="AG105" s="138">
        <v>0</v>
      </c>
      <c r="AH105" s="138">
        <v>0</v>
      </c>
      <c r="AI105" s="138">
        <v>0</v>
      </c>
      <c r="AJ105" s="138">
        <v>0</v>
      </c>
      <c r="AK105" s="138">
        <v>0</v>
      </c>
      <c r="AL105" s="138">
        <v>0</v>
      </c>
      <c r="AM105" s="138">
        <v>0</v>
      </c>
      <c r="AN105" s="138">
        <v>0</v>
      </c>
      <c r="AO105" s="138">
        <v>0</v>
      </c>
      <c r="AP105" s="138">
        <v>0</v>
      </c>
      <c r="AQ105" s="138">
        <v>0</v>
      </c>
      <c r="AR105" s="138">
        <v>0</v>
      </c>
      <c r="AS105" s="138">
        <v>0</v>
      </c>
      <c r="AT105" s="138">
        <v>0</v>
      </c>
      <c r="AU105" s="138">
        <v>0</v>
      </c>
      <c r="AV105" s="138">
        <v>0</v>
      </c>
      <c r="AW105" s="138">
        <v>0</v>
      </c>
      <c r="AX105" s="138">
        <v>0</v>
      </c>
      <c r="AY105" s="138">
        <v>0</v>
      </c>
      <c r="AZ105" s="138">
        <v>0</v>
      </c>
      <c r="BA105" s="138">
        <v>0</v>
      </c>
      <c r="BB105" s="138">
        <v>0</v>
      </c>
      <c r="BC105" s="138">
        <v>0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0</v>
      </c>
      <c r="BQ105" s="138">
        <v>0</v>
      </c>
      <c r="BR105" s="138">
        <v>0</v>
      </c>
      <c r="BS105" s="138">
        <v>0</v>
      </c>
      <c r="BT105" s="138">
        <v>0</v>
      </c>
      <c r="BU105" s="138">
        <v>0</v>
      </c>
      <c r="BV105" s="138">
        <v>0</v>
      </c>
      <c r="BW105" s="138">
        <v>0</v>
      </c>
      <c r="BX105" s="138">
        <v>0</v>
      </c>
      <c r="BY105" s="138">
        <v>0</v>
      </c>
      <c r="BZ105" s="138">
        <v>0</v>
      </c>
      <c r="CA105" s="138">
        <v>0</v>
      </c>
      <c r="CB105" s="138">
        <v>0</v>
      </c>
      <c r="CC105" s="138">
        <v>0</v>
      </c>
      <c r="CD105" s="138">
        <v>0</v>
      </c>
      <c r="CE105" s="138">
        <v>0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0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0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0</v>
      </c>
      <c r="DN105" s="138">
        <v>0</v>
      </c>
      <c r="DO105" s="138">
        <v>0</v>
      </c>
      <c r="DP105" s="138">
        <v>0</v>
      </c>
      <c r="DQ105" s="138">
        <v>0</v>
      </c>
      <c r="DR105" s="138">
        <v>0</v>
      </c>
      <c r="DS105" s="138">
        <v>0</v>
      </c>
      <c r="DT105" s="138">
        <v>0</v>
      </c>
      <c r="DU105" s="138">
        <v>0</v>
      </c>
      <c r="DV105" s="138">
        <v>0</v>
      </c>
      <c r="DW105" s="138">
        <v>0</v>
      </c>
      <c r="DX105" s="138">
        <v>0</v>
      </c>
      <c r="DY105" s="138">
        <v>0</v>
      </c>
      <c r="DZ105" s="138">
        <v>0</v>
      </c>
      <c r="EA105" s="138">
        <v>0</v>
      </c>
      <c r="EB105" s="138">
        <v>0</v>
      </c>
      <c r="EC105" s="138">
        <v>0</v>
      </c>
      <c r="ED105" s="138">
        <v>0</v>
      </c>
      <c r="EE105" s="138">
        <v>0</v>
      </c>
      <c r="EF105" s="138">
        <v>0</v>
      </c>
      <c r="EG105" s="138">
        <v>0</v>
      </c>
      <c r="EH105" s="138">
        <v>0</v>
      </c>
      <c r="EI105" s="138">
        <v>0</v>
      </c>
      <c r="EJ105" s="138">
        <v>0</v>
      </c>
      <c r="EK105" s="138">
        <v>0</v>
      </c>
      <c r="EL105" s="138">
        <v>0</v>
      </c>
      <c r="EM105" s="138">
        <v>0</v>
      </c>
      <c r="EN105" s="138">
        <v>0</v>
      </c>
      <c r="EO105" s="138">
        <v>0</v>
      </c>
      <c r="EP105" s="138">
        <v>0</v>
      </c>
      <c r="EQ105" s="138">
        <v>0</v>
      </c>
      <c r="ER105" s="138">
        <v>0</v>
      </c>
      <c r="ES105" s="138">
        <v>0</v>
      </c>
      <c r="ET105" s="138">
        <v>0</v>
      </c>
      <c r="EU105" s="138">
        <v>0</v>
      </c>
      <c r="EV105" s="138">
        <v>0</v>
      </c>
      <c r="EW105" s="138">
        <v>0</v>
      </c>
      <c r="EX105" s="138">
        <v>0</v>
      </c>
      <c r="EY105" s="138">
        <v>0</v>
      </c>
      <c r="EZ105" s="138">
        <v>0</v>
      </c>
      <c r="FA105" s="138">
        <v>0</v>
      </c>
      <c r="FB105" s="138">
        <v>0</v>
      </c>
      <c r="FC105" s="138">
        <v>0</v>
      </c>
      <c r="FD105" s="138">
        <v>0</v>
      </c>
      <c r="FE105" s="138">
        <v>0</v>
      </c>
      <c r="FF105" s="138">
        <v>0</v>
      </c>
      <c r="FG105" s="138">
        <v>0</v>
      </c>
      <c r="FH105" s="138">
        <v>0</v>
      </c>
      <c r="FI105" s="138">
        <v>0</v>
      </c>
      <c r="FJ105" s="138">
        <v>0</v>
      </c>
      <c r="FK105" s="138">
        <v>0</v>
      </c>
      <c r="FL105" s="138">
        <v>0</v>
      </c>
      <c r="FM105" s="138">
        <v>0</v>
      </c>
      <c r="FN105" s="138">
        <v>0</v>
      </c>
      <c r="FO105" s="138">
        <v>0</v>
      </c>
      <c r="FP105" s="138">
        <v>0</v>
      </c>
      <c r="FQ105" s="138">
        <v>0</v>
      </c>
      <c r="FR105" s="138">
        <v>0</v>
      </c>
      <c r="FS105" s="138">
        <v>0</v>
      </c>
      <c r="FT105" s="138">
        <v>0</v>
      </c>
      <c r="FU105" s="138">
        <v>0</v>
      </c>
      <c r="FV105" s="138">
        <v>0</v>
      </c>
      <c r="FW105" s="138">
        <v>0</v>
      </c>
      <c r="FX105" s="138">
        <v>0</v>
      </c>
      <c r="FY105" s="138">
        <v>0</v>
      </c>
      <c r="FZ105" s="138">
        <v>0</v>
      </c>
      <c r="GA105" s="138">
        <v>0</v>
      </c>
      <c r="GB105" s="138">
        <v>0</v>
      </c>
      <c r="GC105" s="138">
        <v>0</v>
      </c>
      <c r="GD105" s="138">
        <v>0</v>
      </c>
      <c r="GE105" s="138">
        <v>0</v>
      </c>
      <c r="GF105" s="138">
        <v>0</v>
      </c>
      <c r="GG105" s="138">
        <v>0</v>
      </c>
      <c r="GH105" s="138">
        <v>0</v>
      </c>
      <c r="GI105" s="138">
        <v>0</v>
      </c>
      <c r="GJ105" s="138">
        <v>0</v>
      </c>
      <c r="GK105" s="138">
        <v>0</v>
      </c>
      <c r="GL105" s="138">
        <v>0</v>
      </c>
      <c r="GM105" s="138">
        <v>0</v>
      </c>
      <c r="GN105" s="138">
        <v>0</v>
      </c>
      <c r="GO105" s="138">
        <v>0</v>
      </c>
      <c r="GP105" s="138">
        <v>0</v>
      </c>
      <c r="GQ105" s="138">
        <v>0</v>
      </c>
      <c r="GR105" s="138">
        <v>0</v>
      </c>
      <c r="GS105" s="138">
        <v>0</v>
      </c>
      <c r="GT105" s="138">
        <v>0</v>
      </c>
      <c r="GU105" s="138">
        <v>0</v>
      </c>
      <c r="GV105" s="138">
        <v>0</v>
      </c>
      <c r="GW105" s="138">
        <v>0</v>
      </c>
      <c r="GX105" s="138">
        <v>0</v>
      </c>
      <c r="GY105" s="138">
        <v>0</v>
      </c>
      <c r="GZ105" s="138">
        <v>0</v>
      </c>
      <c r="HA105" s="138">
        <v>0</v>
      </c>
      <c r="HB105" s="138">
        <v>0</v>
      </c>
      <c r="HC105" s="138">
        <v>0</v>
      </c>
      <c r="HD105" s="138">
        <v>0</v>
      </c>
      <c r="HE105" s="138">
        <v>0</v>
      </c>
      <c r="HF105" s="138">
        <v>0</v>
      </c>
      <c r="HG105" s="138">
        <v>0</v>
      </c>
      <c r="HH105" s="138">
        <v>0</v>
      </c>
      <c r="HI105" s="138">
        <v>0</v>
      </c>
      <c r="HJ105" s="138">
        <v>0</v>
      </c>
      <c r="HK105" s="138">
        <v>0</v>
      </c>
      <c r="HL105" s="138">
        <v>0</v>
      </c>
      <c r="HM105" s="138">
        <v>0</v>
      </c>
      <c r="HN105" s="138">
        <v>0</v>
      </c>
      <c r="HO105" s="138">
        <v>0</v>
      </c>
      <c r="HP105" s="138">
        <v>0</v>
      </c>
      <c r="HQ105" s="138">
        <v>0</v>
      </c>
      <c r="HR105" s="138">
        <v>0</v>
      </c>
      <c r="HS105" s="138">
        <v>0</v>
      </c>
      <c r="HT105" s="138">
        <v>0</v>
      </c>
      <c r="HU105" s="138">
        <v>0</v>
      </c>
      <c r="HV105" s="138">
        <v>0</v>
      </c>
      <c r="HW105" s="138">
        <v>0</v>
      </c>
      <c r="HX105" s="138">
        <v>0</v>
      </c>
      <c r="HY105" s="138">
        <v>0</v>
      </c>
      <c r="HZ105" s="138">
        <v>0</v>
      </c>
      <c r="IA105" s="138">
        <v>0</v>
      </c>
      <c r="IB105" s="138">
        <v>0</v>
      </c>
      <c r="IC105" s="138">
        <v>0</v>
      </c>
      <c r="ID105" s="138">
        <v>0</v>
      </c>
      <c r="IE105" s="138">
        <v>0</v>
      </c>
      <c r="IF105" s="138">
        <v>0</v>
      </c>
      <c r="IG105" s="138">
        <v>0</v>
      </c>
      <c r="IH105" s="138">
        <v>0</v>
      </c>
      <c r="II105" s="138">
        <v>0</v>
      </c>
      <c r="IJ105" s="138">
        <v>0</v>
      </c>
      <c r="IK105" s="138">
        <v>0</v>
      </c>
      <c r="IL105" s="138">
        <v>0</v>
      </c>
      <c r="IM105" s="138">
        <v>0</v>
      </c>
      <c r="IN105" s="138">
        <v>0</v>
      </c>
      <c r="IO105" s="138">
        <v>0</v>
      </c>
      <c r="IP105" s="138">
        <v>0</v>
      </c>
      <c r="IQ105" s="138">
        <v>0</v>
      </c>
      <c r="IR105" s="138">
        <v>0</v>
      </c>
      <c r="IS105" s="138">
        <v>0</v>
      </c>
      <c r="IT105" s="138">
        <v>0</v>
      </c>
      <c r="IU105" s="138">
        <v>0</v>
      </c>
      <c r="IV105" s="138">
        <v>0</v>
      </c>
      <c r="IW105" s="138">
        <v>0</v>
      </c>
      <c r="IX105" s="138">
        <v>0</v>
      </c>
      <c r="IY105" s="138">
        <v>0</v>
      </c>
      <c r="IZ105" s="138">
        <v>0</v>
      </c>
      <c r="JA105" s="138">
        <v>0</v>
      </c>
      <c r="JB105" s="138">
        <v>0</v>
      </c>
      <c r="JC105" s="138">
        <v>0</v>
      </c>
      <c r="JD105" s="138">
        <v>0</v>
      </c>
      <c r="JE105" s="138">
        <v>0</v>
      </c>
      <c r="JF105" s="138">
        <v>0</v>
      </c>
      <c r="JG105" s="138">
        <v>0</v>
      </c>
      <c r="JH105" s="138">
        <v>0</v>
      </c>
      <c r="JI105" s="138">
        <v>0</v>
      </c>
      <c r="JJ105" s="138">
        <v>0</v>
      </c>
      <c r="JK105" s="138">
        <v>0</v>
      </c>
      <c r="JL105" s="138">
        <v>0</v>
      </c>
      <c r="JM105" s="138">
        <v>0</v>
      </c>
      <c r="JN105" s="138">
        <v>0</v>
      </c>
      <c r="JO105" s="138">
        <v>0</v>
      </c>
      <c r="JP105" s="138">
        <v>0</v>
      </c>
      <c r="JQ105" s="138">
        <v>0</v>
      </c>
      <c r="JR105" s="138">
        <v>0</v>
      </c>
      <c r="JS105" s="138">
        <v>0</v>
      </c>
      <c r="JT105" s="138">
        <v>0</v>
      </c>
      <c r="JU105" s="138">
        <v>0</v>
      </c>
      <c r="JV105" s="138">
        <v>0</v>
      </c>
      <c r="JW105" s="138">
        <v>0</v>
      </c>
      <c r="JX105" s="138">
        <v>0</v>
      </c>
      <c r="JY105" s="138">
        <v>0</v>
      </c>
      <c r="JZ105" s="138">
        <v>0</v>
      </c>
      <c r="KA105" s="138">
        <v>0</v>
      </c>
      <c r="KB105" s="138">
        <v>0</v>
      </c>
      <c r="KC105" s="138">
        <v>0</v>
      </c>
      <c r="KD105" s="138">
        <v>0</v>
      </c>
      <c r="KE105" s="138">
        <v>0</v>
      </c>
      <c r="KF105" s="138">
        <v>0</v>
      </c>
      <c r="KG105" s="138">
        <v>0</v>
      </c>
      <c r="KH105" s="138">
        <v>0</v>
      </c>
      <c r="KI105" s="138">
        <v>0</v>
      </c>
      <c r="KJ105" s="138">
        <v>0</v>
      </c>
      <c r="KK105" s="138">
        <v>0</v>
      </c>
      <c r="KL105" s="138">
        <v>0</v>
      </c>
      <c r="KM105" s="138">
        <v>0</v>
      </c>
      <c r="KN105" s="138">
        <v>0</v>
      </c>
      <c r="KO105" s="138">
        <v>0</v>
      </c>
      <c r="KP105" s="138">
        <v>0</v>
      </c>
      <c r="KQ105" s="138">
        <v>0</v>
      </c>
      <c r="KR105" s="138">
        <v>0</v>
      </c>
      <c r="KS105" s="138">
        <v>0</v>
      </c>
      <c r="KT105" s="138">
        <v>0</v>
      </c>
      <c r="KU105" s="138">
        <v>0</v>
      </c>
      <c r="KV105" s="138">
        <v>0</v>
      </c>
      <c r="KW105" s="138">
        <v>0</v>
      </c>
      <c r="KX105" s="138">
        <v>0</v>
      </c>
      <c r="KY105" s="138">
        <v>0</v>
      </c>
      <c r="KZ105" s="138">
        <v>0</v>
      </c>
      <c r="LA105" s="138">
        <v>0</v>
      </c>
      <c r="LB105" s="138">
        <v>0</v>
      </c>
      <c r="LC105" s="138">
        <v>0</v>
      </c>
      <c r="LD105" s="138">
        <v>0</v>
      </c>
      <c r="LE105" s="138">
        <v>0</v>
      </c>
      <c r="LF105" s="138">
        <v>0</v>
      </c>
      <c r="LG105" s="138">
        <v>0</v>
      </c>
      <c r="LH105" s="138">
        <v>0</v>
      </c>
      <c r="LI105" s="138">
        <v>0</v>
      </c>
      <c r="LJ105" s="138">
        <v>0</v>
      </c>
      <c r="LK105" s="138">
        <v>0</v>
      </c>
      <c r="LL105" s="138">
        <v>0</v>
      </c>
      <c r="LM105" s="138">
        <v>0</v>
      </c>
      <c r="LN105" s="138">
        <v>0</v>
      </c>
      <c r="LO105" s="138">
        <v>0</v>
      </c>
      <c r="LP105" s="138">
        <v>0</v>
      </c>
      <c r="LQ105" s="138">
        <v>0</v>
      </c>
      <c r="LR105" s="138">
        <v>0</v>
      </c>
      <c r="LS105" s="138">
        <v>0</v>
      </c>
      <c r="LT105" s="138">
        <v>0</v>
      </c>
      <c r="LU105" s="138">
        <v>0</v>
      </c>
      <c r="LV105" s="138">
        <v>0</v>
      </c>
      <c r="LW105" s="138">
        <v>0</v>
      </c>
      <c r="LX105" s="138">
        <v>0</v>
      </c>
      <c r="LY105" s="138">
        <v>0</v>
      </c>
      <c r="LZ105" s="138">
        <v>0</v>
      </c>
      <c r="MA105" s="138">
        <v>0</v>
      </c>
      <c r="MB105" s="138">
        <v>0</v>
      </c>
      <c r="MC105" s="138">
        <v>0</v>
      </c>
      <c r="MD105" s="138">
        <v>0</v>
      </c>
      <c r="ME105" s="138">
        <v>0</v>
      </c>
      <c r="MF105" s="138">
        <v>0</v>
      </c>
      <c r="MG105" s="138">
        <v>0</v>
      </c>
      <c r="MH105" s="138">
        <v>0</v>
      </c>
      <c r="MI105" s="138">
        <v>0</v>
      </c>
      <c r="MJ105" s="138">
        <v>0</v>
      </c>
      <c r="MK105" s="138">
        <v>0</v>
      </c>
      <c r="ML105" s="138">
        <v>0</v>
      </c>
      <c r="MM105" s="138">
        <v>0</v>
      </c>
      <c r="MN105" s="138">
        <v>0</v>
      </c>
      <c r="MO105" s="138">
        <v>0</v>
      </c>
      <c r="MP105" s="138">
        <v>0</v>
      </c>
      <c r="MQ105" s="138">
        <v>0</v>
      </c>
      <c r="MR105" s="138">
        <v>0</v>
      </c>
      <c r="MS105" s="138">
        <v>0</v>
      </c>
      <c r="MT105" s="138">
        <v>0</v>
      </c>
      <c r="MU105" s="138">
        <v>0</v>
      </c>
      <c r="MV105" s="138">
        <v>0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0</v>
      </c>
      <c r="NH105" s="138">
        <v>0</v>
      </c>
      <c r="NI105" s="138">
        <v>0</v>
      </c>
      <c r="NJ105" s="138">
        <v>0</v>
      </c>
      <c r="NK105" s="138">
        <v>0</v>
      </c>
      <c r="NL105" s="138">
        <v>0</v>
      </c>
      <c r="NM105" s="138">
        <v>0</v>
      </c>
      <c r="NN105" s="138">
        <v>0</v>
      </c>
      <c r="NO105" s="138">
        <v>0</v>
      </c>
      <c r="NP105" s="138">
        <v>0</v>
      </c>
      <c r="NQ105" s="138">
        <v>0</v>
      </c>
      <c r="NR105" s="138">
        <v>0</v>
      </c>
      <c r="NS105" s="138">
        <v>0</v>
      </c>
      <c r="NT105" s="138">
        <v>0</v>
      </c>
      <c r="NU105" s="138">
        <v>0</v>
      </c>
      <c r="NV105" s="138">
        <v>0</v>
      </c>
      <c r="NW105" s="138">
        <v>0</v>
      </c>
      <c r="NX105" s="138">
        <v>0</v>
      </c>
      <c r="NY105" s="138">
        <v>0</v>
      </c>
      <c r="NZ105" s="138">
        <v>0</v>
      </c>
      <c r="OA105" s="138">
        <v>0</v>
      </c>
      <c r="OB105" s="138">
        <v>0</v>
      </c>
      <c r="OC105" s="138">
        <v>0</v>
      </c>
      <c r="OD105" s="138">
        <v>0</v>
      </c>
      <c r="OE105" s="138">
        <v>0</v>
      </c>
      <c r="OF105" s="138">
        <v>0</v>
      </c>
      <c r="OG105" s="138">
        <v>0</v>
      </c>
      <c r="OH105" s="138">
        <v>0</v>
      </c>
      <c r="OI105" s="138">
        <v>0</v>
      </c>
      <c r="OJ105" s="138">
        <v>0</v>
      </c>
      <c r="OK105" s="138">
        <v>0</v>
      </c>
      <c r="OL105" s="138">
        <v>0</v>
      </c>
      <c r="OM105" s="138">
        <v>0</v>
      </c>
      <c r="ON105" s="138">
        <v>0</v>
      </c>
      <c r="OO105" s="138">
        <v>0</v>
      </c>
      <c r="OP105" s="138">
        <v>0</v>
      </c>
      <c r="OQ105" s="138">
        <v>0</v>
      </c>
      <c r="OR105" s="138">
        <v>0</v>
      </c>
      <c r="OS105" s="138">
        <v>0</v>
      </c>
      <c r="OT105" s="138">
        <v>0</v>
      </c>
      <c r="OU105" s="138">
        <v>0</v>
      </c>
      <c r="OV105" s="138">
        <v>0</v>
      </c>
      <c r="OW105" s="138">
        <v>0</v>
      </c>
      <c r="OX105" s="138">
        <v>0</v>
      </c>
      <c r="OY105" s="138">
        <v>0</v>
      </c>
      <c r="OZ105" s="138">
        <v>0</v>
      </c>
      <c r="PA105" s="138">
        <v>0</v>
      </c>
      <c r="PB105" s="138">
        <v>0</v>
      </c>
      <c r="PC105" s="138">
        <v>0</v>
      </c>
      <c r="PD105" s="138">
        <v>0</v>
      </c>
      <c r="PE105" s="138">
        <v>0</v>
      </c>
      <c r="PF105" s="138">
        <v>0</v>
      </c>
      <c r="PG105" s="138">
        <v>0</v>
      </c>
      <c r="PH105" s="138">
        <v>0</v>
      </c>
      <c r="PI105" s="138">
        <v>0</v>
      </c>
      <c r="PJ105" s="138">
        <v>0</v>
      </c>
      <c r="PK105" s="138">
        <v>0</v>
      </c>
      <c r="PL105" s="138">
        <v>0</v>
      </c>
      <c r="PM105" s="138">
        <v>0</v>
      </c>
      <c r="PN105" s="138">
        <v>0</v>
      </c>
      <c r="PO105" s="138">
        <v>0</v>
      </c>
      <c r="PP105" s="138">
        <v>0</v>
      </c>
      <c r="PQ105" s="138">
        <v>0</v>
      </c>
      <c r="PR105" s="138">
        <v>0</v>
      </c>
      <c r="PS105" s="138">
        <v>0</v>
      </c>
      <c r="PT105" s="138">
        <v>0</v>
      </c>
      <c r="PU105" s="138">
        <v>0</v>
      </c>
      <c r="PV105" s="138">
        <v>0</v>
      </c>
      <c r="PW105" s="138">
        <v>0</v>
      </c>
      <c r="PX105" s="138">
        <v>0</v>
      </c>
      <c r="PY105" s="138">
        <v>0</v>
      </c>
      <c r="PZ105" s="138">
        <v>0</v>
      </c>
      <c r="QA105" s="138">
        <v>0</v>
      </c>
      <c r="QB105" s="138">
        <v>0</v>
      </c>
      <c r="QC105" s="138">
        <v>0</v>
      </c>
      <c r="QD105" s="138">
        <v>0</v>
      </c>
      <c r="QE105" s="138">
        <v>0</v>
      </c>
      <c r="QF105" s="138">
        <v>0</v>
      </c>
      <c r="QG105" s="138">
        <v>0</v>
      </c>
      <c r="QH105" s="138">
        <v>0</v>
      </c>
      <c r="QI105" s="138">
        <v>0</v>
      </c>
      <c r="QJ105" s="138">
        <v>0</v>
      </c>
      <c r="QK105" s="138">
        <v>0</v>
      </c>
      <c r="QL105" s="138">
        <v>0</v>
      </c>
      <c r="QM105" s="138">
        <v>0</v>
      </c>
      <c r="QN105" s="138">
        <v>0</v>
      </c>
      <c r="QO105" s="138">
        <v>0</v>
      </c>
      <c r="QP105" s="138">
        <v>0</v>
      </c>
      <c r="QQ105" s="138">
        <v>0</v>
      </c>
      <c r="QR105" s="138">
        <v>0</v>
      </c>
      <c r="QS105" s="138">
        <v>0</v>
      </c>
      <c r="QT105" s="138">
        <v>0</v>
      </c>
      <c r="QU105" s="138">
        <v>0</v>
      </c>
      <c r="QV105" s="138">
        <v>0</v>
      </c>
      <c r="QW105" s="138">
        <v>0</v>
      </c>
      <c r="QX105" s="138">
        <v>0</v>
      </c>
      <c r="QY105" s="138">
        <v>0</v>
      </c>
      <c r="QZ105" s="138">
        <v>0</v>
      </c>
      <c r="RA105" s="138">
        <v>0</v>
      </c>
      <c r="RB105" s="138">
        <v>0</v>
      </c>
      <c r="RC105" s="138">
        <v>0</v>
      </c>
      <c r="RD105" s="138">
        <v>0</v>
      </c>
      <c r="RE105" s="138">
        <v>0</v>
      </c>
      <c r="RF105" s="138">
        <v>0</v>
      </c>
      <c r="RG105" s="138">
        <v>0</v>
      </c>
      <c r="RH105" s="138">
        <v>0</v>
      </c>
      <c r="RI105" s="138">
        <v>0</v>
      </c>
      <c r="RJ105" s="138">
        <v>0</v>
      </c>
      <c r="RK105" s="138">
        <v>0</v>
      </c>
      <c r="RL105" s="138">
        <v>0</v>
      </c>
      <c r="RM105" s="138">
        <v>0</v>
      </c>
      <c r="RN105" s="138">
        <v>0</v>
      </c>
      <c r="RO105" s="138">
        <v>0</v>
      </c>
      <c r="RP105" s="138">
        <v>0</v>
      </c>
      <c r="RQ105" s="138">
        <v>0</v>
      </c>
      <c r="RR105" s="138">
        <v>0</v>
      </c>
    </row>
    <row r="106" spans="1:486" s="9" customFormat="1">
      <c r="A106" s="128"/>
      <c r="B106" s="91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</row>
    <row r="107" spans="1:486" s="9" customFormat="1">
      <c r="A107" s="287" t="s">
        <v>263</v>
      </c>
      <c r="B107" s="66" t="s">
        <v>205</v>
      </c>
      <c r="E107" s="138">
        <f>(($C$38/12*E$66*E86)+($E$38/12*E$67*E86))</f>
        <v>88996133.220760718</v>
      </c>
      <c r="F107" s="138">
        <f t="shared" ref="F107:BP107" ca="1" si="157">(($C$38/12*F$66*F86)+($E$38/12*F$67*F86))</f>
        <v>89284480.804968819</v>
      </c>
      <c r="G107" s="138">
        <f t="shared" ca="1" si="157"/>
        <v>89573762.635714501</v>
      </c>
      <c r="H107" s="138">
        <f t="shared" ca="1" si="157"/>
        <v>89863981.73995772</v>
      </c>
      <c r="I107" s="138">
        <f t="shared" ca="1" si="157"/>
        <v>90155141.15446578</v>
      </c>
      <c r="J107" s="138">
        <f t="shared" ca="1" si="157"/>
        <v>90447243.925845146</v>
      </c>
      <c r="K107" s="138">
        <f t="shared" ca="1" si="157"/>
        <v>90740293.110573247</v>
      </c>
      <c r="L107" s="138">
        <f t="shared" ca="1" si="157"/>
        <v>91034291.775030568</v>
      </c>
      <c r="M107" s="138">
        <f t="shared" ca="1" si="157"/>
        <v>91329242.995532602</v>
      </c>
      <c r="N107" s="138">
        <f t="shared" ca="1" si="157"/>
        <v>91625149.858362168</v>
      </c>
      <c r="O107" s="138">
        <f t="shared" ca="1" si="157"/>
        <v>91922015.459801584</v>
      </c>
      <c r="P107" s="138">
        <f t="shared" ca="1" si="157"/>
        <v>92219842.906165168</v>
      </c>
      <c r="Q107" s="138">
        <f t="shared" ca="1" si="157"/>
        <v>92518635.313831717</v>
      </c>
      <c r="R107" s="138">
        <f t="shared" ca="1" si="157"/>
        <v>92818395.809277043</v>
      </c>
      <c r="S107" s="138">
        <f t="shared" ca="1" si="157"/>
        <v>93119127.529106781</v>
      </c>
      <c r="T107" s="138">
        <f t="shared" ca="1" si="157"/>
        <v>93420833.620089188</v>
      </c>
      <c r="U107" s="138">
        <f t="shared" ca="1" si="157"/>
        <v>93723517.239187986</v>
      </c>
      <c r="V107" s="138">
        <f t="shared" ca="1" si="157"/>
        <v>94027181.553595543</v>
      </c>
      <c r="W107" s="138">
        <f t="shared" ca="1" si="157"/>
        <v>94331829.740765885</v>
      </c>
      <c r="X107" s="138">
        <f t="shared" ca="1" si="157"/>
        <v>94637464.988448039</v>
      </c>
      <c r="Y107" s="138">
        <f t="shared" ca="1" si="157"/>
        <v>94944090.494719267</v>
      </c>
      <c r="Z107" s="138">
        <f t="shared" ca="1" si="157"/>
        <v>95251709.468018681</v>
      </c>
      <c r="AA107" s="138">
        <f t="shared" ca="1" si="157"/>
        <v>95560325.127180696</v>
      </c>
      <c r="AB107" s="138">
        <f t="shared" ca="1" si="157"/>
        <v>95869940.701468766</v>
      </c>
      <c r="AC107" s="138">
        <f t="shared" ca="1" si="157"/>
        <v>96180559.430609167</v>
      </c>
      <c r="AD107" s="138">
        <f t="shared" ca="1" si="157"/>
        <v>96492184.564824894</v>
      </c>
      <c r="AE107" s="138">
        <f t="shared" ca="1" si="157"/>
        <v>96804819.364869669</v>
      </c>
      <c r="AF107" s="138">
        <f t="shared" ca="1" si="157"/>
        <v>97118467.102062032</v>
      </c>
      <c r="AG107" s="138">
        <f t="shared" ca="1" si="157"/>
        <v>97433131.058319643</v>
      </c>
      <c r="AH107" s="138">
        <f t="shared" ca="1" si="157"/>
        <v>97748814.526193544</v>
      </c>
      <c r="AI107" s="138">
        <f t="shared" ca="1" si="157"/>
        <v>98065520.808902681</v>
      </c>
      <c r="AJ107" s="138">
        <f t="shared" ca="1" si="157"/>
        <v>98383253.2203684</v>
      </c>
      <c r="AK107" s="138">
        <f t="shared" ca="1" si="157"/>
        <v>98702015.085249171</v>
      </c>
      <c r="AL107" s="138">
        <f t="shared" ca="1" si="157"/>
        <v>99021809.738975361</v>
      </c>
      <c r="AM107" s="138">
        <f t="shared" ca="1" si="157"/>
        <v>99342640.527784154</v>
      </c>
      <c r="AN107" s="138">
        <f t="shared" ca="1" si="157"/>
        <v>99664510.808754489</v>
      </c>
      <c r="AO107" s="138">
        <f t="shared" ca="1" si="157"/>
        <v>99987423.949842319</v>
      </c>
      <c r="AP107" s="138">
        <f t="shared" ca="1" si="157"/>
        <v>100311383.32991572</v>
      </c>
      <c r="AQ107" s="138">
        <f t="shared" ca="1" si="157"/>
        <v>100636392.33879036</v>
      </c>
      <c r="AR107" s="138">
        <f t="shared" ca="1" si="157"/>
        <v>100962454.37726484</v>
      </c>
      <c r="AS107" s="138">
        <f t="shared" ca="1" si="157"/>
        <v>101289572.85715644</v>
      </c>
      <c r="AT107" s="138">
        <f t="shared" ca="1" si="157"/>
        <v>101617751.20133665</v>
      </c>
      <c r="AU107" s="138">
        <f t="shared" ca="1" si="157"/>
        <v>101946992.84376715</v>
      </c>
      <c r="AV107" s="138">
        <f t="shared" ca="1" si="157"/>
        <v>102277301.22953558</v>
      </c>
      <c r="AW107" s="138">
        <f t="shared" ca="1" si="157"/>
        <v>102608679.8148917</v>
      </c>
      <c r="AX107" s="138">
        <f t="shared" ca="1" si="157"/>
        <v>102941132.06728354</v>
      </c>
      <c r="AY107" s="138">
        <f t="shared" ca="1" si="157"/>
        <v>103274661.46539366</v>
      </c>
      <c r="AZ107" s="138">
        <f t="shared" ca="1" si="157"/>
        <v>103609271.49917555</v>
      </c>
      <c r="BA107" s="138">
        <f t="shared" ca="1" si="157"/>
        <v>103944965.66989015</v>
      </c>
      <c r="BB107" s="138">
        <f t="shared" ca="1" si="157"/>
        <v>104281747.49014249</v>
      </c>
      <c r="BC107" s="138">
        <f t="shared" ca="1" si="157"/>
        <v>104619620.48391844</v>
      </c>
      <c r="BD107" s="138">
        <f t="shared" ca="1" si="157"/>
        <v>104958588.18662162</v>
      </c>
      <c r="BE107" s="138">
        <f t="shared" ca="1" si="157"/>
        <v>105298654.14511029</v>
      </c>
      <c r="BF107" s="138">
        <f t="shared" ca="1" si="157"/>
        <v>105639821.91773465</v>
      </c>
      <c r="BG107" s="138">
        <f t="shared" ca="1" si="157"/>
        <v>105982095.07437386</v>
      </c>
      <c r="BH107" s="138">
        <f t="shared" ca="1" si="157"/>
        <v>106325477.19647352</v>
      </c>
      <c r="BI107" s="138">
        <f t="shared" ca="1" si="157"/>
        <v>106669971.87708315</v>
      </c>
      <c r="BJ107" s="138">
        <f t="shared" ca="1" si="157"/>
        <v>107015582.7208937</v>
      </c>
      <c r="BK107" s="138">
        <f t="shared" ca="1" si="157"/>
        <v>107362313.34427537</v>
      </c>
      <c r="BL107" s="138">
        <f t="shared" ca="1" si="157"/>
        <v>107710167.37531537</v>
      </c>
      <c r="BM107" s="138">
        <f t="shared" ca="1" si="157"/>
        <v>72129174.722812787</v>
      </c>
      <c r="BN107" s="138">
        <f t="shared" ca="1" si="157"/>
        <v>72362873.340152219</v>
      </c>
      <c r="BO107" s="138">
        <f t="shared" ca="1" si="157"/>
        <v>72597329.141307428</v>
      </c>
      <c r="BP107" s="138">
        <f t="shared" ca="1" si="157"/>
        <v>72832544.57955496</v>
      </c>
      <c r="BQ107" s="138">
        <f t="shared" ref="BQ107:EB107" ca="1" si="158">(($C$38/12*BQ$66*BQ86)+($E$38/12*BQ$67*BQ86))</f>
        <v>73068522.116119936</v>
      </c>
      <c r="BR107" s="138">
        <f t="shared" ca="1" si="158"/>
        <v>73305264.22020188</v>
      </c>
      <c r="BS107" s="138">
        <f t="shared" ca="1" si="158"/>
        <v>73542773.369000494</v>
      </c>
      <c r="BT107" s="138">
        <f t="shared" ca="1" si="158"/>
        <v>73781052.047741666</v>
      </c>
      <c r="BU107" s="138">
        <f t="shared" ca="1" si="158"/>
        <v>74020102.749703348</v>
      </c>
      <c r="BV107" s="138">
        <f t="shared" ca="1" si="158"/>
        <v>74259927.976241782</v>
      </c>
      <c r="BW107" s="138">
        <f t="shared" ca="1" si="158"/>
        <v>74500530.236817554</v>
      </c>
      <c r="BX107" s="138">
        <f t="shared" ca="1" si="158"/>
        <v>74741912.049021915</v>
      </c>
      <c r="BY107" s="138">
        <f t="shared" ca="1" si="158"/>
        <v>74984075.938603163</v>
      </c>
      <c r="BZ107" s="138">
        <f t="shared" ca="1" si="158"/>
        <v>75227024.439492956</v>
      </c>
      <c r="CA107" s="138">
        <f t="shared" ca="1" si="158"/>
        <v>75470760.09383297</v>
      </c>
      <c r="CB107" s="138">
        <f t="shared" ca="1" si="158"/>
        <v>75715285.452001333</v>
      </c>
      <c r="CC107" s="138">
        <f t="shared" ca="1" si="158"/>
        <v>75960603.072639465</v>
      </c>
      <c r="CD107" s="138">
        <f t="shared" ca="1" si="158"/>
        <v>76206715.522678778</v>
      </c>
      <c r="CE107" s="138">
        <f t="shared" ca="1" si="158"/>
        <v>76453625.377367526</v>
      </c>
      <c r="CF107" s="138">
        <f t="shared" ca="1" si="158"/>
        <v>76701335.220297784</v>
      </c>
      <c r="CG107" s="138">
        <f t="shared" ca="1" si="158"/>
        <v>76949847.643432468</v>
      </c>
      <c r="CH107" s="138">
        <f t="shared" ca="1" si="158"/>
        <v>77199165.247132465</v>
      </c>
      <c r="CI107" s="138">
        <f t="shared" ca="1" si="158"/>
        <v>77449290.640183806</v>
      </c>
      <c r="CJ107" s="138">
        <f t="shared" ca="1" si="158"/>
        <v>77700226.439825028</v>
      </c>
      <c r="CK107" s="138">
        <f t="shared" ca="1" si="158"/>
        <v>77951975.271774501</v>
      </c>
      <c r="CL107" s="138">
        <f t="shared" ca="1" si="158"/>
        <v>78204539.770257935</v>
      </c>
      <c r="CM107" s="138">
        <f t="shared" ca="1" si="158"/>
        <v>78457922.578035921</v>
      </c>
      <c r="CN107" s="138">
        <f t="shared" ca="1" si="158"/>
        <v>78712126.346431613</v>
      </c>
      <c r="CO107" s="138">
        <f t="shared" ca="1" si="158"/>
        <v>78967153.735358462</v>
      </c>
      <c r="CP107" s="138">
        <f t="shared" ca="1" si="158"/>
        <v>79223007.413348019</v>
      </c>
      <c r="CQ107" s="138">
        <f t="shared" ca="1" si="158"/>
        <v>79479690.057577908</v>
      </c>
      <c r="CR107" s="138">
        <f t="shared" ca="1" si="158"/>
        <v>79737204.353899777</v>
      </c>
      <c r="CS107" s="138">
        <f t="shared" ca="1" si="158"/>
        <v>79995552.996867463</v>
      </c>
      <c r="CT107" s="138">
        <f t="shared" ca="1" si="158"/>
        <v>80254738.689765155</v>
      </c>
      <c r="CU107" s="138">
        <f t="shared" ca="1" si="158"/>
        <v>80514764.144635677</v>
      </c>
      <c r="CV107" s="138">
        <f t="shared" ca="1" si="158"/>
        <v>80775632.082308888</v>
      </c>
      <c r="CW107" s="138">
        <f t="shared" ca="1" si="158"/>
        <v>81037345.232430145</v>
      </c>
      <c r="CX107" s="138">
        <f t="shared" ca="1" si="158"/>
        <v>81299906.333488852</v>
      </c>
      <c r="CY107" s="138">
        <f t="shared" ca="1" si="158"/>
        <v>81563318.132847086</v>
      </c>
      <c r="CZ107" s="138">
        <f t="shared" ca="1" si="158"/>
        <v>81827583.386768445</v>
      </c>
      <c r="DA107" s="138">
        <f t="shared" ca="1" si="158"/>
        <v>82092704.860446781</v>
      </c>
      <c r="DB107" s="138">
        <f t="shared" ca="1" si="158"/>
        <v>82358685.328035191</v>
      </c>
      <c r="DC107" s="138">
        <f t="shared" ca="1" si="158"/>
        <v>82625527.572675034</v>
      </c>
      <c r="DD107" s="138">
        <f t="shared" ca="1" si="158"/>
        <v>82893234.386525035</v>
      </c>
      <c r="DE107" s="138">
        <f t="shared" ca="1" si="158"/>
        <v>83161808.570790544</v>
      </c>
      <c r="DF107" s="138">
        <f t="shared" ca="1" si="158"/>
        <v>83431252.935752809</v>
      </c>
      <c r="DG107" s="138">
        <f t="shared" ca="1" si="158"/>
        <v>83701570.300798371</v>
      </c>
      <c r="DH107" s="138">
        <f t="shared" ca="1" si="158"/>
        <v>83972763.494448602</v>
      </c>
      <c r="DI107" s="138">
        <f t="shared" ca="1" si="158"/>
        <v>84244835.35438931</v>
      </c>
      <c r="DJ107" s="138">
        <f t="shared" ca="1" si="158"/>
        <v>84517788.727500364</v>
      </c>
      <c r="DK107" s="138">
        <f t="shared" ca="1" si="158"/>
        <v>84791626.469885558</v>
      </c>
      <c r="DL107" s="138">
        <f t="shared" ca="1" si="158"/>
        <v>85066351.446902469</v>
      </c>
      <c r="DM107" s="138">
        <f t="shared" ca="1" si="158"/>
        <v>85341966.533192411</v>
      </c>
      <c r="DN107" s="138">
        <f t="shared" ca="1" si="158"/>
        <v>85618474.612710565</v>
      </c>
      <c r="DO107" s="138">
        <f t="shared" ca="1" si="158"/>
        <v>85895878.578756124</v>
      </c>
      <c r="DP107" s="138">
        <f t="shared" ca="1" si="158"/>
        <v>86174181.334002569</v>
      </c>
      <c r="DQ107" s="138">
        <f t="shared" ca="1" si="158"/>
        <v>86453385.790528044</v>
      </c>
      <c r="DR107" s="138">
        <f t="shared" ca="1" si="158"/>
        <v>86733494.869845822</v>
      </c>
      <c r="DS107" s="138">
        <f t="shared" ca="1" si="158"/>
        <v>87014511.502934903</v>
      </c>
      <c r="DT107" s="138">
        <f t="shared" ca="1" si="158"/>
        <v>87296438.63027066</v>
      </c>
      <c r="DU107" s="138">
        <f t="shared" ca="1" si="158"/>
        <v>87579279.2018556</v>
      </c>
      <c r="DV107" s="138">
        <f t="shared" ca="1" si="158"/>
        <v>87863036.177250251</v>
      </c>
      <c r="DW107" s="138">
        <f t="shared" ca="1" si="158"/>
        <v>88147712.525604114</v>
      </c>
      <c r="DX107" s="138">
        <f t="shared" ca="1" si="158"/>
        <v>88433311.225686714</v>
      </c>
      <c r="DY107" s="138">
        <f t="shared" ca="1" si="158"/>
        <v>88719835.265918866</v>
      </c>
      <c r="DZ107" s="138">
        <f t="shared" ca="1" si="158"/>
        <v>89007287.644403785</v>
      </c>
      <c r="EA107" s="138">
        <f t="shared" ca="1" si="158"/>
        <v>89295671.368958592</v>
      </c>
      <c r="EB107" s="138">
        <f t="shared" ca="1" si="158"/>
        <v>89584989.457145751</v>
      </c>
      <c r="EC107" s="138">
        <f t="shared" ref="EC107:GN107" ca="1" si="159">(($C$38/12*EC$66*EC86)+($E$38/12*EC$67*EC86))</f>
        <v>89875244.936304599</v>
      </c>
      <c r="ED107" s="138">
        <f t="shared" ca="1" si="159"/>
        <v>90166440.843583077</v>
      </c>
      <c r="EE107" s="138">
        <f t="shared" ca="1" si="159"/>
        <v>90458580.225969464</v>
      </c>
      <c r="EF107" s="138">
        <f t="shared" ca="1" si="159"/>
        <v>90751666.140324309</v>
      </c>
      <c r="EG107" s="138">
        <f t="shared" ca="1" si="159"/>
        <v>91045701.653412417</v>
      </c>
      <c r="EH107" s="138">
        <f t="shared" ca="1" si="159"/>
        <v>91340689.841934845</v>
      </c>
      <c r="EI107" s="138">
        <f t="shared" ca="1" si="159"/>
        <v>91636633.792561233</v>
      </c>
      <c r="EJ107" s="138">
        <f t="shared" ca="1" si="159"/>
        <v>91933536.60196197</v>
      </c>
      <c r="EK107" s="138">
        <f t="shared" ca="1" si="159"/>
        <v>92231401.37684074</v>
      </c>
      <c r="EL107" s="138">
        <f t="shared" ca="1" si="159"/>
        <v>92530231.233966902</v>
      </c>
      <c r="EM107" s="138">
        <f t="shared" ca="1" si="159"/>
        <v>92830029.300208136</v>
      </c>
      <c r="EN107" s="138">
        <f t="shared" ca="1" si="159"/>
        <v>93130798.712563217</v>
      </c>
      <c r="EO107" s="138">
        <f t="shared" ca="1" si="159"/>
        <v>93432542.618194759</v>
      </c>
      <c r="EP107" s="138">
        <f t="shared" ca="1" si="159"/>
        <v>93735264.174462244</v>
      </c>
      <c r="EQ107" s="138">
        <f t="shared" ca="1" si="159"/>
        <v>94038966.548954964</v>
      </c>
      <c r="ER107" s="138">
        <f t="shared" ca="1" si="159"/>
        <v>94343652.919525191</v>
      </c>
      <c r="ES107" s="138">
        <f t="shared" ca="1" si="159"/>
        <v>94649326.474321455</v>
      </c>
      <c r="ET107" s="138">
        <f t="shared" ca="1" si="159"/>
        <v>94955990.411821932</v>
      </c>
      <c r="EU107" s="138">
        <f t="shared" ca="1" si="159"/>
        <v>95263647.940867797</v>
      </c>
      <c r="EV107" s="138">
        <f t="shared" ca="1" si="159"/>
        <v>95572302.280696943</v>
      </c>
      <c r="EW107" s="138">
        <f t="shared" ca="1" si="159"/>
        <v>95881956.660977557</v>
      </c>
      <c r="EX107" s="138">
        <f t="shared" ca="1" si="159"/>
        <v>96192614.32184197</v>
      </c>
      <c r="EY107" s="138">
        <f t="shared" ca="1" si="159"/>
        <v>96504278.513920531</v>
      </c>
      <c r="EZ107" s="138">
        <f t="shared" ca="1" si="159"/>
        <v>96816952.498375669</v>
      </c>
      <c r="FA107" s="138">
        <f t="shared" ca="1" si="159"/>
        <v>97130639.546935946</v>
      </c>
      <c r="FB107" s="138">
        <f t="shared" ca="1" si="159"/>
        <v>97445342.941930339</v>
      </c>
      <c r="FC107" s="138">
        <f t="shared" ca="1" si="159"/>
        <v>97761065.976322591</v>
      </c>
      <c r="FD107" s="138">
        <f t="shared" ca="1" si="159"/>
        <v>98077811.953745633</v>
      </c>
      <c r="FE107" s="138">
        <f t="shared" ca="1" si="159"/>
        <v>98395584.188536182</v>
      </c>
      <c r="FF107" s="138">
        <f t="shared" ca="1" si="159"/>
        <v>98714386.005769402</v>
      </c>
      <c r="FG107" s="138">
        <f t="shared" ca="1" si="159"/>
        <v>99034220.741293728</v>
      </c>
      <c r="FH107" s="138">
        <f t="shared" ca="1" si="159"/>
        <v>99355091.741765708</v>
      </c>
      <c r="FI107" s="138">
        <f t="shared" ca="1" si="159"/>
        <v>99677002.364685103</v>
      </c>
      <c r="FJ107" s="138">
        <f t="shared" ca="1" si="159"/>
        <v>99999955.978429943</v>
      </c>
      <c r="FK107" s="138">
        <f t="shared" ca="1" si="159"/>
        <v>100323955.96229184</v>
      </c>
      <c r="FL107" s="138">
        <f t="shared" ca="1" si="159"/>
        <v>100649005.70651127</v>
      </c>
      <c r="FM107" s="138">
        <f t="shared" ca="1" si="159"/>
        <v>100975108.61231315</v>
      </c>
      <c r="FN107" s="138">
        <f t="shared" ca="1" si="159"/>
        <v>101302268.09194231</v>
      </c>
      <c r="FO107" s="138">
        <f t="shared" ca="1" si="159"/>
        <v>101630487.5686993</v>
      </c>
      <c r="FP107" s="138">
        <f t="shared" ca="1" si="159"/>
        <v>101959770.47697614</v>
      </c>
      <c r="FQ107" s="138">
        <f t="shared" ca="1" si="159"/>
        <v>102290120.26229233</v>
      </c>
      <c r="FR107" s="138">
        <f t="shared" ca="1" si="159"/>
        <v>102621540.38133079</v>
      </c>
      <c r="FS107" s="138">
        <f t="shared" ca="1" si="159"/>
        <v>102954034.30197416</v>
      </c>
      <c r="FT107" s="138">
        <f t="shared" ca="1" si="159"/>
        <v>103287605.50334102</v>
      </c>
      <c r="FU107" s="138">
        <f t="shared" ca="1" si="159"/>
        <v>103622257.47582223</v>
      </c>
      <c r="FV107" s="138">
        <f t="shared" ca="1" si="159"/>
        <v>103957993.72111759</v>
      </c>
      <c r="FW107" s="138">
        <f t="shared" ca="1" si="159"/>
        <v>104294817.75227237</v>
      </c>
      <c r="FX107" s="138">
        <f t="shared" ca="1" si="159"/>
        <v>104632733.09371415</v>
      </c>
      <c r="FY107" s="138">
        <f t="shared" ca="1" si="159"/>
        <v>104971743.28128965</v>
      </c>
      <c r="FZ107" s="138">
        <f t="shared" ca="1" si="159"/>
        <v>105311851.86230171</v>
      </c>
      <c r="GA107" s="138">
        <f t="shared" ca="1" si="159"/>
        <v>105653062.39554647</v>
      </c>
      <c r="GB107" s="138">
        <f t="shared" ca="1" si="159"/>
        <v>105995378.45135054</v>
      </c>
      <c r="GC107" s="138">
        <f t="shared" ca="1" si="159"/>
        <v>106338803.6116084</v>
      </c>
      <c r="GD107" s="138">
        <f t="shared" ca="1" si="159"/>
        <v>106683341.4698199</v>
      </c>
      <c r="GE107" s="138">
        <f t="shared" ca="1" si="159"/>
        <v>107028995.63112783</v>
      </c>
      <c r="GF107" s="138">
        <f t="shared" ca="1" si="159"/>
        <v>107375769.71235561</v>
      </c>
      <c r="GG107" s="138">
        <f t="shared" ca="1" si="159"/>
        <v>107723667.34204523</v>
      </c>
      <c r="GH107" s="138">
        <f t="shared" ca="1" si="159"/>
        <v>108072692.16049509</v>
      </c>
      <c r="GI107" s="138">
        <f t="shared" ca="1" si="159"/>
        <v>108422847.81979822</v>
      </c>
      <c r="GJ107" s="138">
        <f t="shared" ca="1" si="159"/>
        <v>108774137.98388042</v>
      </c>
      <c r="GK107" s="138">
        <f t="shared" ca="1" si="159"/>
        <v>109126566.32853858</v>
      </c>
      <c r="GL107" s="138">
        <f t="shared" ca="1" si="159"/>
        <v>109480136.54147924</v>
      </c>
      <c r="GM107" s="138">
        <f t="shared" ca="1" si="159"/>
        <v>109834852.32235707</v>
      </c>
      <c r="GN107" s="138">
        <f t="shared" ca="1" si="159"/>
        <v>110190717.38281363</v>
      </c>
      <c r="GO107" s="138">
        <f t="shared" ref="GO107:IZ107" ca="1" si="160">(($C$38/12*GO$66*GO86)+($E$38/12*GO$67*GO86))</f>
        <v>110547735.44651619</v>
      </c>
      <c r="GP107" s="138">
        <f t="shared" ca="1" si="160"/>
        <v>110905910.24919677</v>
      </c>
      <c r="GQ107" s="138">
        <f t="shared" ca="1" si="160"/>
        <v>111265245.53869109</v>
      </c>
      <c r="GR107" s="138">
        <f t="shared" ca="1" si="160"/>
        <v>111625745.07497789</v>
      </c>
      <c r="GS107" s="138">
        <f t="shared" ca="1" si="160"/>
        <v>111987412.63021827</v>
      </c>
      <c r="GT107" s="138">
        <f t="shared" ca="1" si="160"/>
        <v>112350251.9887951</v>
      </c>
      <c r="GU107" s="138">
        <f t="shared" ca="1" si="160"/>
        <v>112714266.94735271</v>
      </c>
      <c r="GV107" s="138">
        <f t="shared" ca="1" si="160"/>
        <v>113079461.31483646</v>
      </c>
      <c r="GW107" s="138">
        <f t="shared" ca="1" si="160"/>
        <v>113445838.91253282</v>
      </c>
      <c r="GX107" s="138">
        <f t="shared" ca="1" si="160"/>
        <v>113813403.57410914</v>
      </c>
      <c r="GY107" s="138">
        <f t="shared" ca="1" si="160"/>
        <v>114182159.1456539</v>
      </c>
      <c r="GZ107" s="138">
        <f t="shared" ca="1" si="160"/>
        <v>114552109.48571694</v>
      </c>
      <c r="HA107" s="138">
        <f t="shared" ca="1" si="160"/>
        <v>114923258.46534972</v>
      </c>
      <c r="HB107" s="138">
        <f t="shared" ca="1" si="160"/>
        <v>115295609.96814598</v>
      </c>
      <c r="HC107" s="138">
        <f t="shared" ca="1" si="160"/>
        <v>115669167.8902823</v>
      </c>
      <c r="HD107" s="138">
        <f t="shared" ca="1" si="160"/>
        <v>116043936.14055885</v>
      </c>
      <c r="HE107" s="138">
        <f t="shared" ca="1" si="160"/>
        <v>116419918.64044036</v>
      </c>
      <c r="HF107" s="138">
        <f t="shared" ca="1" si="160"/>
        <v>116797119.32409708</v>
      </c>
      <c r="HG107" s="138">
        <f t="shared" ca="1" si="160"/>
        <v>117175542.13844596</v>
      </c>
      <c r="HH107" s="138">
        <f t="shared" ca="1" si="160"/>
        <v>117555191.043192</v>
      </c>
      <c r="HI107" s="138">
        <f t="shared" ca="1" si="160"/>
        <v>117936070.01086965</v>
      </c>
      <c r="HJ107" s="138">
        <f t="shared" ca="1" si="160"/>
        <v>118318183.02688436</v>
      </c>
      <c r="HK107" s="138">
        <f t="shared" ca="1" si="160"/>
        <v>118701534.08955429</v>
      </c>
      <c r="HL107" s="138">
        <f t="shared" ca="1" si="160"/>
        <v>119086127.21015219</v>
      </c>
      <c r="HM107" s="138">
        <f t="shared" ca="1" si="160"/>
        <v>119471966.4129473</v>
      </c>
      <c r="HN107" s="138">
        <f t="shared" ca="1" si="160"/>
        <v>119859055.73524754</v>
      </c>
      <c r="HO107" s="138">
        <f t="shared" ca="1" si="160"/>
        <v>120247399.22744165</v>
      </c>
      <c r="HP107" s="138">
        <f t="shared" ca="1" si="160"/>
        <v>120637000.9530417</v>
      </c>
      <c r="HQ107" s="138">
        <f t="shared" ca="1" si="160"/>
        <v>121027864.9887255</v>
      </c>
      <c r="HR107" s="138">
        <f t="shared" ca="1" si="160"/>
        <v>121419995.42437932</v>
      </c>
      <c r="HS107" s="138">
        <f t="shared" ca="1" si="160"/>
        <v>121813396.36314067</v>
      </c>
      <c r="HT107" s="138">
        <f t="shared" ca="1" si="160"/>
        <v>122208071.92144124</v>
      </c>
      <c r="HU107" s="138">
        <f t="shared" ca="1" si="160"/>
        <v>122604026.22904994</v>
      </c>
      <c r="HV107" s="138">
        <f t="shared" ca="1" si="160"/>
        <v>123001263.42911614</v>
      </c>
      <c r="HW107" s="138">
        <f t="shared" ca="1" si="160"/>
        <v>123399787.67821305</v>
      </c>
      <c r="HX107" s="138">
        <f t="shared" ca="1" si="160"/>
        <v>123799603.1463811</v>
      </c>
      <c r="HY107" s="138">
        <f t="shared" ca="1" si="160"/>
        <v>124200714.01717176</v>
      </c>
      <c r="HZ107" s="138">
        <f t="shared" ca="1" si="160"/>
        <v>124603124.48769115</v>
      </c>
      <c r="IA107" s="138">
        <f t="shared" ca="1" si="160"/>
        <v>125006838.76864403</v>
      </c>
      <c r="IB107" s="138">
        <f t="shared" ca="1" si="160"/>
        <v>125411861.08437787</v>
      </c>
      <c r="IC107" s="138">
        <f t="shared" ca="1" si="160"/>
        <v>125818195.67292701</v>
      </c>
      <c r="ID107" s="138">
        <f t="shared" ca="1" si="160"/>
        <v>126225846.78605704</v>
      </c>
      <c r="IE107" s="138">
        <f t="shared" ca="1" si="160"/>
        <v>126634818.68930924</v>
      </c>
      <c r="IF107" s="138">
        <f t="shared" ca="1" si="160"/>
        <v>127045115.66204529</v>
      </c>
      <c r="IG107" s="138">
        <f t="shared" ca="1" si="160"/>
        <v>127456741.997492</v>
      </c>
      <c r="IH107" s="138">
        <f t="shared" ca="1" si="160"/>
        <v>127869702.00278625</v>
      </c>
      <c r="II107" s="138">
        <f t="shared" ca="1" si="160"/>
        <v>128283999.99902</v>
      </c>
      <c r="IJ107" s="138">
        <f t="shared" ca="1" si="160"/>
        <v>128699640.32128559</v>
      </c>
      <c r="IK107" s="138">
        <f t="shared" ca="1" si="160"/>
        <v>0</v>
      </c>
      <c r="IL107" s="138">
        <f t="shared" ca="1" si="160"/>
        <v>0</v>
      </c>
      <c r="IM107" s="138">
        <f t="shared" ca="1" si="160"/>
        <v>0</v>
      </c>
      <c r="IN107" s="138">
        <f t="shared" ca="1" si="160"/>
        <v>0</v>
      </c>
      <c r="IO107" s="138">
        <f t="shared" ca="1" si="160"/>
        <v>0</v>
      </c>
      <c r="IP107" s="138">
        <f t="shared" ca="1" si="160"/>
        <v>0</v>
      </c>
      <c r="IQ107" s="138">
        <f t="shared" ca="1" si="160"/>
        <v>0</v>
      </c>
      <c r="IR107" s="138">
        <f t="shared" ca="1" si="160"/>
        <v>0</v>
      </c>
      <c r="IS107" s="138">
        <f t="shared" ca="1" si="160"/>
        <v>0</v>
      </c>
      <c r="IT107" s="138">
        <f t="shared" ca="1" si="160"/>
        <v>0</v>
      </c>
      <c r="IU107" s="138">
        <f t="shared" ca="1" si="160"/>
        <v>0</v>
      </c>
      <c r="IV107" s="138">
        <f t="shared" ca="1" si="160"/>
        <v>0</v>
      </c>
      <c r="IW107" s="138">
        <f t="shared" ca="1" si="160"/>
        <v>0</v>
      </c>
      <c r="IX107" s="138">
        <f t="shared" ca="1" si="160"/>
        <v>0</v>
      </c>
      <c r="IY107" s="138">
        <f t="shared" ca="1" si="160"/>
        <v>0</v>
      </c>
      <c r="IZ107" s="138">
        <f t="shared" ca="1" si="160"/>
        <v>0</v>
      </c>
      <c r="JA107" s="138">
        <f t="shared" ref="JA107:LL107" ca="1" si="161">(($C$38/12*JA$66*JA86)+($E$38/12*JA$67*JA86))</f>
        <v>0</v>
      </c>
      <c r="JB107" s="138">
        <f t="shared" ca="1" si="161"/>
        <v>0</v>
      </c>
      <c r="JC107" s="138">
        <f t="shared" ca="1" si="161"/>
        <v>0</v>
      </c>
      <c r="JD107" s="138">
        <f t="shared" ca="1" si="161"/>
        <v>0</v>
      </c>
      <c r="JE107" s="138">
        <f t="shared" ca="1" si="161"/>
        <v>0</v>
      </c>
      <c r="JF107" s="138">
        <f t="shared" ca="1" si="161"/>
        <v>0</v>
      </c>
      <c r="JG107" s="138">
        <f t="shared" ca="1" si="161"/>
        <v>0</v>
      </c>
      <c r="JH107" s="138">
        <f t="shared" ca="1" si="161"/>
        <v>0</v>
      </c>
      <c r="JI107" s="138">
        <f t="shared" ca="1" si="161"/>
        <v>0</v>
      </c>
      <c r="JJ107" s="138">
        <f t="shared" ca="1" si="161"/>
        <v>0</v>
      </c>
      <c r="JK107" s="138">
        <f t="shared" ca="1" si="161"/>
        <v>0</v>
      </c>
      <c r="JL107" s="138">
        <f t="shared" ca="1" si="161"/>
        <v>0</v>
      </c>
      <c r="JM107" s="138">
        <f t="shared" ca="1" si="161"/>
        <v>0</v>
      </c>
      <c r="JN107" s="138">
        <f t="shared" ca="1" si="161"/>
        <v>0</v>
      </c>
      <c r="JO107" s="138">
        <f t="shared" ca="1" si="161"/>
        <v>0</v>
      </c>
      <c r="JP107" s="138">
        <f t="shared" ca="1" si="161"/>
        <v>0</v>
      </c>
      <c r="JQ107" s="138">
        <f t="shared" ca="1" si="161"/>
        <v>0</v>
      </c>
      <c r="JR107" s="138">
        <f t="shared" ca="1" si="161"/>
        <v>0</v>
      </c>
      <c r="JS107" s="138">
        <f t="shared" ca="1" si="161"/>
        <v>0</v>
      </c>
      <c r="JT107" s="138">
        <f t="shared" ca="1" si="161"/>
        <v>0</v>
      </c>
      <c r="JU107" s="138">
        <f t="shared" ca="1" si="161"/>
        <v>0</v>
      </c>
      <c r="JV107" s="138">
        <f t="shared" ca="1" si="161"/>
        <v>0</v>
      </c>
      <c r="JW107" s="138">
        <f t="shared" ca="1" si="161"/>
        <v>0</v>
      </c>
      <c r="JX107" s="138">
        <f t="shared" ca="1" si="161"/>
        <v>0</v>
      </c>
      <c r="JY107" s="138">
        <f t="shared" ca="1" si="161"/>
        <v>0</v>
      </c>
      <c r="JZ107" s="138">
        <f t="shared" ca="1" si="161"/>
        <v>0</v>
      </c>
      <c r="KA107" s="138">
        <f t="shared" ca="1" si="161"/>
        <v>0</v>
      </c>
      <c r="KB107" s="138">
        <f t="shared" ca="1" si="161"/>
        <v>0</v>
      </c>
      <c r="KC107" s="138">
        <f t="shared" ca="1" si="161"/>
        <v>0</v>
      </c>
      <c r="KD107" s="138">
        <f t="shared" ca="1" si="161"/>
        <v>0</v>
      </c>
      <c r="KE107" s="138">
        <f t="shared" ca="1" si="161"/>
        <v>0</v>
      </c>
      <c r="KF107" s="138">
        <f t="shared" ca="1" si="161"/>
        <v>0</v>
      </c>
      <c r="KG107" s="138">
        <f t="shared" ca="1" si="161"/>
        <v>0</v>
      </c>
      <c r="KH107" s="138">
        <f t="shared" ca="1" si="161"/>
        <v>0</v>
      </c>
      <c r="KI107" s="138">
        <f t="shared" ca="1" si="161"/>
        <v>0</v>
      </c>
      <c r="KJ107" s="138">
        <f t="shared" ca="1" si="161"/>
        <v>0</v>
      </c>
      <c r="KK107" s="138">
        <f t="shared" ca="1" si="161"/>
        <v>0</v>
      </c>
      <c r="KL107" s="138">
        <f t="shared" ca="1" si="161"/>
        <v>0</v>
      </c>
      <c r="KM107" s="138">
        <f t="shared" ca="1" si="161"/>
        <v>0</v>
      </c>
      <c r="KN107" s="138">
        <f t="shared" ca="1" si="161"/>
        <v>0</v>
      </c>
      <c r="KO107" s="138">
        <f t="shared" ca="1" si="161"/>
        <v>0</v>
      </c>
      <c r="KP107" s="138">
        <f t="shared" ca="1" si="161"/>
        <v>0</v>
      </c>
      <c r="KQ107" s="138">
        <f t="shared" ca="1" si="161"/>
        <v>0</v>
      </c>
      <c r="KR107" s="138">
        <f t="shared" ca="1" si="161"/>
        <v>0</v>
      </c>
      <c r="KS107" s="138">
        <f t="shared" ca="1" si="161"/>
        <v>0</v>
      </c>
      <c r="KT107" s="138">
        <f t="shared" ca="1" si="161"/>
        <v>0</v>
      </c>
      <c r="KU107" s="138">
        <f t="shared" ca="1" si="161"/>
        <v>0</v>
      </c>
      <c r="KV107" s="138">
        <f t="shared" ca="1" si="161"/>
        <v>0</v>
      </c>
      <c r="KW107" s="138">
        <f t="shared" ca="1" si="161"/>
        <v>0</v>
      </c>
      <c r="KX107" s="138">
        <f t="shared" ca="1" si="161"/>
        <v>0</v>
      </c>
      <c r="KY107" s="138">
        <f t="shared" ca="1" si="161"/>
        <v>0</v>
      </c>
      <c r="KZ107" s="138">
        <f t="shared" ca="1" si="161"/>
        <v>0</v>
      </c>
      <c r="LA107" s="138">
        <f t="shared" ca="1" si="161"/>
        <v>0</v>
      </c>
      <c r="LB107" s="138">
        <f t="shared" ca="1" si="161"/>
        <v>0</v>
      </c>
      <c r="LC107" s="138">
        <f t="shared" ca="1" si="161"/>
        <v>0</v>
      </c>
      <c r="LD107" s="138">
        <f t="shared" ca="1" si="161"/>
        <v>0</v>
      </c>
      <c r="LE107" s="138">
        <f t="shared" ca="1" si="161"/>
        <v>0</v>
      </c>
      <c r="LF107" s="138">
        <f t="shared" ca="1" si="161"/>
        <v>0</v>
      </c>
      <c r="LG107" s="138">
        <f t="shared" ca="1" si="161"/>
        <v>0</v>
      </c>
      <c r="LH107" s="138">
        <f t="shared" ca="1" si="161"/>
        <v>0</v>
      </c>
      <c r="LI107" s="138">
        <f t="shared" ca="1" si="161"/>
        <v>0</v>
      </c>
      <c r="LJ107" s="138">
        <f t="shared" ca="1" si="161"/>
        <v>0</v>
      </c>
      <c r="LK107" s="138">
        <f t="shared" ca="1" si="161"/>
        <v>0</v>
      </c>
      <c r="LL107" s="138">
        <f t="shared" ca="1" si="161"/>
        <v>0</v>
      </c>
      <c r="LM107" s="138">
        <f t="shared" ref="LM107:NX107" ca="1" si="162">(($C$38/12*LM$66*LM86)+($E$38/12*LM$67*LM86))</f>
        <v>0</v>
      </c>
      <c r="LN107" s="138">
        <f t="shared" ca="1" si="162"/>
        <v>0</v>
      </c>
      <c r="LO107" s="138">
        <f t="shared" ca="1" si="162"/>
        <v>0</v>
      </c>
      <c r="LP107" s="138">
        <f t="shared" ca="1" si="162"/>
        <v>0</v>
      </c>
      <c r="LQ107" s="138">
        <f t="shared" ca="1" si="162"/>
        <v>0</v>
      </c>
      <c r="LR107" s="138">
        <f t="shared" ca="1" si="162"/>
        <v>0</v>
      </c>
      <c r="LS107" s="138">
        <f t="shared" ca="1" si="162"/>
        <v>0</v>
      </c>
      <c r="LT107" s="138">
        <f t="shared" ca="1" si="162"/>
        <v>0</v>
      </c>
      <c r="LU107" s="138">
        <f t="shared" ca="1" si="162"/>
        <v>0</v>
      </c>
      <c r="LV107" s="138">
        <f t="shared" ca="1" si="162"/>
        <v>0</v>
      </c>
      <c r="LW107" s="138">
        <f t="shared" ca="1" si="162"/>
        <v>0</v>
      </c>
      <c r="LX107" s="138">
        <f t="shared" ca="1" si="162"/>
        <v>0</v>
      </c>
      <c r="LY107" s="138">
        <f t="shared" ca="1" si="162"/>
        <v>0</v>
      </c>
      <c r="LZ107" s="138">
        <f t="shared" ca="1" si="162"/>
        <v>0</v>
      </c>
      <c r="MA107" s="138">
        <f t="shared" ca="1" si="162"/>
        <v>0</v>
      </c>
      <c r="MB107" s="138">
        <f t="shared" ca="1" si="162"/>
        <v>0</v>
      </c>
      <c r="MC107" s="138">
        <f t="shared" ca="1" si="162"/>
        <v>0</v>
      </c>
      <c r="MD107" s="138">
        <f t="shared" ca="1" si="162"/>
        <v>0</v>
      </c>
      <c r="ME107" s="138">
        <f t="shared" ca="1" si="162"/>
        <v>0</v>
      </c>
      <c r="MF107" s="138">
        <f t="shared" ca="1" si="162"/>
        <v>0</v>
      </c>
      <c r="MG107" s="138">
        <f t="shared" ca="1" si="162"/>
        <v>0</v>
      </c>
      <c r="MH107" s="138">
        <f t="shared" ca="1" si="162"/>
        <v>0</v>
      </c>
      <c r="MI107" s="138">
        <f t="shared" ca="1" si="162"/>
        <v>0</v>
      </c>
      <c r="MJ107" s="138">
        <f t="shared" ca="1" si="162"/>
        <v>0</v>
      </c>
      <c r="MK107" s="138">
        <f t="shared" ca="1" si="162"/>
        <v>0</v>
      </c>
      <c r="ML107" s="138">
        <f t="shared" ca="1" si="162"/>
        <v>0</v>
      </c>
      <c r="MM107" s="138">
        <f t="shared" ca="1" si="162"/>
        <v>0</v>
      </c>
      <c r="MN107" s="138">
        <f t="shared" ca="1" si="162"/>
        <v>0</v>
      </c>
      <c r="MO107" s="138">
        <f t="shared" ca="1" si="162"/>
        <v>0</v>
      </c>
      <c r="MP107" s="138">
        <f t="shared" ca="1" si="162"/>
        <v>0</v>
      </c>
      <c r="MQ107" s="138">
        <f t="shared" ca="1" si="162"/>
        <v>0</v>
      </c>
      <c r="MR107" s="138">
        <f t="shared" ca="1" si="162"/>
        <v>0</v>
      </c>
      <c r="MS107" s="138">
        <f t="shared" ca="1" si="162"/>
        <v>0</v>
      </c>
      <c r="MT107" s="138">
        <f t="shared" ca="1" si="162"/>
        <v>0</v>
      </c>
      <c r="MU107" s="138">
        <f t="shared" ca="1" si="162"/>
        <v>0</v>
      </c>
      <c r="MV107" s="138">
        <f t="shared" ca="1" si="162"/>
        <v>0</v>
      </c>
      <c r="MW107" s="138">
        <f t="shared" ca="1" si="162"/>
        <v>0</v>
      </c>
      <c r="MX107" s="138">
        <f t="shared" ca="1" si="162"/>
        <v>0</v>
      </c>
      <c r="MY107" s="138">
        <f t="shared" ca="1" si="162"/>
        <v>0</v>
      </c>
      <c r="MZ107" s="138">
        <f t="shared" ca="1" si="162"/>
        <v>0</v>
      </c>
      <c r="NA107" s="138">
        <f t="shared" ca="1" si="162"/>
        <v>0</v>
      </c>
      <c r="NB107" s="138">
        <f t="shared" ca="1" si="162"/>
        <v>0</v>
      </c>
      <c r="NC107" s="138">
        <f t="shared" ca="1" si="162"/>
        <v>0</v>
      </c>
      <c r="ND107" s="138">
        <f t="shared" ca="1" si="162"/>
        <v>0</v>
      </c>
      <c r="NE107" s="138">
        <f t="shared" ca="1" si="162"/>
        <v>0</v>
      </c>
      <c r="NF107" s="138">
        <f t="shared" ca="1" si="162"/>
        <v>0</v>
      </c>
      <c r="NG107" s="138">
        <f t="shared" ca="1" si="162"/>
        <v>0</v>
      </c>
      <c r="NH107" s="138">
        <f t="shared" ca="1" si="162"/>
        <v>0</v>
      </c>
      <c r="NI107" s="138">
        <f t="shared" ca="1" si="162"/>
        <v>0</v>
      </c>
      <c r="NJ107" s="138">
        <f t="shared" ca="1" si="162"/>
        <v>0</v>
      </c>
      <c r="NK107" s="138">
        <f t="shared" ca="1" si="162"/>
        <v>0</v>
      </c>
      <c r="NL107" s="138">
        <f t="shared" ca="1" si="162"/>
        <v>0</v>
      </c>
      <c r="NM107" s="138">
        <f t="shared" ca="1" si="162"/>
        <v>0</v>
      </c>
      <c r="NN107" s="138">
        <f t="shared" ca="1" si="162"/>
        <v>0</v>
      </c>
      <c r="NO107" s="138">
        <f t="shared" ca="1" si="162"/>
        <v>0</v>
      </c>
      <c r="NP107" s="138">
        <f t="shared" ca="1" si="162"/>
        <v>0</v>
      </c>
      <c r="NQ107" s="138">
        <f t="shared" ca="1" si="162"/>
        <v>0</v>
      </c>
      <c r="NR107" s="138">
        <f t="shared" ca="1" si="162"/>
        <v>0</v>
      </c>
      <c r="NS107" s="138">
        <f t="shared" ca="1" si="162"/>
        <v>0</v>
      </c>
      <c r="NT107" s="138">
        <f t="shared" ca="1" si="162"/>
        <v>0</v>
      </c>
      <c r="NU107" s="138">
        <f t="shared" ca="1" si="162"/>
        <v>0</v>
      </c>
      <c r="NV107" s="138">
        <f t="shared" ca="1" si="162"/>
        <v>0</v>
      </c>
      <c r="NW107" s="138">
        <f t="shared" ca="1" si="162"/>
        <v>0</v>
      </c>
      <c r="NX107" s="138">
        <f t="shared" ca="1" si="162"/>
        <v>0</v>
      </c>
      <c r="NY107" s="138">
        <f t="shared" ref="NY107:QJ107" ca="1" si="163">(($C$38/12*NY$66*NY86)+($E$38/12*NY$67*NY86))</f>
        <v>0</v>
      </c>
      <c r="NZ107" s="138">
        <f t="shared" ca="1" si="163"/>
        <v>0</v>
      </c>
      <c r="OA107" s="138">
        <f t="shared" ca="1" si="163"/>
        <v>0</v>
      </c>
      <c r="OB107" s="138">
        <f t="shared" ca="1" si="163"/>
        <v>0</v>
      </c>
      <c r="OC107" s="138">
        <f t="shared" ca="1" si="163"/>
        <v>0</v>
      </c>
      <c r="OD107" s="138">
        <f t="shared" ca="1" si="163"/>
        <v>0</v>
      </c>
      <c r="OE107" s="138">
        <f t="shared" ca="1" si="163"/>
        <v>0</v>
      </c>
      <c r="OF107" s="138">
        <f t="shared" ca="1" si="163"/>
        <v>0</v>
      </c>
      <c r="OG107" s="138">
        <f t="shared" ca="1" si="163"/>
        <v>0</v>
      </c>
      <c r="OH107" s="138">
        <f t="shared" ca="1" si="163"/>
        <v>0</v>
      </c>
      <c r="OI107" s="138">
        <f t="shared" ca="1" si="163"/>
        <v>0</v>
      </c>
      <c r="OJ107" s="138">
        <f t="shared" ca="1" si="163"/>
        <v>0</v>
      </c>
      <c r="OK107" s="138">
        <f t="shared" ca="1" si="163"/>
        <v>0</v>
      </c>
      <c r="OL107" s="138">
        <f t="shared" ca="1" si="163"/>
        <v>0</v>
      </c>
      <c r="OM107" s="138">
        <f t="shared" ca="1" si="163"/>
        <v>0</v>
      </c>
      <c r="ON107" s="138">
        <f t="shared" ca="1" si="163"/>
        <v>0</v>
      </c>
      <c r="OO107" s="138">
        <f t="shared" ca="1" si="163"/>
        <v>0</v>
      </c>
      <c r="OP107" s="138">
        <f t="shared" ca="1" si="163"/>
        <v>0</v>
      </c>
      <c r="OQ107" s="138">
        <f t="shared" ca="1" si="163"/>
        <v>0</v>
      </c>
      <c r="OR107" s="138">
        <f t="shared" ca="1" si="163"/>
        <v>0</v>
      </c>
      <c r="OS107" s="138">
        <f t="shared" ca="1" si="163"/>
        <v>0</v>
      </c>
      <c r="OT107" s="138">
        <f t="shared" ca="1" si="163"/>
        <v>0</v>
      </c>
      <c r="OU107" s="138">
        <f t="shared" ca="1" si="163"/>
        <v>0</v>
      </c>
      <c r="OV107" s="138">
        <f t="shared" ca="1" si="163"/>
        <v>0</v>
      </c>
      <c r="OW107" s="138">
        <f t="shared" ca="1" si="163"/>
        <v>0</v>
      </c>
      <c r="OX107" s="138">
        <f t="shared" ca="1" si="163"/>
        <v>0</v>
      </c>
      <c r="OY107" s="138">
        <f t="shared" ca="1" si="163"/>
        <v>0</v>
      </c>
      <c r="OZ107" s="138">
        <f t="shared" ca="1" si="163"/>
        <v>0</v>
      </c>
      <c r="PA107" s="138">
        <f t="shared" ca="1" si="163"/>
        <v>0</v>
      </c>
      <c r="PB107" s="138">
        <f t="shared" ca="1" si="163"/>
        <v>0</v>
      </c>
      <c r="PC107" s="138">
        <f t="shared" ca="1" si="163"/>
        <v>0</v>
      </c>
      <c r="PD107" s="138">
        <f t="shared" ca="1" si="163"/>
        <v>0</v>
      </c>
      <c r="PE107" s="138">
        <f t="shared" ca="1" si="163"/>
        <v>0</v>
      </c>
      <c r="PF107" s="138">
        <f t="shared" ca="1" si="163"/>
        <v>0</v>
      </c>
      <c r="PG107" s="138">
        <f t="shared" ca="1" si="163"/>
        <v>0</v>
      </c>
      <c r="PH107" s="138">
        <f t="shared" ca="1" si="163"/>
        <v>0</v>
      </c>
      <c r="PI107" s="138">
        <f t="shared" ca="1" si="163"/>
        <v>0</v>
      </c>
      <c r="PJ107" s="138">
        <f t="shared" ca="1" si="163"/>
        <v>0</v>
      </c>
      <c r="PK107" s="138">
        <f t="shared" ca="1" si="163"/>
        <v>0</v>
      </c>
      <c r="PL107" s="138">
        <f t="shared" ca="1" si="163"/>
        <v>0</v>
      </c>
      <c r="PM107" s="138">
        <f t="shared" ca="1" si="163"/>
        <v>0</v>
      </c>
      <c r="PN107" s="138">
        <f t="shared" ca="1" si="163"/>
        <v>0</v>
      </c>
      <c r="PO107" s="138">
        <f t="shared" ca="1" si="163"/>
        <v>0</v>
      </c>
      <c r="PP107" s="138">
        <f t="shared" ca="1" si="163"/>
        <v>0</v>
      </c>
      <c r="PQ107" s="138">
        <f t="shared" ca="1" si="163"/>
        <v>0</v>
      </c>
      <c r="PR107" s="138">
        <f t="shared" ca="1" si="163"/>
        <v>0</v>
      </c>
      <c r="PS107" s="138">
        <f t="shared" ca="1" si="163"/>
        <v>0</v>
      </c>
      <c r="PT107" s="138">
        <f t="shared" ca="1" si="163"/>
        <v>0</v>
      </c>
      <c r="PU107" s="138">
        <f t="shared" ca="1" si="163"/>
        <v>0</v>
      </c>
      <c r="PV107" s="138">
        <f t="shared" ca="1" si="163"/>
        <v>0</v>
      </c>
      <c r="PW107" s="138">
        <f t="shared" ca="1" si="163"/>
        <v>0</v>
      </c>
      <c r="PX107" s="138">
        <f t="shared" ca="1" si="163"/>
        <v>0</v>
      </c>
      <c r="PY107" s="138">
        <f t="shared" ca="1" si="163"/>
        <v>0</v>
      </c>
      <c r="PZ107" s="138">
        <f t="shared" ca="1" si="163"/>
        <v>0</v>
      </c>
      <c r="QA107" s="138">
        <f t="shared" ca="1" si="163"/>
        <v>0</v>
      </c>
      <c r="QB107" s="138">
        <f t="shared" ca="1" si="163"/>
        <v>0</v>
      </c>
      <c r="QC107" s="138">
        <f t="shared" ca="1" si="163"/>
        <v>0</v>
      </c>
      <c r="QD107" s="138">
        <f t="shared" ca="1" si="163"/>
        <v>0</v>
      </c>
      <c r="QE107" s="138">
        <f t="shared" ca="1" si="163"/>
        <v>0</v>
      </c>
      <c r="QF107" s="138">
        <f t="shared" ca="1" si="163"/>
        <v>0</v>
      </c>
      <c r="QG107" s="138">
        <f t="shared" ca="1" si="163"/>
        <v>0</v>
      </c>
      <c r="QH107" s="138">
        <f t="shared" ca="1" si="163"/>
        <v>0</v>
      </c>
      <c r="QI107" s="138">
        <f t="shared" ca="1" si="163"/>
        <v>0</v>
      </c>
      <c r="QJ107" s="138">
        <f t="shared" ca="1" si="163"/>
        <v>0</v>
      </c>
      <c r="QK107" s="138">
        <f t="shared" ref="QK107:RR107" ca="1" si="164">(($C$38/12*QK$66*QK86)+($E$38/12*QK$67*QK86))</f>
        <v>0</v>
      </c>
      <c r="QL107" s="138">
        <f t="shared" ca="1" si="164"/>
        <v>0</v>
      </c>
      <c r="QM107" s="138">
        <f t="shared" ca="1" si="164"/>
        <v>0</v>
      </c>
      <c r="QN107" s="138">
        <f t="shared" ca="1" si="164"/>
        <v>0</v>
      </c>
      <c r="QO107" s="138">
        <f t="shared" ca="1" si="164"/>
        <v>0</v>
      </c>
      <c r="QP107" s="138">
        <f t="shared" ca="1" si="164"/>
        <v>0</v>
      </c>
      <c r="QQ107" s="138">
        <f t="shared" ca="1" si="164"/>
        <v>0</v>
      </c>
      <c r="QR107" s="138">
        <f t="shared" ca="1" si="164"/>
        <v>0</v>
      </c>
      <c r="QS107" s="138">
        <f t="shared" ca="1" si="164"/>
        <v>0</v>
      </c>
      <c r="QT107" s="138">
        <f t="shared" ca="1" si="164"/>
        <v>0</v>
      </c>
      <c r="QU107" s="138">
        <f t="shared" ca="1" si="164"/>
        <v>0</v>
      </c>
      <c r="QV107" s="138">
        <f t="shared" ca="1" si="164"/>
        <v>0</v>
      </c>
      <c r="QW107" s="138">
        <f t="shared" ca="1" si="164"/>
        <v>0</v>
      </c>
      <c r="QX107" s="138">
        <f t="shared" ca="1" si="164"/>
        <v>0</v>
      </c>
      <c r="QY107" s="138">
        <f t="shared" ca="1" si="164"/>
        <v>0</v>
      </c>
      <c r="QZ107" s="138">
        <f t="shared" ca="1" si="164"/>
        <v>0</v>
      </c>
      <c r="RA107" s="138">
        <f t="shared" ca="1" si="164"/>
        <v>0</v>
      </c>
      <c r="RB107" s="138">
        <f t="shared" ca="1" si="164"/>
        <v>0</v>
      </c>
      <c r="RC107" s="138">
        <f t="shared" ca="1" si="164"/>
        <v>0</v>
      </c>
      <c r="RD107" s="138">
        <f t="shared" ca="1" si="164"/>
        <v>0</v>
      </c>
      <c r="RE107" s="138">
        <f t="shared" ca="1" si="164"/>
        <v>0</v>
      </c>
      <c r="RF107" s="138">
        <f t="shared" ca="1" si="164"/>
        <v>0</v>
      </c>
      <c r="RG107" s="138">
        <f t="shared" ca="1" si="164"/>
        <v>0</v>
      </c>
      <c r="RH107" s="138">
        <f t="shared" ca="1" si="164"/>
        <v>0</v>
      </c>
      <c r="RI107" s="138">
        <f t="shared" ca="1" si="164"/>
        <v>0</v>
      </c>
      <c r="RJ107" s="138">
        <f t="shared" ca="1" si="164"/>
        <v>0</v>
      </c>
      <c r="RK107" s="138">
        <f t="shared" ca="1" si="164"/>
        <v>0</v>
      </c>
      <c r="RL107" s="138">
        <f t="shared" ca="1" si="164"/>
        <v>0</v>
      </c>
      <c r="RM107" s="138">
        <f t="shared" ca="1" si="164"/>
        <v>0</v>
      </c>
      <c r="RN107" s="138">
        <f t="shared" ca="1" si="164"/>
        <v>0</v>
      </c>
      <c r="RO107" s="138">
        <f t="shared" ca="1" si="164"/>
        <v>0</v>
      </c>
      <c r="RP107" s="138">
        <f t="shared" ca="1" si="164"/>
        <v>0</v>
      </c>
      <c r="RQ107" s="138">
        <f t="shared" ca="1" si="164"/>
        <v>0</v>
      </c>
      <c r="RR107" s="138">
        <f t="shared" ca="1" si="164"/>
        <v>0</v>
      </c>
    </row>
    <row r="108" spans="1:486" s="9" customFormat="1">
      <c r="A108" s="288"/>
      <c r="B108" s="66" t="s">
        <v>206</v>
      </c>
      <c r="E108" s="138">
        <f>(($B$39/12*E$66)+($D$39/12*E$67))*(IF($B$42=2,E$89,IF($B$42=1,E$87,E$91))+$G$47)</f>
        <v>0</v>
      </c>
      <c r="F108" s="276">
        <f t="shared" ref="F108:BQ108" ca="1" si="165">(($B$39/12*F$66)+($D$39/12*F$67))*(IF($B$42=2,F$89,IF($B$42=1,F$87,F$91))+$G$47)</f>
        <v>0</v>
      </c>
      <c r="G108" s="276">
        <f t="shared" ca="1" si="165"/>
        <v>0</v>
      </c>
      <c r="H108" s="276">
        <f t="shared" ca="1" si="165"/>
        <v>0</v>
      </c>
      <c r="I108" s="276">
        <f t="shared" ca="1" si="165"/>
        <v>0</v>
      </c>
      <c r="J108" s="276">
        <f t="shared" ca="1" si="165"/>
        <v>0</v>
      </c>
      <c r="K108" s="276">
        <f t="shared" ca="1" si="165"/>
        <v>0</v>
      </c>
      <c r="L108" s="276">
        <f t="shared" ca="1" si="165"/>
        <v>0</v>
      </c>
      <c r="M108" s="276">
        <f t="shared" ca="1" si="165"/>
        <v>0</v>
      </c>
      <c r="N108" s="276">
        <f t="shared" ca="1" si="165"/>
        <v>0</v>
      </c>
      <c r="O108" s="276">
        <f t="shared" ca="1" si="165"/>
        <v>0</v>
      </c>
      <c r="P108" s="276">
        <f t="shared" ca="1" si="165"/>
        <v>0</v>
      </c>
      <c r="Q108" s="276">
        <f t="shared" ca="1" si="165"/>
        <v>0</v>
      </c>
      <c r="R108" s="276">
        <f t="shared" ca="1" si="165"/>
        <v>0</v>
      </c>
      <c r="S108" s="276">
        <f t="shared" ca="1" si="165"/>
        <v>0</v>
      </c>
      <c r="T108" s="276">
        <f t="shared" ca="1" si="165"/>
        <v>0</v>
      </c>
      <c r="U108" s="276">
        <f t="shared" ca="1" si="165"/>
        <v>0</v>
      </c>
      <c r="V108" s="276">
        <f t="shared" ca="1" si="165"/>
        <v>0</v>
      </c>
      <c r="W108" s="276">
        <f t="shared" ca="1" si="165"/>
        <v>0</v>
      </c>
      <c r="X108" s="276">
        <f t="shared" ca="1" si="165"/>
        <v>0</v>
      </c>
      <c r="Y108" s="276">
        <f t="shared" ca="1" si="165"/>
        <v>0</v>
      </c>
      <c r="Z108" s="276">
        <f t="shared" ca="1" si="165"/>
        <v>0</v>
      </c>
      <c r="AA108" s="276">
        <f t="shared" ca="1" si="165"/>
        <v>0</v>
      </c>
      <c r="AB108" s="276">
        <f t="shared" ca="1" si="165"/>
        <v>0</v>
      </c>
      <c r="AC108" s="276">
        <f t="shared" ca="1" si="165"/>
        <v>0</v>
      </c>
      <c r="AD108" s="276">
        <f t="shared" ca="1" si="165"/>
        <v>0</v>
      </c>
      <c r="AE108" s="276">
        <f t="shared" ca="1" si="165"/>
        <v>0</v>
      </c>
      <c r="AF108" s="276">
        <f t="shared" ca="1" si="165"/>
        <v>0</v>
      </c>
      <c r="AG108" s="276">
        <f t="shared" ca="1" si="165"/>
        <v>0</v>
      </c>
      <c r="AH108" s="276">
        <f t="shared" ca="1" si="165"/>
        <v>0</v>
      </c>
      <c r="AI108" s="276">
        <f t="shared" ca="1" si="165"/>
        <v>0</v>
      </c>
      <c r="AJ108" s="276">
        <f t="shared" ca="1" si="165"/>
        <v>0</v>
      </c>
      <c r="AK108" s="276">
        <f t="shared" ca="1" si="165"/>
        <v>0</v>
      </c>
      <c r="AL108" s="276">
        <f t="shared" ca="1" si="165"/>
        <v>0</v>
      </c>
      <c r="AM108" s="276">
        <f t="shared" ca="1" si="165"/>
        <v>0</v>
      </c>
      <c r="AN108" s="276">
        <f t="shared" ca="1" si="165"/>
        <v>0</v>
      </c>
      <c r="AO108" s="276">
        <f t="shared" ca="1" si="165"/>
        <v>0</v>
      </c>
      <c r="AP108" s="276">
        <f t="shared" ca="1" si="165"/>
        <v>0</v>
      </c>
      <c r="AQ108" s="276">
        <f t="shared" ca="1" si="165"/>
        <v>0</v>
      </c>
      <c r="AR108" s="276">
        <f t="shared" ca="1" si="165"/>
        <v>0</v>
      </c>
      <c r="AS108" s="276">
        <f t="shared" ca="1" si="165"/>
        <v>0</v>
      </c>
      <c r="AT108" s="276">
        <f t="shared" ca="1" si="165"/>
        <v>0</v>
      </c>
      <c r="AU108" s="276">
        <f t="shared" ca="1" si="165"/>
        <v>0</v>
      </c>
      <c r="AV108" s="276">
        <f t="shared" ca="1" si="165"/>
        <v>0</v>
      </c>
      <c r="AW108" s="276">
        <f t="shared" ca="1" si="165"/>
        <v>0</v>
      </c>
      <c r="AX108" s="276">
        <f t="shared" ca="1" si="165"/>
        <v>0</v>
      </c>
      <c r="AY108" s="276">
        <f t="shared" ca="1" si="165"/>
        <v>0</v>
      </c>
      <c r="AZ108" s="276">
        <f t="shared" ca="1" si="165"/>
        <v>0</v>
      </c>
      <c r="BA108" s="276">
        <f t="shared" ca="1" si="165"/>
        <v>0</v>
      </c>
      <c r="BB108" s="276">
        <f t="shared" ca="1" si="165"/>
        <v>0</v>
      </c>
      <c r="BC108" s="276">
        <f t="shared" ca="1" si="165"/>
        <v>0</v>
      </c>
      <c r="BD108" s="276">
        <f t="shared" ca="1" si="165"/>
        <v>0</v>
      </c>
      <c r="BE108" s="276">
        <f t="shared" ca="1" si="165"/>
        <v>0</v>
      </c>
      <c r="BF108" s="276">
        <f t="shared" ca="1" si="165"/>
        <v>0</v>
      </c>
      <c r="BG108" s="276">
        <f t="shared" ca="1" si="165"/>
        <v>0</v>
      </c>
      <c r="BH108" s="276">
        <f t="shared" ca="1" si="165"/>
        <v>0</v>
      </c>
      <c r="BI108" s="276">
        <f t="shared" ca="1" si="165"/>
        <v>0</v>
      </c>
      <c r="BJ108" s="276">
        <f t="shared" ca="1" si="165"/>
        <v>0</v>
      </c>
      <c r="BK108" s="276">
        <f t="shared" ca="1" si="165"/>
        <v>0</v>
      </c>
      <c r="BL108" s="276">
        <f t="shared" ca="1" si="165"/>
        <v>0</v>
      </c>
      <c r="BM108" s="276">
        <f t="shared" ca="1" si="165"/>
        <v>0</v>
      </c>
      <c r="BN108" s="276">
        <f t="shared" ca="1" si="165"/>
        <v>0</v>
      </c>
      <c r="BO108" s="276">
        <f t="shared" ca="1" si="165"/>
        <v>0</v>
      </c>
      <c r="BP108" s="276">
        <f t="shared" ca="1" si="165"/>
        <v>0</v>
      </c>
      <c r="BQ108" s="276">
        <f t="shared" ca="1" si="165"/>
        <v>0</v>
      </c>
      <c r="BR108" s="276">
        <f t="shared" ref="BR108:EC108" ca="1" si="166">(($B$39/12*BR$66)+($D$39/12*BR$67))*(IF($B$42=2,BR$89,IF($B$42=1,BR$87,BR$91))+$G$47)</f>
        <v>0</v>
      </c>
      <c r="BS108" s="276">
        <f t="shared" ca="1" si="166"/>
        <v>0</v>
      </c>
      <c r="BT108" s="276">
        <f t="shared" ca="1" si="166"/>
        <v>0</v>
      </c>
      <c r="BU108" s="276">
        <f t="shared" ca="1" si="166"/>
        <v>0</v>
      </c>
      <c r="BV108" s="276">
        <f t="shared" ca="1" si="166"/>
        <v>0</v>
      </c>
      <c r="BW108" s="276">
        <f t="shared" ca="1" si="166"/>
        <v>0</v>
      </c>
      <c r="BX108" s="276">
        <f t="shared" ca="1" si="166"/>
        <v>0</v>
      </c>
      <c r="BY108" s="276">
        <f t="shared" ca="1" si="166"/>
        <v>0</v>
      </c>
      <c r="BZ108" s="276">
        <f t="shared" ca="1" si="166"/>
        <v>0</v>
      </c>
      <c r="CA108" s="276">
        <f t="shared" ca="1" si="166"/>
        <v>0</v>
      </c>
      <c r="CB108" s="276">
        <f t="shared" ca="1" si="166"/>
        <v>0</v>
      </c>
      <c r="CC108" s="276">
        <f t="shared" ca="1" si="166"/>
        <v>0</v>
      </c>
      <c r="CD108" s="276">
        <f t="shared" ca="1" si="166"/>
        <v>0</v>
      </c>
      <c r="CE108" s="276">
        <f t="shared" ca="1" si="166"/>
        <v>0</v>
      </c>
      <c r="CF108" s="276">
        <f t="shared" ca="1" si="166"/>
        <v>0</v>
      </c>
      <c r="CG108" s="276">
        <f t="shared" ca="1" si="166"/>
        <v>0</v>
      </c>
      <c r="CH108" s="276">
        <f t="shared" ca="1" si="166"/>
        <v>0</v>
      </c>
      <c r="CI108" s="276">
        <f t="shared" ca="1" si="166"/>
        <v>0</v>
      </c>
      <c r="CJ108" s="276">
        <f t="shared" ca="1" si="166"/>
        <v>0</v>
      </c>
      <c r="CK108" s="276">
        <f t="shared" ca="1" si="166"/>
        <v>0</v>
      </c>
      <c r="CL108" s="276">
        <f t="shared" ca="1" si="166"/>
        <v>0</v>
      </c>
      <c r="CM108" s="276">
        <f t="shared" ca="1" si="166"/>
        <v>0</v>
      </c>
      <c r="CN108" s="276">
        <f t="shared" ca="1" si="166"/>
        <v>0</v>
      </c>
      <c r="CO108" s="276">
        <f t="shared" ca="1" si="166"/>
        <v>0</v>
      </c>
      <c r="CP108" s="276">
        <f t="shared" ca="1" si="166"/>
        <v>0</v>
      </c>
      <c r="CQ108" s="276">
        <f t="shared" ca="1" si="166"/>
        <v>0</v>
      </c>
      <c r="CR108" s="276">
        <f t="shared" ca="1" si="166"/>
        <v>0</v>
      </c>
      <c r="CS108" s="276">
        <f t="shared" ca="1" si="166"/>
        <v>0</v>
      </c>
      <c r="CT108" s="276">
        <f t="shared" ca="1" si="166"/>
        <v>0</v>
      </c>
      <c r="CU108" s="276">
        <f t="shared" ca="1" si="166"/>
        <v>0</v>
      </c>
      <c r="CV108" s="276">
        <f t="shared" ca="1" si="166"/>
        <v>0</v>
      </c>
      <c r="CW108" s="276">
        <f t="shared" ca="1" si="166"/>
        <v>0</v>
      </c>
      <c r="CX108" s="276">
        <f t="shared" ca="1" si="166"/>
        <v>0</v>
      </c>
      <c r="CY108" s="276">
        <f t="shared" ca="1" si="166"/>
        <v>0</v>
      </c>
      <c r="CZ108" s="276">
        <f t="shared" ca="1" si="166"/>
        <v>0</v>
      </c>
      <c r="DA108" s="276">
        <f t="shared" ca="1" si="166"/>
        <v>0</v>
      </c>
      <c r="DB108" s="276">
        <f t="shared" ca="1" si="166"/>
        <v>0</v>
      </c>
      <c r="DC108" s="276">
        <f t="shared" ca="1" si="166"/>
        <v>0</v>
      </c>
      <c r="DD108" s="276">
        <f t="shared" ca="1" si="166"/>
        <v>0</v>
      </c>
      <c r="DE108" s="276">
        <f t="shared" ca="1" si="166"/>
        <v>0</v>
      </c>
      <c r="DF108" s="276">
        <f t="shared" ca="1" si="166"/>
        <v>0</v>
      </c>
      <c r="DG108" s="276">
        <f t="shared" ca="1" si="166"/>
        <v>0</v>
      </c>
      <c r="DH108" s="276">
        <f t="shared" ca="1" si="166"/>
        <v>0</v>
      </c>
      <c r="DI108" s="276">
        <f t="shared" ca="1" si="166"/>
        <v>0</v>
      </c>
      <c r="DJ108" s="276">
        <f t="shared" ca="1" si="166"/>
        <v>0</v>
      </c>
      <c r="DK108" s="276">
        <f t="shared" ca="1" si="166"/>
        <v>0</v>
      </c>
      <c r="DL108" s="276">
        <f t="shared" ca="1" si="166"/>
        <v>0</v>
      </c>
      <c r="DM108" s="276">
        <f t="shared" ca="1" si="166"/>
        <v>0</v>
      </c>
      <c r="DN108" s="276">
        <f t="shared" ca="1" si="166"/>
        <v>0</v>
      </c>
      <c r="DO108" s="276">
        <f t="shared" ca="1" si="166"/>
        <v>0</v>
      </c>
      <c r="DP108" s="276">
        <f t="shared" ca="1" si="166"/>
        <v>0</v>
      </c>
      <c r="DQ108" s="276">
        <f t="shared" ca="1" si="166"/>
        <v>0</v>
      </c>
      <c r="DR108" s="276">
        <f t="shared" ca="1" si="166"/>
        <v>0</v>
      </c>
      <c r="DS108" s="276">
        <f t="shared" ca="1" si="166"/>
        <v>0</v>
      </c>
      <c r="DT108" s="276">
        <f t="shared" ca="1" si="166"/>
        <v>0</v>
      </c>
      <c r="DU108" s="276">
        <f t="shared" ca="1" si="166"/>
        <v>0</v>
      </c>
      <c r="DV108" s="276">
        <f t="shared" ca="1" si="166"/>
        <v>0</v>
      </c>
      <c r="DW108" s="276">
        <f t="shared" ca="1" si="166"/>
        <v>0</v>
      </c>
      <c r="DX108" s="276">
        <f t="shared" ca="1" si="166"/>
        <v>0</v>
      </c>
      <c r="DY108" s="276">
        <f t="shared" ca="1" si="166"/>
        <v>0</v>
      </c>
      <c r="DZ108" s="276">
        <f t="shared" ca="1" si="166"/>
        <v>0</v>
      </c>
      <c r="EA108" s="276">
        <f t="shared" ca="1" si="166"/>
        <v>0</v>
      </c>
      <c r="EB108" s="276">
        <f t="shared" ca="1" si="166"/>
        <v>0</v>
      </c>
      <c r="EC108" s="276">
        <f t="shared" ca="1" si="166"/>
        <v>0</v>
      </c>
      <c r="ED108" s="276">
        <f t="shared" ref="ED108:GO108" ca="1" si="167">(($B$39/12*ED$66)+($D$39/12*ED$67))*(IF($B$42=2,ED$89,IF($B$42=1,ED$87,ED$91))+$G$47)</f>
        <v>0</v>
      </c>
      <c r="EE108" s="276">
        <f t="shared" ca="1" si="167"/>
        <v>0</v>
      </c>
      <c r="EF108" s="276">
        <f t="shared" ca="1" si="167"/>
        <v>0</v>
      </c>
      <c r="EG108" s="276">
        <f t="shared" ca="1" si="167"/>
        <v>0</v>
      </c>
      <c r="EH108" s="276">
        <f t="shared" ca="1" si="167"/>
        <v>0</v>
      </c>
      <c r="EI108" s="276">
        <f t="shared" ca="1" si="167"/>
        <v>0</v>
      </c>
      <c r="EJ108" s="276">
        <f t="shared" ca="1" si="167"/>
        <v>0</v>
      </c>
      <c r="EK108" s="276">
        <f t="shared" ca="1" si="167"/>
        <v>0</v>
      </c>
      <c r="EL108" s="276">
        <f t="shared" ca="1" si="167"/>
        <v>0</v>
      </c>
      <c r="EM108" s="276">
        <f t="shared" ca="1" si="167"/>
        <v>0</v>
      </c>
      <c r="EN108" s="276">
        <f t="shared" ca="1" si="167"/>
        <v>0</v>
      </c>
      <c r="EO108" s="276">
        <f t="shared" ca="1" si="167"/>
        <v>0</v>
      </c>
      <c r="EP108" s="276">
        <f t="shared" ca="1" si="167"/>
        <v>0</v>
      </c>
      <c r="EQ108" s="276">
        <f t="shared" ca="1" si="167"/>
        <v>0</v>
      </c>
      <c r="ER108" s="276">
        <f t="shared" ca="1" si="167"/>
        <v>0</v>
      </c>
      <c r="ES108" s="276">
        <f t="shared" ca="1" si="167"/>
        <v>0</v>
      </c>
      <c r="ET108" s="276">
        <f t="shared" ca="1" si="167"/>
        <v>0</v>
      </c>
      <c r="EU108" s="276">
        <f t="shared" ca="1" si="167"/>
        <v>0</v>
      </c>
      <c r="EV108" s="276">
        <f t="shared" ca="1" si="167"/>
        <v>0</v>
      </c>
      <c r="EW108" s="276">
        <f t="shared" ca="1" si="167"/>
        <v>0</v>
      </c>
      <c r="EX108" s="276">
        <f t="shared" ca="1" si="167"/>
        <v>0</v>
      </c>
      <c r="EY108" s="276">
        <f t="shared" ca="1" si="167"/>
        <v>0</v>
      </c>
      <c r="EZ108" s="276">
        <f t="shared" ca="1" si="167"/>
        <v>0</v>
      </c>
      <c r="FA108" s="276">
        <f t="shared" ca="1" si="167"/>
        <v>0</v>
      </c>
      <c r="FB108" s="276">
        <f t="shared" ca="1" si="167"/>
        <v>0</v>
      </c>
      <c r="FC108" s="276">
        <f t="shared" ca="1" si="167"/>
        <v>0</v>
      </c>
      <c r="FD108" s="276">
        <f t="shared" ca="1" si="167"/>
        <v>0</v>
      </c>
      <c r="FE108" s="276">
        <f t="shared" ca="1" si="167"/>
        <v>0</v>
      </c>
      <c r="FF108" s="276">
        <f t="shared" ca="1" si="167"/>
        <v>0</v>
      </c>
      <c r="FG108" s="276">
        <f t="shared" ca="1" si="167"/>
        <v>0</v>
      </c>
      <c r="FH108" s="276">
        <f t="shared" ca="1" si="167"/>
        <v>0</v>
      </c>
      <c r="FI108" s="276">
        <f t="shared" ca="1" si="167"/>
        <v>0</v>
      </c>
      <c r="FJ108" s="276">
        <f t="shared" ca="1" si="167"/>
        <v>0</v>
      </c>
      <c r="FK108" s="276">
        <f t="shared" ca="1" si="167"/>
        <v>0</v>
      </c>
      <c r="FL108" s="276">
        <f t="shared" ca="1" si="167"/>
        <v>0</v>
      </c>
      <c r="FM108" s="276">
        <f t="shared" ca="1" si="167"/>
        <v>0</v>
      </c>
      <c r="FN108" s="276">
        <f t="shared" ca="1" si="167"/>
        <v>0</v>
      </c>
      <c r="FO108" s="276">
        <f t="shared" ca="1" si="167"/>
        <v>0</v>
      </c>
      <c r="FP108" s="276">
        <f t="shared" ca="1" si="167"/>
        <v>0</v>
      </c>
      <c r="FQ108" s="276">
        <f t="shared" ca="1" si="167"/>
        <v>0</v>
      </c>
      <c r="FR108" s="276">
        <f t="shared" ca="1" si="167"/>
        <v>0</v>
      </c>
      <c r="FS108" s="276">
        <f t="shared" ca="1" si="167"/>
        <v>0</v>
      </c>
      <c r="FT108" s="276">
        <f t="shared" ca="1" si="167"/>
        <v>0</v>
      </c>
      <c r="FU108" s="276">
        <f t="shared" ca="1" si="167"/>
        <v>0</v>
      </c>
      <c r="FV108" s="276">
        <f t="shared" ca="1" si="167"/>
        <v>0</v>
      </c>
      <c r="FW108" s="276">
        <f t="shared" ca="1" si="167"/>
        <v>0</v>
      </c>
      <c r="FX108" s="276">
        <f t="shared" ca="1" si="167"/>
        <v>0</v>
      </c>
      <c r="FY108" s="276">
        <f t="shared" ca="1" si="167"/>
        <v>0</v>
      </c>
      <c r="FZ108" s="276">
        <f t="shared" ca="1" si="167"/>
        <v>0</v>
      </c>
      <c r="GA108" s="276">
        <f t="shared" ca="1" si="167"/>
        <v>0</v>
      </c>
      <c r="GB108" s="276">
        <f t="shared" ca="1" si="167"/>
        <v>0</v>
      </c>
      <c r="GC108" s="276">
        <f t="shared" ca="1" si="167"/>
        <v>0</v>
      </c>
      <c r="GD108" s="276">
        <f t="shared" ca="1" si="167"/>
        <v>0</v>
      </c>
      <c r="GE108" s="276">
        <f t="shared" ca="1" si="167"/>
        <v>0</v>
      </c>
      <c r="GF108" s="276">
        <f t="shared" ca="1" si="167"/>
        <v>0</v>
      </c>
      <c r="GG108" s="276">
        <f t="shared" ca="1" si="167"/>
        <v>0</v>
      </c>
      <c r="GH108" s="276">
        <f t="shared" ca="1" si="167"/>
        <v>0</v>
      </c>
      <c r="GI108" s="276">
        <f t="shared" ca="1" si="167"/>
        <v>0</v>
      </c>
      <c r="GJ108" s="276">
        <f t="shared" ca="1" si="167"/>
        <v>0</v>
      </c>
      <c r="GK108" s="276">
        <f t="shared" ca="1" si="167"/>
        <v>0</v>
      </c>
      <c r="GL108" s="276">
        <f t="shared" ca="1" si="167"/>
        <v>0</v>
      </c>
      <c r="GM108" s="276">
        <f t="shared" ca="1" si="167"/>
        <v>0</v>
      </c>
      <c r="GN108" s="276">
        <f t="shared" ca="1" si="167"/>
        <v>0</v>
      </c>
      <c r="GO108" s="276">
        <f t="shared" ca="1" si="167"/>
        <v>0</v>
      </c>
      <c r="GP108" s="276">
        <f t="shared" ref="GP108:JA108" ca="1" si="168">(($B$39/12*GP$66)+($D$39/12*GP$67))*(IF($B$42=2,GP$89,IF($B$42=1,GP$87,GP$91))+$G$47)</f>
        <v>0</v>
      </c>
      <c r="GQ108" s="276">
        <f t="shared" ca="1" si="168"/>
        <v>0</v>
      </c>
      <c r="GR108" s="276">
        <f t="shared" ca="1" si="168"/>
        <v>0</v>
      </c>
      <c r="GS108" s="276">
        <f t="shared" ca="1" si="168"/>
        <v>0</v>
      </c>
      <c r="GT108" s="276">
        <f t="shared" ca="1" si="168"/>
        <v>0</v>
      </c>
      <c r="GU108" s="276">
        <f t="shared" ca="1" si="168"/>
        <v>0</v>
      </c>
      <c r="GV108" s="276">
        <f t="shared" ca="1" si="168"/>
        <v>0</v>
      </c>
      <c r="GW108" s="276">
        <f t="shared" ca="1" si="168"/>
        <v>0</v>
      </c>
      <c r="GX108" s="276">
        <f t="shared" ca="1" si="168"/>
        <v>0</v>
      </c>
      <c r="GY108" s="276">
        <f t="shared" ca="1" si="168"/>
        <v>0</v>
      </c>
      <c r="GZ108" s="276">
        <f t="shared" ca="1" si="168"/>
        <v>0</v>
      </c>
      <c r="HA108" s="276">
        <f t="shared" ca="1" si="168"/>
        <v>0</v>
      </c>
      <c r="HB108" s="276">
        <f t="shared" ca="1" si="168"/>
        <v>0</v>
      </c>
      <c r="HC108" s="276">
        <f t="shared" ca="1" si="168"/>
        <v>0</v>
      </c>
      <c r="HD108" s="276">
        <f t="shared" ca="1" si="168"/>
        <v>0</v>
      </c>
      <c r="HE108" s="276">
        <f t="shared" ca="1" si="168"/>
        <v>0</v>
      </c>
      <c r="HF108" s="276">
        <f t="shared" ca="1" si="168"/>
        <v>0</v>
      </c>
      <c r="HG108" s="276">
        <f t="shared" ca="1" si="168"/>
        <v>0</v>
      </c>
      <c r="HH108" s="276">
        <f t="shared" ca="1" si="168"/>
        <v>0</v>
      </c>
      <c r="HI108" s="276">
        <f t="shared" ca="1" si="168"/>
        <v>0</v>
      </c>
      <c r="HJ108" s="276">
        <f t="shared" ca="1" si="168"/>
        <v>0</v>
      </c>
      <c r="HK108" s="276">
        <f t="shared" ca="1" si="168"/>
        <v>0</v>
      </c>
      <c r="HL108" s="276">
        <f t="shared" ca="1" si="168"/>
        <v>0</v>
      </c>
      <c r="HM108" s="276">
        <f t="shared" ca="1" si="168"/>
        <v>0</v>
      </c>
      <c r="HN108" s="276">
        <f t="shared" ca="1" si="168"/>
        <v>0</v>
      </c>
      <c r="HO108" s="276">
        <f t="shared" ca="1" si="168"/>
        <v>0</v>
      </c>
      <c r="HP108" s="276">
        <f t="shared" ca="1" si="168"/>
        <v>0</v>
      </c>
      <c r="HQ108" s="276">
        <f t="shared" ca="1" si="168"/>
        <v>0</v>
      </c>
      <c r="HR108" s="276">
        <f t="shared" ca="1" si="168"/>
        <v>0</v>
      </c>
      <c r="HS108" s="276">
        <f t="shared" ca="1" si="168"/>
        <v>0</v>
      </c>
      <c r="HT108" s="276">
        <f t="shared" ca="1" si="168"/>
        <v>0</v>
      </c>
      <c r="HU108" s="276">
        <f t="shared" ca="1" si="168"/>
        <v>0</v>
      </c>
      <c r="HV108" s="276">
        <f t="shared" ca="1" si="168"/>
        <v>0</v>
      </c>
      <c r="HW108" s="276">
        <f t="shared" ca="1" si="168"/>
        <v>0</v>
      </c>
      <c r="HX108" s="276">
        <f t="shared" ca="1" si="168"/>
        <v>0</v>
      </c>
      <c r="HY108" s="276">
        <f t="shared" ca="1" si="168"/>
        <v>0</v>
      </c>
      <c r="HZ108" s="276">
        <f t="shared" ca="1" si="168"/>
        <v>0</v>
      </c>
      <c r="IA108" s="276">
        <f t="shared" ca="1" si="168"/>
        <v>0</v>
      </c>
      <c r="IB108" s="276">
        <f t="shared" ca="1" si="168"/>
        <v>0</v>
      </c>
      <c r="IC108" s="276">
        <f t="shared" ca="1" si="168"/>
        <v>0</v>
      </c>
      <c r="ID108" s="276">
        <f t="shared" ca="1" si="168"/>
        <v>0</v>
      </c>
      <c r="IE108" s="276">
        <f t="shared" ca="1" si="168"/>
        <v>0</v>
      </c>
      <c r="IF108" s="276">
        <f t="shared" ca="1" si="168"/>
        <v>0</v>
      </c>
      <c r="IG108" s="276">
        <f t="shared" ca="1" si="168"/>
        <v>0</v>
      </c>
      <c r="IH108" s="276">
        <f t="shared" ca="1" si="168"/>
        <v>0</v>
      </c>
      <c r="II108" s="276">
        <f t="shared" ca="1" si="168"/>
        <v>0</v>
      </c>
      <c r="IJ108" s="276">
        <f t="shared" ca="1" si="168"/>
        <v>0</v>
      </c>
      <c r="IK108" s="276">
        <f t="shared" ca="1" si="168"/>
        <v>0</v>
      </c>
      <c r="IL108" s="276">
        <f t="shared" ca="1" si="168"/>
        <v>0</v>
      </c>
      <c r="IM108" s="276">
        <f t="shared" ca="1" si="168"/>
        <v>0</v>
      </c>
      <c r="IN108" s="276">
        <f t="shared" ca="1" si="168"/>
        <v>0</v>
      </c>
      <c r="IO108" s="276">
        <f t="shared" ca="1" si="168"/>
        <v>0</v>
      </c>
      <c r="IP108" s="276">
        <f t="shared" ca="1" si="168"/>
        <v>0</v>
      </c>
      <c r="IQ108" s="276">
        <f t="shared" ca="1" si="168"/>
        <v>0</v>
      </c>
      <c r="IR108" s="276">
        <f t="shared" ca="1" si="168"/>
        <v>0</v>
      </c>
      <c r="IS108" s="276">
        <f t="shared" ca="1" si="168"/>
        <v>0</v>
      </c>
      <c r="IT108" s="276">
        <f t="shared" ca="1" si="168"/>
        <v>0</v>
      </c>
      <c r="IU108" s="276">
        <f t="shared" ca="1" si="168"/>
        <v>0</v>
      </c>
      <c r="IV108" s="276">
        <f t="shared" ca="1" si="168"/>
        <v>0</v>
      </c>
      <c r="IW108" s="276">
        <f t="shared" ca="1" si="168"/>
        <v>0</v>
      </c>
      <c r="IX108" s="276">
        <f t="shared" ca="1" si="168"/>
        <v>0</v>
      </c>
      <c r="IY108" s="276">
        <f t="shared" ca="1" si="168"/>
        <v>0</v>
      </c>
      <c r="IZ108" s="276">
        <f t="shared" ca="1" si="168"/>
        <v>0</v>
      </c>
      <c r="JA108" s="276">
        <f t="shared" ca="1" si="168"/>
        <v>0</v>
      </c>
      <c r="JB108" s="276">
        <f t="shared" ref="JB108:LM108" ca="1" si="169">(($B$39/12*JB$66)+($D$39/12*JB$67))*(IF($B$42=2,JB$89,IF($B$42=1,JB$87,JB$91))+$G$47)</f>
        <v>0</v>
      </c>
      <c r="JC108" s="276">
        <f t="shared" ca="1" si="169"/>
        <v>0</v>
      </c>
      <c r="JD108" s="276">
        <f t="shared" ca="1" si="169"/>
        <v>0</v>
      </c>
      <c r="JE108" s="276">
        <f t="shared" ca="1" si="169"/>
        <v>0</v>
      </c>
      <c r="JF108" s="276">
        <f t="shared" ca="1" si="169"/>
        <v>0</v>
      </c>
      <c r="JG108" s="276">
        <f t="shared" ca="1" si="169"/>
        <v>0</v>
      </c>
      <c r="JH108" s="276">
        <f t="shared" ca="1" si="169"/>
        <v>0</v>
      </c>
      <c r="JI108" s="276">
        <f t="shared" ca="1" si="169"/>
        <v>0</v>
      </c>
      <c r="JJ108" s="276">
        <f t="shared" ca="1" si="169"/>
        <v>0</v>
      </c>
      <c r="JK108" s="276">
        <f t="shared" ca="1" si="169"/>
        <v>0</v>
      </c>
      <c r="JL108" s="276">
        <f t="shared" ca="1" si="169"/>
        <v>0</v>
      </c>
      <c r="JM108" s="276">
        <f t="shared" ca="1" si="169"/>
        <v>0</v>
      </c>
      <c r="JN108" s="276">
        <f t="shared" ca="1" si="169"/>
        <v>0</v>
      </c>
      <c r="JO108" s="276">
        <f t="shared" ca="1" si="169"/>
        <v>0</v>
      </c>
      <c r="JP108" s="276">
        <f t="shared" ca="1" si="169"/>
        <v>0</v>
      </c>
      <c r="JQ108" s="276">
        <f t="shared" ca="1" si="169"/>
        <v>0</v>
      </c>
      <c r="JR108" s="276">
        <f t="shared" ca="1" si="169"/>
        <v>0</v>
      </c>
      <c r="JS108" s="276">
        <f t="shared" ca="1" si="169"/>
        <v>0</v>
      </c>
      <c r="JT108" s="276">
        <f t="shared" ca="1" si="169"/>
        <v>0</v>
      </c>
      <c r="JU108" s="276">
        <f t="shared" ca="1" si="169"/>
        <v>0</v>
      </c>
      <c r="JV108" s="276">
        <f t="shared" ca="1" si="169"/>
        <v>0</v>
      </c>
      <c r="JW108" s="276">
        <f t="shared" ca="1" si="169"/>
        <v>0</v>
      </c>
      <c r="JX108" s="276">
        <f t="shared" ca="1" si="169"/>
        <v>0</v>
      </c>
      <c r="JY108" s="276">
        <f t="shared" ca="1" si="169"/>
        <v>0</v>
      </c>
      <c r="JZ108" s="276">
        <f t="shared" ca="1" si="169"/>
        <v>0</v>
      </c>
      <c r="KA108" s="276">
        <f t="shared" ca="1" si="169"/>
        <v>0</v>
      </c>
      <c r="KB108" s="276">
        <f t="shared" ca="1" si="169"/>
        <v>0</v>
      </c>
      <c r="KC108" s="276">
        <f t="shared" ca="1" si="169"/>
        <v>0</v>
      </c>
      <c r="KD108" s="276">
        <f t="shared" ca="1" si="169"/>
        <v>0</v>
      </c>
      <c r="KE108" s="276">
        <f t="shared" ca="1" si="169"/>
        <v>0</v>
      </c>
      <c r="KF108" s="276">
        <f t="shared" ca="1" si="169"/>
        <v>0</v>
      </c>
      <c r="KG108" s="276">
        <f t="shared" ca="1" si="169"/>
        <v>0</v>
      </c>
      <c r="KH108" s="276">
        <f t="shared" ca="1" si="169"/>
        <v>0</v>
      </c>
      <c r="KI108" s="276">
        <f t="shared" ca="1" si="169"/>
        <v>0</v>
      </c>
      <c r="KJ108" s="276">
        <f t="shared" ca="1" si="169"/>
        <v>0</v>
      </c>
      <c r="KK108" s="276">
        <f t="shared" ca="1" si="169"/>
        <v>0</v>
      </c>
      <c r="KL108" s="276">
        <f t="shared" ca="1" si="169"/>
        <v>0</v>
      </c>
      <c r="KM108" s="276">
        <f t="shared" ca="1" si="169"/>
        <v>0</v>
      </c>
      <c r="KN108" s="276">
        <f t="shared" ca="1" si="169"/>
        <v>0</v>
      </c>
      <c r="KO108" s="276">
        <f t="shared" ca="1" si="169"/>
        <v>0</v>
      </c>
      <c r="KP108" s="276">
        <f t="shared" ca="1" si="169"/>
        <v>0</v>
      </c>
      <c r="KQ108" s="276">
        <f t="shared" ca="1" si="169"/>
        <v>0</v>
      </c>
      <c r="KR108" s="276">
        <f t="shared" ca="1" si="169"/>
        <v>0</v>
      </c>
      <c r="KS108" s="276">
        <f t="shared" ca="1" si="169"/>
        <v>0</v>
      </c>
      <c r="KT108" s="276">
        <f t="shared" ca="1" si="169"/>
        <v>0</v>
      </c>
      <c r="KU108" s="276">
        <f t="shared" ca="1" si="169"/>
        <v>0</v>
      </c>
      <c r="KV108" s="276">
        <f t="shared" ca="1" si="169"/>
        <v>0</v>
      </c>
      <c r="KW108" s="276">
        <f t="shared" ca="1" si="169"/>
        <v>0</v>
      </c>
      <c r="KX108" s="276">
        <f t="shared" ca="1" si="169"/>
        <v>0</v>
      </c>
      <c r="KY108" s="276">
        <f t="shared" ca="1" si="169"/>
        <v>0</v>
      </c>
      <c r="KZ108" s="276">
        <f t="shared" ca="1" si="169"/>
        <v>0</v>
      </c>
      <c r="LA108" s="276">
        <f t="shared" ca="1" si="169"/>
        <v>0</v>
      </c>
      <c r="LB108" s="276">
        <f t="shared" ca="1" si="169"/>
        <v>0</v>
      </c>
      <c r="LC108" s="276">
        <f t="shared" ca="1" si="169"/>
        <v>0</v>
      </c>
      <c r="LD108" s="276">
        <f t="shared" ca="1" si="169"/>
        <v>0</v>
      </c>
      <c r="LE108" s="276">
        <f t="shared" ca="1" si="169"/>
        <v>0</v>
      </c>
      <c r="LF108" s="276">
        <f t="shared" ca="1" si="169"/>
        <v>0</v>
      </c>
      <c r="LG108" s="276">
        <f t="shared" ca="1" si="169"/>
        <v>0</v>
      </c>
      <c r="LH108" s="276">
        <f t="shared" ca="1" si="169"/>
        <v>0</v>
      </c>
      <c r="LI108" s="276">
        <f t="shared" ca="1" si="169"/>
        <v>0</v>
      </c>
      <c r="LJ108" s="276">
        <f t="shared" ca="1" si="169"/>
        <v>0</v>
      </c>
      <c r="LK108" s="276">
        <f t="shared" ca="1" si="169"/>
        <v>0</v>
      </c>
      <c r="LL108" s="276">
        <f t="shared" ca="1" si="169"/>
        <v>0</v>
      </c>
      <c r="LM108" s="276">
        <f t="shared" ca="1" si="169"/>
        <v>0</v>
      </c>
      <c r="LN108" s="276">
        <f t="shared" ref="LN108:NY108" ca="1" si="170">(($B$39/12*LN$66)+($D$39/12*LN$67))*(IF($B$42=2,LN$89,IF($B$42=1,LN$87,LN$91))+$G$47)</f>
        <v>0</v>
      </c>
      <c r="LO108" s="276">
        <f t="shared" ca="1" si="170"/>
        <v>0</v>
      </c>
      <c r="LP108" s="276">
        <f t="shared" ca="1" si="170"/>
        <v>0</v>
      </c>
      <c r="LQ108" s="276">
        <f t="shared" ca="1" si="170"/>
        <v>0</v>
      </c>
      <c r="LR108" s="276">
        <f t="shared" ca="1" si="170"/>
        <v>0</v>
      </c>
      <c r="LS108" s="276">
        <f t="shared" ca="1" si="170"/>
        <v>0</v>
      </c>
      <c r="LT108" s="276">
        <f t="shared" ca="1" si="170"/>
        <v>0</v>
      </c>
      <c r="LU108" s="276">
        <f t="shared" ca="1" si="170"/>
        <v>0</v>
      </c>
      <c r="LV108" s="276">
        <f t="shared" ca="1" si="170"/>
        <v>0</v>
      </c>
      <c r="LW108" s="276">
        <f t="shared" ca="1" si="170"/>
        <v>0</v>
      </c>
      <c r="LX108" s="276">
        <f t="shared" ca="1" si="170"/>
        <v>0</v>
      </c>
      <c r="LY108" s="276">
        <f t="shared" ca="1" si="170"/>
        <v>0</v>
      </c>
      <c r="LZ108" s="276">
        <f t="shared" ca="1" si="170"/>
        <v>0</v>
      </c>
      <c r="MA108" s="276">
        <f t="shared" ca="1" si="170"/>
        <v>0</v>
      </c>
      <c r="MB108" s="276">
        <f t="shared" ca="1" si="170"/>
        <v>0</v>
      </c>
      <c r="MC108" s="276">
        <f t="shared" ca="1" si="170"/>
        <v>0</v>
      </c>
      <c r="MD108" s="276">
        <f t="shared" ca="1" si="170"/>
        <v>0</v>
      </c>
      <c r="ME108" s="276">
        <f t="shared" ca="1" si="170"/>
        <v>0</v>
      </c>
      <c r="MF108" s="276">
        <f t="shared" ca="1" si="170"/>
        <v>0</v>
      </c>
      <c r="MG108" s="276">
        <f t="shared" ca="1" si="170"/>
        <v>0</v>
      </c>
      <c r="MH108" s="276">
        <f t="shared" ca="1" si="170"/>
        <v>0</v>
      </c>
      <c r="MI108" s="276">
        <f t="shared" ca="1" si="170"/>
        <v>0</v>
      </c>
      <c r="MJ108" s="276">
        <f t="shared" ca="1" si="170"/>
        <v>0</v>
      </c>
      <c r="MK108" s="276">
        <f t="shared" ca="1" si="170"/>
        <v>0</v>
      </c>
      <c r="ML108" s="276">
        <f t="shared" ca="1" si="170"/>
        <v>0</v>
      </c>
      <c r="MM108" s="276">
        <f t="shared" ca="1" si="170"/>
        <v>0</v>
      </c>
      <c r="MN108" s="276">
        <f t="shared" ca="1" si="170"/>
        <v>0</v>
      </c>
      <c r="MO108" s="276">
        <f t="shared" ca="1" si="170"/>
        <v>0</v>
      </c>
      <c r="MP108" s="276">
        <f t="shared" ca="1" si="170"/>
        <v>0</v>
      </c>
      <c r="MQ108" s="276">
        <f t="shared" ca="1" si="170"/>
        <v>0</v>
      </c>
      <c r="MR108" s="276">
        <f t="shared" ca="1" si="170"/>
        <v>0</v>
      </c>
      <c r="MS108" s="276">
        <f t="shared" ca="1" si="170"/>
        <v>0</v>
      </c>
      <c r="MT108" s="276">
        <f t="shared" ca="1" si="170"/>
        <v>0</v>
      </c>
      <c r="MU108" s="276">
        <f t="shared" ca="1" si="170"/>
        <v>0</v>
      </c>
      <c r="MV108" s="276">
        <f t="shared" ca="1" si="170"/>
        <v>0</v>
      </c>
      <c r="MW108" s="276">
        <f t="shared" ca="1" si="170"/>
        <v>0</v>
      </c>
      <c r="MX108" s="276">
        <f t="shared" ca="1" si="170"/>
        <v>0</v>
      </c>
      <c r="MY108" s="276">
        <f t="shared" ca="1" si="170"/>
        <v>0</v>
      </c>
      <c r="MZ108" s="276">
        <f t="shared" ca="1" si="170"/>
        <v>0</v>
      </c>
      <c r="NA108" s="276">
        <f t="shared" ca="1" si="170"/>
        <v>0</v>
      </c>
      <c r="NB108" s="276">
        <f t="shared" ca="1" si="170"/>
        <v>0</v>
      </c>
      <c r="NC108" s="276">
        <f t="shared" ca="1" si="170"/>
        <v>0</v>
      </c>
      <c r="ND108" s="276">
        <f t="shared" ca="1" si="170"/>
        <v>0</v>
      </c>
      <c r="NE108" s="276">
        <f t="shared" ca="1" si="170"/>
        <v>0</v>
      </c>
      <c r="NF108" s="276">
        <f t="shared" ca="1" si="170"/>
        <v>0</v>
      </c>
      <c r="NG108" s="276">
        <f t="shared" ca="1" si="170"/>
        <v>0</v>
      </c>
      <c r="NH108" s="276">
        <f t="shared" ca="1" si="170"/>
        <v>0</v>
      </c>
      <c r="NI108" s="276">
        <f t="shared" ca="1" si="170"/>
        <v>0</v>
      </c>
      <c r="NJ108" s="276">
        <f t="shared" ca="1" si="170"/>
        <v>0</v>
      </c>
      <c r="NK108" s="276">
        <f t="shared" ca="1" si="170"/>
        <v>0</v>
      </c>
      <c r="NL108" s="276">
        <f t="shared" ca="1" si="170"/>
        <v>0</v>
      </c>
      <c r="NM108" s="276">
        <f t="shared" ca="1" si="170"/>
        <v>0</v>
      </c>
      <c r="NN108" s="276">
        <f t="shared" ca="1" si="170"/>
        <v>0</v>
      </c>
      <c r="NO108" s="276">
        <f t="shared" ca="1" si="170"/>
        <v>0</v>
      </c>
      <c r="NP108" s="276">
        <f t="shared" ca="1" si="170"/>
        <v>0</v>
      </c>
      <c r="NQ108" s="276">
        <f t="shared" ca="1" si="170"/>
        <v>0</v>
      </c>
      <c r="NR108" s="276">
        <f t="shared" ca="1" si="170"/>
        <v>0</v>
      </c>
      <c r="NS108" s="276">
        <f t="shared" ca="1" si="170"/>
        <v>0</v>
      </c>
      <c r="NT108" s="276">
        <f t="shared" ca="1" si="170"/>
        <v>0</v>
      </c>
      <c r="NU108" s="276">
        <f t="shared" ca="1" si="170"/>
        <v>0</v>
      </c>
      <c r="NV108" s="276">
        <f t="shared" ca="1" si="170"/>
        <v>0</v>
      </c>
      <c r="NW108" s="276">
        <f t="shared" ca="1" si="170"/>
        <v>0</v>
      </c>
      <c r="NX108" s="276">
        <f t="shared" ca="1" si="170"/>
        <v>0</v>
      </c>
      <c r="NY108" s="276">
        <f t="shared" ca="1" si="170"/>
        <v>0</v>
      </c>
      <c r="NZ108" s="276">
        <f t="shared" ref="NZ108:QK108" ca="1" si="171">(($B$39/12*NZ$66)+($D$39/12*NZ$67))*(IF($B$42=2,NZ$89,IF($B$42=1,NZ$87,NZ$91))+$G$47)</f>
        <v>0</v>
      </c>
      <c r="OA108" s="276">
        <f t="shared" ca="1" si="171"/>
        <v>0</v>
      </c>
      <c r="OB108" s="276">
        <f t="shared" ca="1" si="171"/>
        <v>0</v>
      </c>
      <c r="OC108" s="276">
        <f t="shared" ca="1" si="171"/>
        <v>0</v>
      </c>
      <c r="OD108" s="276">
        <f t="shared" ca="1" si="171"/>
        <v>0</v>
      </c>
      <c r="OE108" s="276">
        <f t="shared" ca="1" si="171"/>
        <v>0</v>
      </c>
      <c r="OF108" s="276">
        <f t="shared" ca="1" si="171"/>
        <v>0</v>
      </c>
      <c r="OG108" s="276">
        <f t="shared" ca="1" si="171"/>
        <v>0</v>
      </c>
      <c r="OH108" s="276">
        <f t="shared" ca="1" si="171"/>
        <v>0</v>
      </c>
      <c r="OI108" s="276">
        <f t="shared" ca="1" si="171"/>
        <v>0</v>
      </c>
      <c r="OJ108" s="276">
        <f t="shared" ca="1" si="171"/>
        <v>0</v>
      </c>
      <c r="OK108" s="276">
        <f t="shared" ca="1" si="171"/>
        <v>0</v>
      </c>
      <c r="OL108" s="276">
        <f t="shared" ca="1" si="171"/>
        <v>0</v>
      </c>
      <c r="OM108" s="276">
        <f t="shared" ca="1" si="171"/>
        <v>0</v>
      </c>
      <c r="ON108" s="276">
        <f t="shared" ca="1" si="171"/>
        <v>0</v>
      </c>
      <c r="OO108" s="276">
        <f t="shared" ca="1" si="171"/>
        <v>0</v>
      </c>
      <c r="OP108" s="276">
        <f t="shared" ca="1" si="171"/>
        <v>0</v>
      </c>
      <c r="OQ108" s="276">
        <f t="shared" ca="1" si="171"/>
        <v>0</v>
      </c>
      <c r="OR108" s="276">
        <f t="shared" ca="1" si="171"/>
        <v>0</v>
      </c>
      <c r="OS108" s="276">
        <f t="shared" ca="1" si="171"/>
        <v>0</v>
      </c>
      <c r="OT108" s="276">
        <f t="shared" ca="1" si="171"/>
        <v>0</v>
      </c>
      <c r="OU108" s="276">
        <f t="shared" ca="1" si="171"/>
        <v>0</v>
      </c>
      <c r="OV108" s="276">
        <f t="shared" ca="1" si="171"/>
        <v>0</v>
      </c>
      <c r="OW108" s="276">
        <f t="shared" ca="1" si="171"/>
        <v>0</v>
      </c>
      <c r="OX108" s="276">
        <f t="shared" ca="1" si="171"/>
        <v>0</v>
      </c>
      <c r="OY108" s="276">
        <f t="shared" ca="1" si="171"/>
        <v>0</v>
      </c>
      <c r="OZ108" s="276">
        <f t="shared" ca="1" si="171"/>
        <v>0</v>
      </c>
      <c r="PA108" s="276">
        <f t="shared" ca="1" si="171"/>
        <v>0</v>
      </c>
      <c r="PB108" s="276">
        <f t="shared" ca="1" si="171"/>
        <v>0</v>
      </c>
      <c r="PC108" s="276">
        <f t="shared" ca="1" si="171"/>
        <v>0</v>
      </c>
      <c r="PD108" s="276">
        <f t="shared" ca="1" si="171"/>
        <v>0</v>
      </c>
      <c r="PE108" s="276">
        <f t="shared" ca="1" si="171"/>
        <v>0</v>
      </c>
      <c r="PF108" s="276">
        <f t="shared" ca="1" si="171"/>
        <v>0</v>
      </c>
      <c r="PG108" s="276">
        <f t="shared" ca="1" si="171"/>
        <v>0</v>
      </c>
      <c r="PH108" s="276">
        <f t="shared" ca="1" si="171"/>
        <v>0</v>
      </c>
      <c r="PI108" s="276">
        <f t="shared" ca="1" si="171"/>
        <v>0</v>
      </c>
      <c r="PJ108" s="276">
        <f t="shared" ca="1" si="171"/>
        <v>0</v>
      </c>
      <c r="PK108" s="276">
        <f t="shared" ca="1" si="171"/>
        <v>0</v>
      </c>
      <c r="PL108" s="276">
        <f t="shared" ca="1" si="171"/>
        <v>0</v>
      </c>
      <c r="PM108" s="276">
        <f t="shared" ca="1" si="171"/>
        <v>0</v>
      </c>
      <c r="PN108" s="276">
        <f t="shared" ca="1" si="171"/>
        <v>0</v>
      </c>
      <c r="PO108" s="276">
        <f t="shared" ca="1" si="171"/>
        <v>0</v>
      </c>
      <c r="PP108" s="276">
        <f t="shared" ca="1" si="171"/>
        <v>0</v>
      </c>
      <c r="PQ108" s="276">
        <f t="shared" ca="1" si="171"/>
        <v>0</v>
      </c>
      <c r="PR108" s="276">
        <f t="shared" ca="1" si="171"/>
        <v>0</v>
      </c>
      <c r="PS108" s="276">
        <f t="shared" ca="1" si="171"/>
        <v>0</v>
      </c>
      <c r="PT108" s="276">
        <f t="shared" ca="1" si="171"/>
        <v>0</v>
      </c>
      <c r="PU108" s="276">
        <f t="shared" ca="1" si="171"/>
        <v>0</v>
      </c>
      <c r="PV108" s="276">
        <f t="shared" ca="1" si="171"/>
        <v>0</v>
      </c>
      <c r="PW108" s="276">
        <f t="shared" ca="1" si="171"/>
        <v>0</v>
      </c>
      <c r="PX108" s="276">
        <f t="shared" ca="1" si="171"/>
        <v>0</v>
      </c>
      <c r="PY108" s="276">
        <f t="shared" ca="1" si="171"/>
        <v>0</v>
      </c>
      <c r="PZ108" s="276">
        <f t="shared" ca="1" si="171"/>
        <v>0</v>
      </c>
      <c r="QA108" s="276">
        <f t="shared" ca="1" si="171"/>
        <v>0</v>
      </c>
      <c r="QB108" s="276">
        <f t="shared" ca="1" si="171"/>
        <v>0</v>
      </c>
      <c r="QC108" s="276">
        <f t="shared" ca="1" si="171"/>
        <v>0</v>
      </c>
      <c r="QD108" s="276">
        <f t="shared" ca="1" si="171"/>
        <v>0</v>
      </c>
      <c r="QE108" s="276">
        <f t="shared" ca="1" si="171"/>
        <v>0</v>
      </c>
      <c r="QF108" s="276">
        <f t="shared" ca="1" si="171"/>
        <v>0</v>
      </c>
      <c r="QG108" s="276">
        <f t="shared" ca="1" si="171"/>
        <v>0</v>
      </c>
      <c r="QH108" s="276">
        <f t="shared" ca="1" si="171"/>
        <v>0</v>
      </c>
      <c r="QI108" s="276">
        <f t="shared" ca="1" si="171"/>
        <v>0</v>
      </c>
      <c r="QJ108" s="276">
        <f t="shared" ca="1" si="171"/>
        <v>0</v>
      </c>
      <c r="QK108" s="276">
        <f t="shared" ca="1" si="171"/>
        <v>0</v>
      </c>
      <c r="QL108" s="276">
        <f t="shared" ref="QL108:RR108" ca="1" si="172">(($B$39/12*QL$66)+($D$39/12*QL$67))*(IF($B$42=2,QL$89,IF($B$42=1,QL$87,QL$91))+$G$47)</f>
        <v>0</v>
      </c>
      <c r="QM108" s="276">
        <f t="shared" ca="1" si="172"/>
        <v>0</v>
      </c>
      <c r="QN108" s="276">
        <f t="shared" ca="1" si="172"/>
        <v>0</v>
      </c>
      <c r="QO108" s="276">
        <f t="shared" ca="1" si="172"/>
        <v>0</v>
      </c>
      <c r="QP108" s="276">
        <f t="shared" ca="1" si="172"/>
        <v>0</v>
      </c>
      <c r="QQ108" s="276">
        <f t="shared" ca="1" si="172"/>
        <v>0</v>
      </c>
      <c r="QR108" s="276">
        <f t="shared" ca="1" si="172"/>
        <v>0</v>
      </c>
      <c r="QS108" s="276">
        <f t="shared" ca="1" si="172"/>
        <v>0</v>
      </c>
      <c r="QT108" s="276">
        <f t="shared" ca="1" si="172"/>
        <v>0</v>
      </c>
      <c r="QU108" s="276">
        <f t="shared" ca="1" si="172"/>
        <v>0</v>
      </c>
      <c r="QV108" s="276">
        <f t="shared" ca="1" si="172"/>
        <v>0</v>
      </c>
      <c r="QW108" s="276">
        <f t="shared" ca="1" si="172"/>
        <v>0</v>
      </c>
      <c r="QX108" s="276">
        <f t="shared" ca="1" si="172"/>
        <v>0</v>
      </c>
      <c r="QY108" s="276">
        <f t="shared" ca="1" si="172"/>
        <v>0</v>
      </c>
      <c r="QZ108" s="276">
        <f t="shared" ca="1" si="172"/>
        <v>0</v>
      </c>
      <c r="RA108" s="276">
        <f t="shared" ca="1" si="172"/>
        <v>0</v>
      </c>
      <c r="RB108" s="276">
        <f t="shared" ca="1" si="172"/>
        <v>0</v>
      </c>
      <c r="RC108" s="276">
        <f t="shared" ca="1" si="172"/>
        <v>0</v>
      </c>
      <c r="RD108" s="276">
        <f t="shared" ca="1" si="172"/>
        <v>0</v>
      </c>
      <c r="RE108" s="276">
        <f t="shared" ca="1" si="172"/>
        <v>0</v>
      </c>
      <c r="RF108" s="276">
        <f t="shared" ca="1" si="172"/>
        <v>0</v>
      </c>
      <c r="RG108" s="276">
        <f t="shared" ca="1" si="172"/>
        <v>0</v>
      </c>
      <c r="RH108" s="276">
        <f t="shared" ca="1" si="172"/>
        <v>0</v>
      </c>
      <c r="RI108" s="276">
        <f t="shared" ca="1" si="172"/>
        <v>0</v>
      </c>
      <c r="RJ108" s="276">
        <f t="shared" ca="1" si="172"/>
        <v>0</v>
      </c>
      <c r="RK108" s="276">
        <f t="shared" ca="1" si="172"/>
        <v>0</v>
      </c>
      <c r="RL108" s="276">
        <f t="shared" ca="1" si="172"/>
        <v>0</v>
      </c>
      <c r="RM108" s="276">
        <f t="shared" ca="1" si="172"/>
        <v>0</v>
      </c>
      <c r="RN108" s="276">
        <f t="shared" ca="1" si="172"/>
        <v>0</v>
      </c>
      <c r="RO108" s="276">
        <f t="shared" ca="1" si="172"/>
        <v>0</v>
      </c>
      <c r="RP108" s="276">
        <f t="shared" ca="1" si="172"/>
        <v>0</v>
      </c>
      <c r="RQ108" s="276">
        <f t="shared" ca="1" si="172"/>
        <v>0</v>
      </c>
      <c r="RR108" s="276">
        <f t="shared" ca="1" si="172"/>
        <v>0</v>
      </c>
    </row>
    <row r="109" spans="1:486" s="9" customFormat="1">
      <c r="A109" s="128"/>
      <c r="B109" s="91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</row>
    <row r="110" spans="1:486" s="9" customFormat="1">
      <c r="A110" s="287" t="s">
        <v>274</v>
      </c>
      <c r="B110" s="66" t="s">
        <v>205</v>
      </c>
      <c r="E110" s="138">
        <f t="shared" ref="E110:BP110" si="173">(($C$38/12*E$66*E86)+($G$38/12*E$67*E86))</f>
        <v>88996133.220760718</v>
      </c>
      <c r="F110" s="138">
        <f t="shared" ca="1" si="173"/>
        <v>89284480.804968819</v>
      </c>
      <c r="G110" s="138">
        <f t="shared" ca="1" si="173"/>
        <v>89573762.635714501</v>
      </c>
      <c r="H110" s="138">
        <f t="shared" ca="1" si="173"/>
        <v>89863981.73995772</v>
      </c>
      <c r="I110" s="138">
        <f t="shared" ca="1" si="173"/>
        <v>90155141.15446578</v>
      </c>
      <c r="J110" s="138">
        <f t="shared" ca="1" si="173"/>
        <v>90447243.925845146</v>
      </c>
      <c r="K110" s="138">
        <f t="shared" ca="1" si="173"/>
        <v>90740293.110573247</v>
      </c>
      <c r="L110" s="138">
        <f t="shared" ca="1" si="173"/>
        <v>91034291.775030568</v>
      </c>
      <c r="M110" s="138">
        <f t="shared" ca="1" si="173"/>
        <v>91329242.995532602</v>
      </c>
      <c r="N110" s="138">
        <f t="shared" ca="1" si="173"/>
        <v>91625149.858362168</v>
      </c>
      <c r="O110" s="138">
        <f t="shared" ca="1" si="173"/>
        <v>91922015.459801584</v>
      </c>
      <c r="P110" s="138">
        <f t="shared" ca="1" si="173"/>
        <v>92219842.906165168</v>
      </c>
      <c r="Q110" s="138">
        <f t="shared" ca="1" si="173"/>
        <v>92518635.313831717</v>
      </c>
      <c r="R110" s="138">
        <f t="shared" ca="1" si="173"/>
        <v>92818395.809277043</v>
      </c>
      <c r="S110" s="138">
        <f t="shared" ca="1" si="173"/>
        <v>93119127.529106781</v>
      </c>
      <c r="T110" s="138">
        <f t="shared" ca="1" si="173"/>
        <v>93420833.620089188</v>
      </c>
      <c r="U110" s="138">
        <f t="shared" ca="1" si="173"/>
        <v>93723517.239187986</v>
      </c>
      <c r="V110" s="138">
        <f t="shared" ca="1" si="173"/>
        <v>94027181.553595543</v>
      </c>
      <c r="W110" s="138">
        <f t="shared" ca="1" si="173"/>
        <v>94331829.740765885</v>
      </c>
      <c r="X110" s="138">
        <f t="shared" ca="1" si="173"/>
        <v>94637464.988448039</v>
      </c>
      <c r="Y110" s="138">
        <f t="shared" ca="1" si="173"/>
        <v>94944090.494719267</v>
      </c>
      <c r="Z110" s="138">
        <f t="shared" ca="1" si="173"/>
        <v>95251709.468018681</v>
      </c>
      <c r="AA110" s="138">
        <f t="shared" ca="1" si="173"/>
        <v>95560325.127180696</v>
      </c>
      <c r="AB110" s="138">
        <f t="shared" ca="1" si="173"/>
        <v>95869940.701468766</v>
      </c>
      <c r="AC110" s="138">
        <f t="shared" ca="1" si="173"/>
        <v>96180559.430609167</v>
      </c>
      <c r="AD110" s="138">
        <f t="shared" ca="1" si="173"/>
        <v>96492184.564824894</v>
      </c>
      <c r="AE110" s="138">
        <f t="shared" ca="1" si="173"/>
        <v>96804819.364869669</v>
      </c>
      <c r="AF110" s="138">
        <f t="shared" ca="1" si="173"/>
        <v>97118467.102062032</v>
      </c>
      <c r="AG110" s="138">
        <f t="shared" ca="1" si="173"/>
        <v>97433131.058319643</v>
      </c>
      <c r="AH110" s="138">
        <f t="shared" ca="1" si="173"/>
        <v>97748814.526193544</v>
      </c>
      <c r="AI110" s="138">
        <f t="shared" ca="1" si="173"/>
        <v>98065520.808902681</v>
      </c>
      <c r="AJ110" s="138">
        <f t="shared" ca="1" si="173"/>
        <v>98383253.2203684</v>
      </c>
      <c r="AK110" s="138">
        <f t="shared" ca="1" si="173"/>
        <v>98702015.085249171</v>
      </c>
      <c r="AL110" s="138">
        <f t="shared" ca="1" si="173"/>
        <v>99021809.738975361</v>
      </c>
      <c r="AM110" s="138">
        <f t="shared" ca="1" si="173"/>
        <v>99342640.527784154</v>
      </c>
      <c r="AN110" s="138">
        <f t="shared" ca="1" si="173"/>
        <v>99664510.808754489</v>
      </c>
      <c r="AO110" s="138">
        <f t="shared" ca="1" si="173"/>
        <v>99987423.949842319</v>
      </c>
      <c r="AP110" s="138">
        <f t="shared" ca="1" si="173"/>
        <v>100311383.32991572</v>
      </c>
      <c r="AQ110" s="138">
        <f t="shared" ca="1" si="173"/>
        <v>100636392.33879036</v>
      </c>
      <c r="AR110" s="138">
        <f t="shared" ca="1" si="173"/>
        <v>100962454.37726484</v>
      </c>
      <c r="AS110" s="138">
        <f t="shared" ca="1" si="173"/>
        <v>101289572.85715644</v>
      </c>
      <c r="AT110" s="138">
        <f t="shared" ca="1" si="173"/>
        <v>101617751.20133665</v>
      </c>
      <c r="AU110" s="138">
        <f t="shared" ca="1" si="173"/>
        <v>101946992.84376715</v>
      </c>
      <c r="AV110" s="138">
        <f t="shared" ca="1" si="173"/>
        <v>102277301.22953558</v>
      </c>
      <c r="AW110" s="138">
        <f t="shared" ca="1" si="173"/>
        <v>102608679.8148917</v>
      </c>
      <c r="AX110" s="138">
        <f t="shared" ca="1" si="173"/>
        <v>102941132.06728354</v>
      </c>
      <c r="AY110" s="138">
        <f t="shared" ca="1" si="173"/>
        <v>103274661.46539366</v>
      </c>
      <c r="AZ110" s="138">
        <f t="shared" ca="1" si="173"/>
        <v>103609271.49917555</v>
      </c>
      <c r="BA110" s="138">
        <f t="shared" ca="1" si="173"/>
        <v>103944965.66989015</v>
      </c>
      <c r="BB110" s="138">
        <f t="shared" ca="1" si="173"/>
        <v>104281747.49014249</v>
      </c>
      <c r="BC110" s="138">
        <f t="shared" ca="1" si="173"/>
        <v>104619620.48391844</v>
      </c>
      <c r="BD110" s="138">
        <f t="shared" ca="1" si="173"/>
        <v>104958588.18662162</v>
      </c>
      <c r="BE110" s="138">
        <f t="shared" ca="1" si="173"/>
        <v>105298654.14511029</v>
      </c>
      <c r="BF110" s="138">
        <f t="shared" ca="1" si="173"/>
        <v>105639821.91773465</v>
      </c>
      <c r="BG110" s="138">
        <f t="shared" ca="1" si="173"/>
        <v>105982095.07437386</v>
      </c>
      <c r="BH110" s="138">
        <f t="shared" ca="1" si="173"/>
        <v>106325477.19647352</v>
      </c>
      <c r="BI110" s="138">
        <f t="shared" ca="1" si="173"/>
        <v>106669971.87708315</v>
      </c>
      <c r="BJ110" s="138">
        <f t="shared" ca="1" si="173"/>
        <v>107015582.7208937</v>
      </c>
      <c r="BK110" s="138">
        <f t="shared" ca="1" si="173"/>
        <v>107362313.34427537</v>
      </c>
      <c r="BL110" s="138">
        <f t="shared" ca="1" si="173"/>
        <v>107710167.37531537</v>
      </c>
      <c r="BM110" s="138">
        <f t="shared" ca="1" si="173"/>
        <v>7212917.4722812809</v>
      </c>
      <c r="BN110" s="138">
        <f t="shared" ca="1" si="173"/>
        <v>7236287.3340152241</v>
      </c>
      <c r="BO110" s="138">
        <f t="shared" ca="1" si="173"/>
        <v>7259732.9141307445</v>
      </c>
      <c r="BP110" s="138">
        <f t="shared" ca="1" si="173"/>
        <v>7283254.4579554973</v>
      </c>
      <c r="BQ110" s="138">
        <f t="shared" ref="BQ110:EB110" ca="1" si="174">(($C$38/12*BQ$66*BQ86)+($G$38/12*BQ$67*BQ86))</f>
        <v>7306852.2116119955</v>
      </c>
      <c r="BR110" s="138">
        <f t="shared" ca="1" si="174"/>
        <v>7330526.4220201895</v>
      </c>
      <c r="BS110" s="138">
        <f t="shared" ca="1" si="174"/>
        <v>7354277.3369000517</v>
      </c>
      <c r="BT110" s="138">
        <f t="shared" ca="1" si="174"/>
        <v>7378105.2047741683</v>
      </c>
      <c r="BU110" s="138">
        <f t="shared" ca="1" si="174"/>
        <v>7402010.2749703368</v>
      </c>
      <c r="BV110" s="138">
        <f t="shared" ca="1" si="174"/>
        <v>7425992.7976241792</v>
      </c>
      <c r="BW110" s="138">
        <f t="shared" ca="1" si="174"/>
        <v>7450053.0236817561</v>
      </c>
      <c r="BX110" s="138">
        <f t="shared" ca="1" si="174"/>
        <v>7474191.2049021935</v>
      </c>
      <c r="BY110" s="138">
        <f t="shared" ca="1" si="174"/>
        <v>7498407.593860318</v>
      </c>
      <c r="BZ110" s="138">
        <f t="shared" ca="1" si="174"/>
        <v>7522702.443949298</v>
      </c>
      <c r="CA110" s="138">
        <f t="shared" ca="1" si="174"/>
        <v>7547076.0093832985</v>
      </c>
      <c r="CB110" s="138">
        <f t="shared" ca="1" si="174"/>
        <v>7571528.5452001346</v>
      </c>
      <c r="CC110" s="138">
        <f t="shared" ca="1" si="174"/>
        <v>7596060.307263949</v>
      </c>
      <c r="CD110" s="138">
        <f t="shared" ca="1" si="174"/>
        <v>7620671.5522678792</v>
      </c>
      <c r="CE110" s="138">
        <f t="shared" ca="1" si="174"/>
        <v>7645362.5377367539</v>
      </c>
      <c r="CF110" s="138">
        <f t="shared" ca="1" si="174"/>
        <v>7670133.5220297799</v>
      </c>
      <c r="CG110" s="138">
        <f t="shared" ca="1" si="174"/>
        <v>7694984.7643432477</v>
      </c>
      <c r="CH110" s="138">
        <f t="shared" ca="1" si="174"/>
        <v>7719916.524713248</v>
      </c>
      <c r="CI110" s="138">
        <f t="shared" ca="1" si="174"/>
        <v>7744929.0640183827</v>
      </c>
      <c r="CJ110" s="138">
        <f t="shared" ca="1" si="174"/>
        <v>7770022.6439825045</v>
      </c>
      <c r="CK110" s="138">
        <f t="shared" ca="1" si="174"/>
        <v>7795197.5271774512</v>
      </c>
      <c r="CL110" s="138">
        <f t="shared" ca="1" si="174"/>
        <v>7820453.9770257948</v>
      </c>
      <c r="CM110" s="138">
        <f t="shared" ca="1" si="174"/>
        <v>7845792.2578035938</v>
      </c>
      <c r="CN110" s="138">
        <f t="shared" ca="1" si="174"/>
        <v>7871212.6346431635</v>
      </c>
      <c r="CO110" s="138">
        <f t="shared" ca="1" si="174"/>
        <v>7896715.3735358482</v>
      </c>
      <c r="CP110" s="138">
        <f t="shared" ca="1" si="174"/>
        <v>7922300.7413348043</v>
      </c>
      <c r="CQ110" s="138">
        <f t="shared" ca="1" si="174"/>
        <v>7947969.0057577919</v>
      </c>
      <c r="CR110" s="138">
        <f t="shared" ca="1" si="174"/>
        <v>7973720.4353899788</v>
      </c>
      <c r="CS110" s="138">
        <f t="shared" ca="1" si="174"/>
        <v>7999555.2996867476</v>
      </c>
      <c r="CT110" s="138">
        <f t="shared" ca="1" si="174"/>
        <v>8025473.8689765166</v>
      </c>
      <c r="CU110" s="138">
        <f t="shared" ca="1" si="174"/>
        <v>8051476.4144635694</v>
      </c>
      <c r="CV110" s="138">
        <f t="shared" ca="1" si="174"/>
        <v>8077563.2082308903</v>
      </c>
      <c r="CW110" s="138">
        <f t="shared" ca="1" si="174"/>
        <v>8103734.5232430166</v>
      </c>
      <c r="CX110" s="138">
        <f t="shared" ca="1" si="174"/>
        <v>8129990.6333488859</v>
      </c>
      <c r="CY110" s="138">
        <f t="shared" ca="1" si="174"/>
        <v>8156331.813284711</v>
      </c>
      <c r="CZ110" s="138">
        <f t="shared" ca="1" si="174"/>
        <v>8182758.3386768466</v>
      </c>
      <c r="DA110" s="138">
        <f t="shared" ca="1" si="174"/>
        <v>8209270.4860446798</v>
      </c>
      <c r="DB110" s="138">
        <f t="shared" ca="1" si="174"/>
        <v>8235868.5328035206</v>
      </c>
      <c r="DC110" s="138">
        <f t="shared" ca="1" si="174"/>
        <v>8262552.7572675049</v>
      </c>
      <c r="DD110" s="138">
        <f t="shared" ca="1" si="174"/>
        <v>8289323.4386525061</v>
      </c>
      <c r="DE110" s="138">
        <f t="shared" ca="1" si="174"/>
        <v>8316180.857079057</v>
      </c>
      <c r="DF110" s="138">
        <f t="shared" ca="1" si="174"/>
        <v>8343125.2935752831</v>
      </c>
      <c r="DG110" s="138">
        <f t="shared" ca="1" si="174"/>
        <v>8370157.0300798388</v>
      </c>
      <c r="DH110" s="138">
        <f t="shared" ca="1" si="174"/>
        <v>8397276.3494448625</v>
      </c>
      <c r="DI110" s="138">
        <f t="shared" ca="1" si="174"/>
        <v>8424483.5354389325</v>
      </c>
      <c r="DJ110" s="138">
        <f t="shared" ca="1" si="174"/>
        <v>8451778.8727500383</v>
      </c>
      <c r="DK110" s="138">
        <f t="shared" ca="1" si="174"/>
        <v>8479162.6469885577</v>
      </c>
      <c r="DL110" s="138">
        <f t="shared" ca="1" si="174"/>
        <v>8506635.1446902491</v>
      </c>
      <c r="DM110" s="138">
        <f t="shared" ca="1" si="174"/>
        <v>8534196.6533192433</v>
      </c>
      <c r="DN110" s="138">
        <f t="shared" ca="1" si="174"/>
        <v>8561847.4612710588</v>
      </c>
      <c r="DO110" s="138">
        <f t="shared" ca="1" si="174"/>
        <v>8589587.8578756154</v>
      </c>
      <c r="DP110" s="138">
        <f t="shared" ca="1" si="174"/>
        <v>8617418.1334002595</v>
      </c>
      <c r="DQ110" s="138">
        <f t="shared" ca="1" si="174"/>
        <v>8645338.5790528059</v>
      </c>
      <c r="DR110" s="138">
        <f t="shared" ca="1" si="174"/>
        <v>8673349.4869845845</v>
      </c>
      <c r="DS110" s="138">
        <f t="shared" ca="1" si="174"/>
        <v>8701451.1502934918</v>
      </c>
      <c r="DT110" s="138">
        <f t="shared" ca="1" si="174"/>
        <v>8729643.8630270679</v>
      </c>
      <c r="DU110" s="138">
        <f t="shared" ca="1" si="174"/>
        <v>8757927.9201855622</v>
      </c>
      <c r="DV110" s="138">
        <f t="shared" ca="1" si="174"/>
        <v>8786303.6177250277</v>
      </c>
      <c r="DW110" s="138">
        <f t="shared" ca="1" si="174"/>
        <v>8814771.2525604125</v>
      </c>
      <c r="DX110" s="138">
        <f t="shared" ca="1" si="174"/>
        <v>8843331.1225686744</v>
      </c>
      <c r="DY110" s="138">
        <f t="shared" ca="1" si="174"/>
        <v>8871983.5265918877</v>
      </c>
      <c r="DZ110" s="138">
        <f t="shared" ca="1" si="174"/>
        <v>8900728.76444038</v>
      </c>
      <c r="EA110" s="138">
        <f t="shared" ca="1" si="174"/>
        <v>8929567.1368958615</v>
      </c>
      <c r="EB110" s="138">
        <f t="shared" ca="1" si="174"/>
        <v>8958498.945714578</v>
      </c>
      <c r="EC110" s="138">
        <f t="shared" ref="EC110:GN110" ca="1" si="175">(($C$38/12*EC$66*EC86)+($G$38/12*EC$67*EC86))</f>
        <v>8987524.4936304633</v>
      </c>
      <c r="ED110" s="138">
        <f t="shared" ca="1" si="175"/>
        <v>9016644.0843583085</v>
      </c>
      <c r="EE110" s="138">
        <f t="shared" ca="1" si="175"/>
        <v>9045858.0225969478</v>
      </c>
      <c r="EF110" s="138">
        <f t="shared" ca="1" si="175"/>
        <v>9075166.6140324343</v>
      </c>
      <c r="EG110" s="138">
        <f t="shared" ca="1" si="175"/>
        <v>9104570.1653412431</v>
      </c>
      <c r="EH110" s="138">
        <f t="shared" ca="1" si="175"/>
        <v>9134068.9841934871</v>
      </c>
      <c r="EI110" s="138">
        <f t="shared" ca="1" si="175"/>
        <v>9163663.3792561255</v>
      </c>
      <c r="EJ110" s="138">
        <f t="shared" ca="1" si="175"/>
        <v>9193353.6601962</v>
      </c>
      <c r="EK110" s="138">
        <f t="shared" ca="1" si="175"/>
        <v>9223140.137684077</v>
      </c>
      <c r="EL110" s="138">
        <f t="shared" ca="1" si="175"/>
        <v>9253023.1233966909</v>
      </c>
      <c r="EM110" s="138">
        <f t="shared" ca="1" si="175"/>
        <v>9283002.9300208166</v>
      </c>
      <c r="EN110" s="138">
        <f t="shared" ca="1" si="175"/>
        <v>9313079.8712563235</v>
      </c>
      <c r="EO110" s="138">
        <f t="shared" ca="1" si="175"/>
        <v>9343254.2618194781</v>
      </c>
      <c r="EP110" s="138">
        <f t="shared" ca="1" si="175"/>
        <v>9373526.4174462277</v>
      </c>
      <c r="EQ110" s="138">
        <f t="shared" ca="1" si="175"/>
        <v>9403896.6548954993</v>
      </c>
      <c r="ER110" s="138">
        <f t="shared" ca="1" si="175"/>
        <v>9434365.2919525206</v>
      </c>
      <c r="ES110" s="138">
        <f t="shared" ca="1" si="175"/>
        <v>9464932.6474321485</v>
      </c>
      <c r="ET110" s="138">
        <f t="shared" ca="1" si="175"/>
        <v>9495599.0411821958</v>
      </c>
      <c r="EU110" s="138">
        <f t="shared" ca="1" si="175"/>
        <v>9526364.7940867823</v>
      </c>
      <c r="EV110" s="138">
        <f t="shared" ca="1" si="175"/>
        <v>9557230.2280696966</v>
      </c>
      <c r="EW110" s="138">
        <f t="shared" ca="1" si="175"/>
        <v>9588195.6660977583</v>
      </c>
      <c r="EX110" s="138">
        <f t="shared" ca="1" si="175"/>
        <v>9619261.4321841989</v>
      </c>
      <c r="EY110" s="138">
        <f t="shared" ca="1" si="175"/>
        <v>9650427.8513920549</v>
      </c>
      <c r="EZ110" s="138">
        <f t="shared" ca="1" si="175"/>
        <v>9681695.2498375699</v>
      </c>
      <c r="FA110" s="138">
        <f t="shared" ca="1" si="175"/>
        <v>9713063.9546935968</v>
      </c>
      <c r="FB110" s="138">
        <f t="shared" ca="1" si="175"/>
        <v>9744534.2941930369</v>
      </c>
      <c r="FC110" s="138">
        <f t="shared" ca="1" si="175"/>
        <v>9776106.597632261</v>
      </c>
      <c r="FD110" s="138">
        <f t="shared" ca="1" si="175"/>
        <v>9807781.1953745652</v>
      </c>
      <c r="FE110" s="138">
        <f t="shared" ca="1" si="175"/>
        <v>9839558.4188536201</v>
      </c>
      <c r="FF110" s="138">
        <f t="shared" ca="1" si="175"/>
        <v>9871438.6005769428</v>
      </c>
      <c r="FG110" s="138">
        <f t="shared" ca="1" si="175"/>
        <v>9903422.0741293747</v>
      </c>
      <c r="FH110" s="138">
        <f t="shared" ca="1" si="175"/>
        <v>9935509.1741765738</v>
      </c>
      <c r="FI110" s="138">
        <f t="shared" ca="1" si="175"/>
        <v>9967700.2364685126</v>
      </c>
      <c r="FJ110" s="138">
        <f t="shared" ca="1" si="175"/>
        <v>9999995.5978429969</v>
      </c>
      <c r="FK110" s="138">
        <f t="shared" ca="1" si="175"/>
        <v>10032395.596229186</v>
      </c>
      <c r="FL110" s="138">
        <f t="shared" ca="1" si="175"/>
        <v>10064900.570651131</v>
      </c>
      <c r="FM110" s="138">
        <f t="shared" ca="1" si="175"/>
        <v>10097510.861231318</v>
      </c>
      <c r="FN110" s="138">
        <f t="shared" ca="1" si="175"/>
        <v>10130226.809194233</v>
      </c>
      <c r="FO110" s="138">
        <f t="shared" ca="1" si="175"/>
        <v>10163048.756869933</v>
      </c>
      <c r="FP110" s="138">
        <f t="shared" ca="1" si="175"/>
        <v>10195977.047697617</v>
      </c>
      <c r="FQ110" s="138">
        <f t="shared" ca="1" si="175"/>
        <v>10229012.026229234</v>
      </c>
      <c r="FR110" s="138">
        <f t="shared" ca="1" si="175"/>
        <v>10262154.038133081</v>
      </c>
      <c r="FS110" s="138">
        <f t="shared" ca="1" si="175"/>
        <v>10295403.43019742</v>
      </c>
      <c r="FT110" s="138">
        <f t="shared" ca="1" si="175"/>
        <v>10328760.550334103</v>
      </c>
      <c r="FU110" s="138">
        <f t="shared" ca="1" si="175"/>
        <v>10362225.747582225</v>
      </c>
      <c r="FV110" s="138">
        <f t="shared" ca="1" si="175"/>
        <v>10395799.37211176</v>
      </c>
      <c r="FW110" s="138">
        <f t="shared" ca="1" si="175"/>
        <v>10429481.775227239</v>
      </c>
      <c r="FX110" s="138">
        <f t="shared" ca="1" si="175"/>
        <v>10463273.309371417</v>
      </c>
      <c r="FY110" s="138">
        <f t="shared" ca="1" si="175"/>
        <v>10497174.328128967</v>
      </c>
      <c r="FZ110" s="138">
        <f t="shared" ca="1" si="175"/>
        <v>10531185.186230173</v>
      </c>
      <c r="GA110" s="138">
        <f t="shared" ca="1" si="175"/>
        <v>10565306.239554649</v>
      </c>
      <c r="GB110" s="138">
        <f t="shared" ca="1" si="175"/>
        <v>10599537.845135055</v>
      </c>
      <c r="GC110" s="138">
        <f t="shared" ca="1" si="175"/>
        <v>10633880.361160843</v>
      </c>
      <c r="GD110" s="138">
        <f t="shared" ca="1" si="175"/>
        <v>10668334.146981994</v>
      </c>
      <c r="GE110" s="138">
        <f t="shared" ca="1" si="175"/>
        <v>10702899.563112786</v>
      </c>
      <c r="GF110" s="138">
        <f t="shared" ca="1" si="175"/>
        <v>10737576.971235564</v>
      </c>
      <c r="GG110" s="138">
        <f t="shared" ca="1" si="175"/>
        <v>10772366.734204525</v>
      </c>
      <c r="GH110" s="138">
        <f t="shared" ca="1" si="175"/>
        <v>10807269.216049511</v>
      </c>
      <c r="GI110" s="138">
        <f t="shared" ca="1" si="175"/>
        <v>10842284.781979825</v>
      </c>
      <c r="GJ110" s="138">
        <f t="shared" ca="1" si="175"/>
        <v>10877413.798388043</v>
      </c>
      <c r="GK110" s="138">
        <f t="shared" ca="1" si="175"/>
        <v>10912656.63285386</v>
      </c>
      <c r="GL110" s="138">
        <f t="shared" ca="1" si="175"/>
        <v>10948013.654147927</v>
      </c>
      <c r="GM110" s="138">
        <f t="shared" ca="1" si="175"/>
        <v>10983485.232235709</v>
      </c>
      <c r="GN110" s="138">
        <f t="shared" ca="1" si="175"/>
        <v>11019071.738281365</v>
      </c>
      <c r="GO110" s="138">
        <f t="shared" ref="GO110:IZ110" ca="1" si="176">(($C$38/12*GO$66*GO86)+($G$38/12*GO$67*GO86))</f>
        <v>11054773.544651622</v>
      </c>
      <c r="GP110" s="138">
        <f t="shared" ca="1" si="176"/>
        <v>11090591.024919679</v>
      </c>
      <c r="GQ110" s="138">
        <f t="shared" ca="1" si="176"/>
        <v>11126524.553869111</v>
      </c>
      <c r="GR110" s="138">
        <f t="shared" ca="1" si="176"/>
        <v>11162574.507497791</v>
      </c>
      <c r="GS110" s="138">
        <f t="shared" ca="1" si="176"/>
        <v>11198741.26302183</v>
      </c>
      <c r="GT110" s="138">
        <f t="shared" ca="1" si="176"/>
        <v>11235025.198879514</v>
      </c>
      <c r="GU110" s="138">
        <f t="shared" ca="1" si="176"/>
        <v>11271426.694735272</v>
      </c>
      <c r="GV110" s="138">
        <f t="shared" ca="1" si="176"/>
        <v>11307946.131483648</v>
      </c>
      <c r="GW110" s="138">
        <f t="shared" ca="1" si="176"/>
        <v>11344583.891253285</v>
      </c>
      <c r="GX110" s="138">
        <f t="shared" ca="1" si="176"/>
        <v>11381340.357410915</v>
      </c>
      <c r="GY110" s="138">
        <f t="shared" ca="1" si="176"/>
        <v>11418215.914565392</v>
      </c>
      <c r="GZ110" s="138">
        <f t="shared" ca="1" si="176"/>
        <v>11455210.948571695</v>
      </c>
      <c r="HA110" s="138">
        <f t="shared" ca="1" si="176"/>
        <v>11492325.846534975</v>
      </c>
      <c r="HB110" s="138">
        <f t="shared" ca="1" si="176"/>
        <v>11529560.996814601</v>
      </c>
      <c r="HC110" s="138">
        <f t="shared" ca="1" si="176"/>
        <v>11566916.789028233</v>
      </c>
      <c r="HD110" s="138">
        <f t="shared" ca="1" si="176"/>
        <v>11604393.614055889</v>
      </c>
      <c r="HE110" s="138">
        <f t="shared" ca="1" si="176"/>
        <v>11641991.864044039</v>
      </c>
      <c r="HF110" s="138">
        <f t="shared" ca="1" si="176"/>
        <v>11679711.932409711</v>
      </c>
      <c r="HG110" s="138">
        <f t="shared" ca="1" si="176"/>
        <v>11717554.213844599</v>
      </c>
      <c r="HH110" s="138">
        <f t="shared" ca="1" si="176"/>
        <v>11755519.104319204</v>
      </c>
      <c r="HI110" s="138">
        <f t="shared" ca="1" si="176"/>
        <v>11793607.001086967</v>
      </c>
      <c r="HJ110" s="138">
        <f t="shared" ca="1" si="176"/>
        <v>11831818.302688438</v>
      </c>
      <c r="HK110" s="138">
        <f t="shared" ca="1" si="176"/>
        <v>11870153.408955432</v>
      </c>
      <c r="HL110" s="138">
        <f t="shared" ca="1" si="176"/>
        <v>11908612.721015222</v>
      </c>
      <c r="HM110" s="138">
        <f t="shared" ca="1" si="176"/>
        <v>11947196.641294733</v>
      </c>
      <c r="HN110" s="138">
        <f t="shared" ca="1" si="176"/>
        <v>11985905.573524756</v>
      </c>
      <c r="HO110" s="138">
        <f t="shared" ca="1" si="176"/>
        <v>12024739.922744168</v>
      </c>
      <c r="HP110" s="138">
        <f t="shared" ca="1" si="176"/>
        <v>12063700.095304172</v>
      </c>
      <c r="HQ110" s="138">
        <f t="shared" ca="1" si="176"/>
        <v>12102786.498872552</v>
      </c>
      <c r="HR110" s="138">
        <f t="shared" ca="1" si="176"/>
        <v>12141999.542437935</v>
      </c>
      <c r="HS110" s="138">
        <f t="shared" ca="1" si="176"/>
        <v>12181339.63631407</v>
      </c>
      <c r="HT110" s="138">
        <f t="shared" ca="1" si="176"/>
        <v>12220807.192144128</v>
      </c>
      <c r="HU110" s="138">
        <f t="shared" ca="1" si="176"/>
        <v>12260402.622904997</v>
      </c>
      <c r="HV110" s="138">
        <f t="shared" ca="1" si="176"/>
        <v>12300126.342911618</v>
      </c>
      <c r="HW110" s="138">
        <f t="shared" ca="1" si="176"/>
        <v>12339978.767821308</v>
      </c>
      <c r="HX110" s="138">
        <f t="shared" ca="1" si="176"/>
        <v>12379960.314638114</v>
      </c>
      <c r="HY110" s="138">
        <f t="shared" ca="1" si="176"/>
        <v>12420071.401717179</v>
      </c>
      <c r="HZ110" s="138">
        <f t="shared" ca="1" si="176"/>
        <v>12460312.448769117</v>
      </c>
      <c r="IA110" s="138">
        <f t="shared" ca="1" si="176"/>
        <v>12500683.876864405</v>
      </c>
      <c r="IB110" s="138">
        <f t="shared" ca="1" si="176"/>
        <v>12541186.10843779</v>
      </c>
      <c r="IC110" s="138">
        <f t="shared" ca="1" si="176"/>
        <v>12581819.567292703</v>
      </c>
      <c r="ID110" s="138">
        <f t="shared" ca="1" si="176"/>
        <v>12622584.678605705</v>
      </c>
      <c r="IE110" s="138">
        <f t="shared" ca="1" si="176"/>
        <v>12663481.868930927</v>
      </c>
      <c r="IF110" s="138">
        <f t="shared" ca="1" si="176"/>
        <v>12704511.566204531</v>
      </c>
      <c r="IG110" s="138">
        <f t="shared" ca="1" si="176"/>
        <v>12745674.199749203</v>
      </c>
      <c r="IH110" s="138">
        <f t="shared" ca="1" si="176"/>
        <v>12786970.200278627</v>
      </c>
      <c r="II110" s="138">
        <f t="shared" ca="1" si="176"/>
        <v>12828399.999902003</v>
      </c>
      <c r="IJ110" s="138">
        <f t="shared" ca="1" si="176"/>
        <v>12869964.032128563</v>
      </c>
      <c r="IK110" s="138">
        <f t="shared" ca="1" si="176"/>
        <v>0</v>
      </c>
      <c r="IL110" s="138">
        <f t="shared" ca="1" si="176"/>
        <v>0</v>
      </c>
      <c r="IM110" s="138">
        <f t="shared" ca="1" si="176"/>
        <v>0</v>
      </c>
      <c r="IN110" s="138">
        <f t="shared" ca="1" si="176"/>
        <v>0</v>
      </c>
      <c r="IO110" s="138">
        <f t="shared" ca="1" si="176"/>
        <v>0</v>
      </c>
      <c r="IP110" s="138">
        <f t="shared" ca="1" si="176"/>
        <v>0</v>
      </c>
      <c r="IQ110" s="138">
        <f t="shared" ca="1" si="176"/>
        <v>0</v>
      </c>
      <c r="IR110" s="138">
        <f t="shared" ca="1" si="176"/>
        <v>0</v>
      </c>
      <c r="IS110" s="138">
        <f t="shared" ca="1" si="176"/>
        <v>0</v>
      </c>
      <c r="IT110" s="138">
        <f t="shared" ca="1" si="176"/>
        <v>0</v>
      </c>
      <c r="IU110" s="138">
        <f t="shared" ca="1" si="176"/>
        <v>0</v>
      </c>
      <c r="IV110" s="138">
        <f t="shared" ca="1" si="176"/>
        <v>0</v>
      </c>
      <c r="IW110" s="138">
        <f t="shared" ca="1" si="176"/>
        <v>0</v>
      </c>
      <c r="IX110" s="138">
        <f t="shared" ca="1" si="176"/>
        <v>0</v>
      </c>
      <c r="IY110" s="138">
        <f t="shared" ca="1" si="176"/>
        <v>0</v>
      </c>
      <c r="IZ110" s="138">
        <f t="shared" ca="1" si="176"/>
        <v>0</v>
      </c>
      <c r="JA110" s="138">
        <f t="shared" ref="JA110:LL110" ca="1" si="177">(($C$38/12*JA$66*JA86)+($G$38/12*JA$67*JA86))</f>
        <v>0</v>
      </c>
      <c r="JB110" s="138">
        <f t="shared" ca="1" si="177"/>
        <v>0</v>
      </c>
      <c r="JC110" s="138">
        <f t="shared" ca="1" si="177"/>
        <v>0</v>
      </c>
      <c r="JD110" s="138">
        <f t="shared" ca="1" si="177"/>
        <v>0</v>
      </c>
      <c r="JE110" s="138">
        <f t="shared" ca="1" si="177"/>
        <v>0</v>
      </c>
      <c r="JF110" s="138">
        <f t="shared" ca="1" si="177"/>
        <v>0</v>
      </c>
      <c r="JG110" s="138">
        <f t="shared" ca="1" si="177"/>
        <v>0</v>
      </c>
      <c r="JH110" s="138">
        <f t="shared" ca="1" si="177"/>
        <v>0</v>
      </c>
      <c r="JI110" s="138">
        <f t="shared" ca="1" si="177"/>
        <v>0</v>
      </c>
      <c r="JJ110" s="138">
        <f t="shared" ca="1" si="177"/>
        <v>0</v>
      </c>
      <c r="JK110" s="138">
        <f t="shared" ca="1" si="177"/>
        <v>0</v>
      </c>
      <c r="JL110" s="138">
        <f t="shared" ca="1" si="177"/>
        <v>0</v>
      </c>
      <c r="JM110" s="138">
        <f t="shared" ca="1" si="177"/>
        <v>0</v>
      </c>
      <c r="JN110" s="138">
        <f t="shared" ca="1" si="177"/>
        <v>0</v>
      </c>
      <c r="JO110" s="138">
        <f t="shared" ca="1" si="177"/>
        <v>0</v>
      </c>
      <c r="JP110" s="138">
        <f t="shared" ca="1" si="177"/>
        <v>0</v>
      </c>
      <c r="JQ110" s="138">
        <f t="shared" ca="1" si="177"/>
        <v>0</v>
      </c>
      <c r="JR110" s="138">
        <f t="shared" ca="1" si="177"/>
        <v>0</v>
      </c>
      <c r="JS110" s="138">
        <f t="shared" ca="1" si="177"/>
        <v>0</v>
      </c>
      <c r="JT110" s="138">
        <f t="shared" ca="1" si="177"/>
        <v>0</v>
      </c>
      <c r="JU110" s="138">
        <f t="shared" ca="1" si="177"/>
        <v>0</v>
      </c>
      <c r="JV110" s="138">
        <f t="shared" ca="1" si="177"/>
        <v>0</v>
      </c>
      <c r="JW110" s="138">
        <f t="shared" ca="1" si="177"/>
        <v>0</v>
      </c>
      <c r="JX110" s="138">
        <f t="shared" ca="1" si="177"/>
        <v>0</v>
      </c>
      <c r="JY110" s="138">
        <f t="shared" ca="1" si="177"/>
        <v>0</v>
      </c>
      <c r="JZ110" s="138">
        <f t="shared" ca="1" si="177"/>
        <v>0</v>
      </c>
      <c r="KA110" s="138">
        <f t="shared" ca="1" si="177"/>
        <v>0</v>
      </c>
      <c r="KB110" s="138">
        <f t="shared" ca="1" si="177"/>
        <v>0</v>
      </c>
      <c r="KC110" s="138">
        <f t="shared" ca="1" si="177"/>
        <v>0</v>
      </c>
      <c r="KD110" s="138">
        <f t="shared" ca="1" si="177"/>
        <v>0</v>
      </c>
      <c r="KE110" s="138">
        <f t="shared" ca="1" si="177"/>
        <v>0</v>
      </c>
      <c r="KF110" s="138">
        <f t="shared" ca="1" si="177"/>
        <v>0</v>
      </c>
      <c r="KG110" s="138">
        <f t="shared" ca="1" si="177"/>
        <v>0</v>
      </c>
      <c r="KH110" s="138">
        <f t="shared" ca="1" si="177"/>
        <v>0</v>
      </c>
      <c r="KI110" s="138">
        <f t="shared" ca="1" si="177"/>
        <v>0</v>
      </c>
      <c r="KJ110" s="138">
        <f t="shared" ca="1" si="177"/>
        <v>0</v>
      </c>
      <c r="KK110" s="138">
        <f t="shared" ca="1" si="177"/>
        <v>0</v>
      </c>
      <c r="KL110" s="138">
        <f t="shared" ca="1" si="177"/>
        <v>0</v>
      </c>
      <c r="KM110" s="138">
        <f t="shared" ca="1" si="177"/>
        <v>0</v>
      </c>
      <c r="KN110" s="138">
        <f t="shared" ca="1" si="177"/>
        <v>0</v>
      </c>
      <c r="KO110" s="138">
        <f t="shared" ca="1" si="177"/>
        <v>0</v>
      </c>
      <c r="KP110" s="138">
        <f t="shared" ca="1" si="177"/>
        <v>0</v>
      </c>
      <c r="KQ110" s="138">
        <f t="shared" ca="1" si="177"/>
        <v>0</v>
      </c>
      <c r="KR110" s="138">
        <f t="shared" ca="1" si="177"/>
        <v>0</v>
      </c>
      <c r="KS110" s="138">
        <f t="shared" ca="1" si="177"/>
        <v>0</v>
      </c>
      <c r="KT110" s="138">
        <f t="shared" ca="1" si="177"/>
        <v>0</v>
      </c>
      <c r="KU110" s="138">
        <f t="shared" ca="1" si="177"/>
        <v>0</v>
      </c>
      <c r="KV110" s="138">
        <f t="shared" ca="1" si="177"/>
        <v>0</v>
      </c>
      <c r="KW110" s="138">
        <f t="shared" ca="1" si="177"/>
        <v>0</v>
      </c>
      <c r="KX110" s="138">
        <f t="shared" ca="1" si="177"/>
        <v>0</v>
      </c>
      <c r="KY110" s="138">
        <f t="shared" ca="1" si="177"/>
        <v>0</v>
      </c>
      <c r="KZ110" s="138">
        <f t="shared" ca="1" si="177"/>
        <v>0</v>
      </c>
      <c r="LA110" s="138">
        <f t="shared" ca="1" si="177"/>
        <v>0</v>
      </c>
      <c r="LB110" s="138">
        <f t="shared" ca="1" si="177"/>
        <v>0</v>
      </c>
      <c r="LC110" s="138">
        <f t="shared" ca="1" si="177"/>
        <v>0</v>
      </c>
      <c r="LD110" s="138">
        <f t="shared" ca="1" si="177"/>
        <v>0</v>
      </c>
      <c r="LE110" s="138">
        <f t="shared" ca="1" si="177"/>
        <v>0</v>
      </c>
      <c r="LF110" s="138">
        <f t="shared" ca="1" si="177"/>
        <v>0</v>
      </c>
      <c r="LG110" s="138">
        <f t="shared" ca="1" si="177"/>
        <v>0</v>
      </c>
      <c r="LH110" s="138">
        <f t="shared" ca="1" si="177"/>
        <v>0</v>
      </c>
      <c r="LI110" s="138">
        <f t="shared" ca="1" si="177"/>
        <v>0</v>
      </c>
      <c r="LJ110" s="138">
        <f t="shared" ca="1" si="177"/>
        <v>0</v>
      </c>
      <c r="LK110" s="138">
        <f t="shared" ca="1" si="177"/>
        <v>0</v>
      </c>
      <c r="LL110" s="138">
        <f t="shared" ca="1" si="177"/>
        <v>0</v>
      </c>
      <c r="LM110" s="138">
        <f t="shared" ref="LM110:NX110" ca="1" si="178">(($C$38/12*LM$66*LM86)+($G$38/12*LM$67*LM86))</f>
        <v>0</v>
      </c>
      <c r="LN110" s="138">
        <f t="shared" ca="1" si="178"/>
        <v>0</v>
      </c>
      <c r="LO110" s="138">
        <f t="shared" ca="1" si="178"/>
        <v>0</v>
      </c>
      <c r="LP110" s="138">
        <f t="shared" ca="1" si="178"/>
        <v>0</v>
      </c>
      <c r="LQ110" s="138">
        <f t="shared" ca="1" si="178"/>
        <v>0</v>
      </c>
      <c r="LR110" s="138">
        <f t="shared" ca="1" si="178"/>
        <v>0</v>
      </c>
      <c r="LS110" s="138">
        <f t="shared" ca="1" si="178"/>
        <v>0</v>
      </c>
      <c r="LT110" s="138">
        <f t="shared" ca="1" si="178"/>
        <v>0</v>
      </c>
      <c r="LU110" s="138">
        <f t="shared" ca="1" si="178"/>
        <v>0</v>
      </c>
      <c r="LV110" s="138">
        <f t="shared" ca="1" si="178"/>
        <v>0</v>
      </c>
      <c r="LW110" s="138">
        <f t="shared" ca="1" si="178"/>
        <v>0</v>
      </c>
      <c r="LX110" s="138">
        <f t="shared" ca="1" si="178"/>
        <v>0</v>
      </c>
      <c r="LY110" s="138">
        <f t="shared" ca="1" si="178"/>
        <v>0</v>
      </c>
      <c r="LZ110" s="138">
        <f t="shared" ca="1" si="178"/>
        <v>0</v>
      </c>
      <c r="MA110" s="138">
        <f t="shared" ca="1" si="178"/>
        <v>0</v>
      </c>
      <c r="MB110" s="138">
        <f t="shared" ca="1" si="178"/>
        <v>0</v>
      </c>
      <c r="MC110" s="138">
        <f t="shared" ca="1" si="178"/>
        <v>0</v>
      </c>
      <c r="MD110" s="138">
        <f t="shared" ca="1" si="178"/>
        <v>0</v>
      </c>
      <c r="ME110" s="138">
        <f t="shared" ca="1" si="178"/>
        <v>0</v>
      </c>
      <c r="MF110" s="138">
        <f t="shared" ca="1" si="178"/>
        <v>0</v>
      </c>
      <c r="MG110" s="138">
        <f t="shared" ca="1" si="178"/>
        <v>0</v>
      </c>
      <c r="MH110" s="138">
        <f t="shared" ca="1" si="178"/>
        <v>0</v>
      </c>
      <c r="MI110" s="138">
        <f t="shared" ca="1" si="178"/>
        <v>0</v>
      </c>
      <c r="MJ110" s="138">
        <f t="shared" ca="1" si="178"/>
        <v>0</v>
      </c>
      <c r="MK110" s="138">
        <f t="shared" ca="1" si="178"/>
        <v>0</v>
      </c>
      <c r="ML110" s="138">
        <f t="shared" ca="1" si="178"/>
        <v>0</v>
      </c>
      <c r="MM110" s="138">
        <f t="shared" ca="1" si="178"/>
        <v>0</v>
      </c>
      <c r="MN110" s="138">
        <f t="shared" ca="1" si="178"/>
        <v>0</v>
      </c>
      <c r="MO110" s="138">
        <f t="shared" ca="1" si="178"/>
        <v>0</v>
      </c>
      <c r="MP110" s="138">
        <f t="shared" ca="1" si="178"/>
        <v>0</v>
      </c>
      <c r="MQ110" s="138">
        <f t="shared" ca="1" si="178"/>
        <v>0</v>
      </c>
      <c r="MR110" s="138">
        <f t="shared" ca="1" si="178"/>
        <v>0</v>
      </c>
      <c r="MS110" s="138">
        <f t="shared" ca="1" si="178"/>
        <v>0</v>
      </c>
      <c r="MT110" s="138">
        <f t="shared" ca="1" si="178"/>
        <v>0</v>
      </c>
      <c r="MU110" s="138">
        <f t="shared" ca="1" si="178"/>
        <v>0</v>
      </c>
      <c r="MV110" s="138">
        <f t="shared" ca="1" si="178"/>
        <v>0</v>
      </c>
      <c r="MW110" s="138">
        <f t="shared" ca="1" si="178"/>
        <v>0</v>
      </c>
      <c r="MX110" s="138">
        <f t="shared" ca="1" si="178"/>
        <v>0</v>
      </c>
      <c r="MY110" s="138">
        <f t="shared" ca="1" si="178"/>
        <v>0</v>
      </c>
      <c r="MZ110" s="138">
        <f t="shared" ca="1" si="178"/>
        <v>0</v>
      </c>
      <c r="NA110" s="138">
        <f t="shared" ca="1" si="178"/>
        <v>0</v>
      </c>
      <c r="NB110" s="138">
        <f t="shared" ca="1" si="178"/>
        <v>0</v>
      </c>
      <c r="NC110" s="138">
        <f t="shared" ca="1" si="178"/>
        <v>0</v>
      </c>
      <c r="ND110" s="138">
        <f t="shared" ca="1" si="178"/>
        <v>0</v>
      </c>
      <c r="NE110" s="138">
        <f t="shared" ca="1" si="178"/>
        <v>0</v>
      </c>
      <c r="NF110" s="138">
        <f t="shared" ca="1" si="178"/>
        <v>0</v>
      </c>
      <c r="NG110" s="138">
        <f t="shared" ca="1" si="178"/>
        <v>0</v>
      </c>
      <c r="NH110" s="138">
        <f t="shared" ca="1" si="178"/>
        <v>0</v>
      </c>
      <c r="NI110" s="138">
        <f t="shared" ca="1" si="178"/>
        <v>0</v>
      </c>
      <c r="NJ110" s="138">
        <f t="shared" ca="1" si="178"/>
        <v>0</v>
      </c>
      <c r="NK110" s="138">
        <f t="shared" ca="1" si="178"/>
        <v>0</v>
      </c>
      <c r="NL110" s="138">
        <f t="shared" ca="1" si="178"/>
        <v>0</v>
      </c>
      <c r="NM110" s="138">
        <f t="shared" ca="1" si="178"/>
        <v>0</v>
      </c>
      <c r="NN110" s="138">
        <f t="shared" ca="1" si="178"/>
        <v>0</v>
      </c>
      <c r="NO110" s="138">
        <f t="shared" ca="1" si="178"/>
        <v>0</v>
      </c>
      <c r="NP110" s="138">
        <f t="shared" ca="1" si="178"/>
        <v>0</v>
      </c>
      <c r="NQ110" s="138">
        <f t="shared" ca="1" si="178"/>
        <v>0</v>
      </c>
      <c r="NR110" s="138">
        <f t="shared" ca="1" si="178"/>
        <v>0</v>
      </c>
      <c r="NS110" s="138">
        <f t="shared" ca="1" si="178"/>
        <v>0</v>
      </c>
      <c r="NT110" s="138">
        <f t="shared" ca="1" si="178"/>
        <v>0</v>
      </c>
      <c r="NU110" s="138">
        <f t="shared" ca="1" si="178"/>
        <v>0</v>
      </c>
      <c r="NV110" s="138">
        <f t="shared" ca="1" si="178"/>
        <v>0</v>
      </c>
      <c r="NW110" s="138">
        <f t="shared" ca="1" si="178"/>
        <v>0</v>
      </c>
      <c r="NX110" s="138">
        <f t="shared" ca="1" si="178"/>
        <v>0</v>
      </c>
      <c r="NY110" s="138">
        <f t="shared" ref="NY110:QJ110" ca="1" si="179">(($C$38/12*NY$66*NY86)+($G$38/12*NY$67*NY86))</f>
        <v>0</v>
      </c>
      <c r="NZ110" s="138">
        <f t="shared" ca="1" si="179"/>
        <v>0</v>
      </c>
      <c r="OA110" s="138">
        <f t="shared" ca="1" si="179"/>
        <v>0</v>
      </c>
      <c r="OB110" s="138">
        <f t="shared" ca="1" si="179"/>
        <v>0</v>
      </c>
      <c r="OC110" s="138">
        <f t="shared" ca="1" si="179"/>
        <v>0</v>
      </c>
      <c r="OD110" s="138">
        <f t="shared" ca="1" si="179"/>
        <v>0</v>
      </c>
      <c r="OE110" s="138">
        <f t="shared" ca="1" si="179"/>
        <v>0</v>
      </c>
      <c r="OF110" s="138">
        <f t="shared" ca="1" si="179"/>
        <v>0</v>
      </c>
      <c r="OG110" s="138">
        <f t="shared" ca="1" si="179"/>
        <v>0</v>
      </c>
      <c r="OH110" s="138">
        <f t="shared" ca="1" si="179"/>
        <v>0</v>
      </c>
      <c r="OI110" s="138">
        <f t="shared" ca="1" si="179"/>
        <v>0</v>
      </c>
      <c r="OJ110" s="138">
        <f t="shared" ca="1" si="179"/>
        <v>0</v>
      </c>
      <c r="OK110" s="138">
        <f t="shared" ca="1" si="179"/>
        <v>0</v>
      </c>
      <c r="OL110" s="138">
        <f t="shared" ca="1" si="179"/>
        <v>0</v>
      </c>
      <c r="OM110" s="138">
        <f t="shared" ca="1" si="179"/>
        <v>0</v>
      </c>
      <c r="ON110" s="138">
        <f t="shared" ca="1" si="179"/>
        <v>0</v>
      </c>
      <c r="OO110" s="138">
        <f t="shared" ca="1" si="179"/>
        <v>0</v>
      </c>
      <c r="OP110" s="138">
        <f t="shared" ca="1" si="179"/>
        <v>0</v>
      </c>
      <c r="OQ110" s="138">
        <f t="shared" ca="1" si="179"/>
        <v>0</v>
      </c>
      <c r="OR110" s="138">
        <f t="shared" ca="1" si="179"/>
        <v>0</v>
      </c>
      <c r="OS110" s="138">
        <f t="shared" ca="1" si="179"/>
        <v>0</v>
      </c>
      <c r="OT110" s="138">
        <f t="shared" ca="1" si="179"/>
        <v>0</v>
      </c>
      <c r="OU110" s="138">
        <f t="shared" ca="1" si="179"/>
        <v>0</v>
      </c>
      <c r="OV110" s="138">
        <f t="shared" ca="1" si="179"/>
        <v>0</v>
      </c>
      <c r="OW110" s="138">
        <f t="shared" ca="1" si="179"/>
        <v>0</v>
      </c>
      <c r="OX110" s="138">
        <f t="shared" ca="1" si="179"/>
        <v>0</v>
      </c>
      <c r="OY110" s="138">
        <f t="shared" ca="1" si="179"/>
        <v>0</v>
      </c>
      <c r="OZ110" s="138">
        <f t="shared" ca="1" si="179"/>
        <v>0</v>
      </c>
      <c r="PA110" s="138">
        <f t="shared" ca="1" si="179"/>
        <v>0</v>
      </c>
      <c r="PB110" s="138">
        <f t="shared" ca="1" si="179"/>
        <v>0</v>
      </c>
      <c r="PC110" s="138">
        <f t="shared" ca="1" si="179"/>
        <v>0</v>
      </c>
      <c r="PD110" s="138">
        <f t="shared" ca="1" si="179"/>
        <v>0</v>
      </c>
      <c r="PE110" s="138">
        <f t="shared" ca="1" si="179"/>
        <v>0</v>
      </c>
      <c r="PF110" s="138">
        <f t="shared" ca="1" si="179"/>
        <v>0</v>
      </c>
      <c r="PG110" s="138">
        <f t="shared" ca="1" si="179"/>
        <v>0</v>
      </c>
      <c r="PH110" s="138">
        <f t="shared" ca="1" si="179"/>
        <v>0</v>
      </c>
      <c r="PI110" s="138">
        <f t="shared" ca="1" si="179"/>
        <v>0</v>
      </c>
      <c r="PJ110" s="138">
        <f t="shared" ca="1" si="179"/>
        <v>0</v>
      </c>
      <c r="PK110" s="138">
        <f t="shared" ca="1" si="179"/>
        <v>0</v>
      </c>
      <c r="PL110" s="138">
        <f t="shared" ca="1" si="179"/>
        <v>0</v>
      </c>
      <c r="PM110" s="138">
        <f t="shared" ca="1" si="179"/>
        <v>0</v>
      </c>
      <c r="PN110" s="138">
        <f t="shared" ca="1" si="179"/>
        <v>0</v>
      </c>
      <c r="PO110" s="138">
        <f t="shared" ca="1" si="179"/>
        <v>0</v>
      </c>
      <c r="PP110" s="138">
        <f t="shared" ca="1" si="179"/>
        <v>0</v>
      </c>
      <c r="PQ110" s="138">
        <f t="shared" ca="1" si="179"/>
        <v>0</v>
      </c>
      <c r="PR110" s="138">
        <f t="shared" ca="1" si="179"/>
        <v>0</v>
      </c>
      <c r="PS110" s="138">
        <f t="shared" ca="1" si="179"/>
        <v>0</v>
      </c>
      <c r="PT110" s="138">
        <f t="shared" ca="1" si="179"/>
        <v>0</v>
      </c>
      <c r="PU110" s="138">
        <f t="shared" ca="1" si="179"/>
        <v>0</v>
      </c>
      <c r="PV110" s="138">
        <f t="shared" ca="1" si="179"/>
        <v>0</v>
      </c>
      <c r="PW110" s="138">
        <f t="shared" ca="1" si="179"/>
        <v>0</v>
      </c>
      <c r="PX110" s="138">
        <f t="shared" ca="1" si="179"/>
        <v>0</v>
      </c>
      <c r="PY110" s="138">
        <f t="shared" ca="1" si="179"/>
        <v>0</v>
      </c>
      <c r="PZ110" s="138">
        <f t="shared" ca="1" si="179"/>
        <v>0</v>
      </c>
      <c r="QA110" s="138">
        <f t="shared" ca="1" si="179"/>
        <v>0</v>
      </c>
      <c r="QB110" s="138">
        <f t="shared" ca="1" si="179"/>
        <v>0</v>
      </c>
      <c r="QC110" s="138">
        <f t="shared" ca="1" si="179"/>
        <v>0</v>
      </c>
      <c r="QD110" s="138">
        <f t="shared" ca="1" si="179"/>
        <v>0</v>
      </c>
      <c r="QE110" s="138">
        <f t="shared" ca="1" si="179"/>
        <v>0</v>
      </c>
      <c r="QF110" s="138">
        <f t="shared" ca="1" si="179"/>
        <v>0</v>
      </c>
      <c r="QG110" s="138">
        <f t="shared" ca="1" si="179"/>
        <v>0</v>
      </c>
      <c r="QH110" s="138">
        <f t="shared" ca="1" si="179"/>
        <v>0</v>
      </c>
      <c r="QI110" s="138">
        <f t="shared" ca="1" si="179"/>
        <v>0</v>
      </c>
      <c r="QJ110" s="138">
        <f t="shared" ca="1" si="179"/>
        <v>0</v>
      </c>
      <c r="QK110" s="138">
        <f t="shared" ref="QK110:RR110" ca="1" si="180">(($C$38/12*QK$66*QK86)+($G$38/12*QK$67*QK86))</f>
        <v>0</v>
      </c>
      <c r="QL110" s="138">
        <f t="shared" ca="1" si="180"/>
        <v>0</v>
      </c>
      <c r="QM110" s="138">
        <f t="shared" ca="1" si="180"/>
        <v>0</v>
      </c>
      <c r="QN110" s="138">
        <f t="shared" ca="1" si="180"/>
        <v>0</v>
      </c>
      <c r="QO110" s="138">
        <f t="shared" ca="1" si="180"/>
        <v>0</v>
      </c>
      <c r="QP110" s="138">
        <f t="shared" ca="1" si="180"/>
        <v>0</v>
      </c>
      <c r="QQ110" s="138">
        <f t="shared" ca="1" si="180"/>
        <v>0</v>
      </c>
      <c r="QR110" s="138">
        <f t="shared" ca="1" si="180"/>
        <v>0</v>
      </c>
      <c r="QS110" s="138">
        <f t="shared" ca="1" si="180"/>
        <v>0</v>
      </c>
      <c r="QT110" s="138">
        <f t="shared" ca="1" si="180"/>
        <v>0</v>
      </c>
      <c r="QU110" s="138">
        <f t="shared" ca="1" si="180"/>
        <v>0</v>
      </c>
      <c r="QV110" s="138">
        <f t="shared" ca="1" si="180"/>
        <v>0</v>
      </c>
      <c r="QW110" s="138">
        <f t="shared" ca="1" si="180"/>
        <v>0</v>
      </c>
      <c r="QX110" s="138">
        <f t="shared" ca="1" si="180"/>
        <v>0</v>
      </c>
      <c r="QY110" s="138">
        <f t="shared" ca="1" si="180"/>
        <v>0</v>
      </c>
      <c r="QZ110" s="138">
        <f t="shared" ca="1" si="180"/>
        <v>0</v>
      </c>
      <c r="RA110" s="138">
        <f t="shared" ca="1" si="180"/>
        <v>0</v>
      </c>
      <c r="RB110" s="138">
        <f t="shared" ca="1" si="180"/>
        <v>0</v>
      </c>
      <c r="RC110" s="138">
        <f t="shared" ca="1" si="180"/>
        <v>0</v>
      </c>
      <c r="RD110" s="138">
        <f t="shared" ca="1" si="180"/>
        <v>0</v>
      </c>
      <c r="RE110" s="138">
        <f t="shared" ca="1" si="180"/>
        <v>0</v>
      </c>
      <c r="RF110" s="138">
        <f t="shared" ca="1" si="180"/>
        <v>0</v>
      </c>
      <c r="RG110" s="138">
        <f t="shared" ca="1" si="180"/>
        <v>0</v>
      </c>
      <c r="RH110" s="138">
        <f t="shared" ca="1" si="180"/>
        <v>0</v>
      </c>
      <c r="RI110" s="138">
        <f t="shared" ca="1" si="180"/>
        <v>0</v>
      </c>
      <c r="RJ110" s="138">
        <f t="shared" ca="1" si="180"/>
        <v>0</v>
      </c>
      <c r="RK110" s="138">
        <f t="shared" ca="1" si="180"/>
        <v>0</v>
      </c>
      <c r="RL110" s="138">
        <f t="shared" ca="1" si="180"/>
        <v>0</v>
      </c>
      <c r="RM110" s="138">
        <f t="shared" ca="1" si="180"/>
        <v>0</v>
      </c>
      <c r="RN110" s="138">
        <f t="shared" ca="1" si="180"/>
        <v>0</v>
      </c>
      <c r="RO110" s="138">
        <f t="shared" ca="1" si="180"/>
        <v>0</v>
      </c>
      <c r="RP110" s="138">
        <f t="shared" ca="1" si="180"/>
        <v>0</v>
      </c>
      <c r="RQ110" s="138">
        <f t="shared" ca="1" si="180"/>
        <v>0</v>
      </c>
      <c r="RR110" s="138">
        <f t="shared" ca="1" si="180"/>
        <v>0</v>
      </c>
    </row>
    <row r="111" spans="1:486" s="9" customFormat="1">
      <c r="A111" s="288"/>
      <c r="B111" s="66" t="s">
        <v>206</v>
      </c>
      <c r="E111" s="138">
        <f>(($B$39/12*E$66)+($F$39/12*E$67))*(IF($B$43=2,E$89,IF($B$43=1,E$87,E$91))+$G$47)</f>
        <v>0</v>
      </c>
      <c r="F111" s="276">
        <f t="shared" ref="F111:BQ111" ca="1" si="181">(($B$39/12*F$66)+($F$39/12*F$67))*(IF($B$43=2,F$89,IF($B$43=1,F$87,F$91))+$G$47)</f>
        <v>0</v>
      </c>
      <c r="G111" s="276">
        <f t="shared" ca="1" si="181"/>
        <v>0</v>
      </c>
      <c r="H111" s="276">
        <f t="shared" ca="1" si="181"/>
        <v>0</v>
      </c>
      <c r="I111" s="276">
        <f t="shared" ca="1" si="181"/>
        <v>0</v>
      </c>
      <c r="J111" s="276">
        <f t="shared" ca="1" si="181"/>
        <v>0</v>
      </c>
      <c r="K111" s="276">
        <f t="shared" ca="1" si="181"/>
        <v>0</v>
      </c>
      <c r="L111" s="276">
        <f t="shared" ca="1" si="181"/>
        <v>0</v>
      </c>
      <c r="M111" s="276">
        <f t="shared" ca="1" si="181"/>
        <v>0</v>
      </c>
      <c r="N111" s="276">
        <f t="shared" ca="1" si="181"/>
        <v>0</v>
      </c>
      <c r="O111" s="276">
        <f t="shared" ca="1" si="181"/>
        <v>0</v>
      </c>
      <c r="P111" s="276">
        <f t="shared" ca="1" si="181"/>
        <v>0</v>
      </c>
      <c r="Q111" s="276">
        <f t="shared" ca="1" si="181"/>
        <v>0</v>
      </c>
      <c r="R111" s="276">
        <f t="shared" ca="1" si="181"/>
        <v>0</v>
      </c>
      <c r="S111" s="276">
        <f t="shared" ca="1" si="181"/>
        <v>0</v>
      </c>
      <c r="T111" s="276">
        <f t="shared" ca="1" si="181"/>
        <v>0</v>
      </c>
      <c r="U111" s="276">
        <f t="shared" ca="1" si="181"/>
        <v>0</v>
      </c>
      <c r="V111" s="276">
        <f t="shared" ca="1" si="181"/>
        <v>0</v>
      </c>
      <c r="W111" s="276">
        <f t="shared" ca="1" si="181"/>
        <v>0</v>
      </c>
      <c r="X111" s="276">
        <f t="shared" ca="1" si="181"/>
        <v>0</v>
      </c>
      <c r="Y111" s="276">
        <f t="shared" ca="1" si="181"/>
        <v>0</v>
      </c>
      <c r="Z111" s="276">
        <f t="shared" ca="1" si="181"/>
        <v>0</v>
      </c>
      <c r="AA111" s="276">
        <f t="shared" ca="1" si="181"/>
        <v>0</v>
      </c>
      <c r="AB111" s="276">
        <f t="shared" ca="1" si="181"/>
        <v>0</v>
      </c>
      <c r="AC111" s="276">
        <f t="shared" ca="1" si="181"/>
        <v>0</v>
      </c>
      <c r="AD111" s="276">
        <f t="shared" ca="1" si="181"/>
        <v>0</v>
      </c>
      <c r="AE111" s="276">
        <f t="shared" ca="1" si="181"/>
        <v>0</v>
      </c>
      <c r="AF111" s="276">
        <f t="shared" ca="1" si="181"/>
        <v>0</v>
      </c>
      <c r="AG111" s="276">
        <f t="shared" ca="1" si="181"/>
        <v>0</v>
      </c>
      <c r="AH111" s="276">
        <f t="shared" ca="1" si="181"/>
        <v>0</v>
      </c>
      <c r="AI111" s="276">
        <f t="shared" ca="1" si="181"/>
        <v>0</v>
      </c>
      <c r="AJ111" s="276">
        <f t="shared" ca="1" si="181"/>
        <v>0</v>
      </c>
      <c r="AK111" s="276">
        <f t="shared" ca="1" si="181"/>
        <v>0</v>
      </c>
      <c r="AL111" s="276">
        <f t="shared" ca="1" si="181"/>
        <v>0</v>
      </c>
      <c r="AM111" s="276">
        <f t="shared" ca="1" si="181"/>
        <v>0</v>
      </c>
      <c r="AN111" s="276">
        <f t="shared" ca="1" si="181"/>
        <v>0</v>
      </c>
      <c r="AO111" s="276">
        <f t="shared" ca="1" si="181"/>
        <v>0</v>
      </c>
      <c r="AP111" s="276">
        <f t="shared" ca="1" si="181"/>
        <v>0</v>
      </c>
      <c r="AQ111" s="276">
        <f t="shared" ca="1" si="181"/>
        <v>0</v>
      </c>
      <c r="AR111" s="276">
        <f t="shared" ca="1" si="181"/>
        <v>0</v>
      </c>
      <c r="AS111" s="276">
        <f t="shared" ca="1" si="181"/>
        <v>0</v>
      </c>
      <c r="AT111" s="276">
        <f t="shared" ca="1" si="181"/>
        <v>0</v>
      </c>
      <c r="AU111" s="276">
        <f t="shared" ca="1" si="181"/>
        <v>0</v>
      </c>
      <c r="AV111" s="276">
        <f t="shared" ca="1" si="181"/>
        <v>0</v>
      </c>
      <c r="AW111" s="276">
        <f t="shared" ca="1" si="181"/>
        <v>0</v>
      </c>
      <c r="AX111" s="276">
        <f t="shared" ca="1" si="181"/>
        <v>0</v>
      </c>
      <c r="AY111" s="276">
        <f t="shared" ca="1" si="181"/>
        <v>0</v>
      </c>
      <c r="AZ111" s="276">
        <f t="shared" ca="1" si="181"/>
        <v>0</v>
      </c>
      <c r="BA111" s="276">
        <f t="shared" ca="1" si="181"/>
        <v>0</v>
      </c>
      <c r="BB111" s="276">
        <f t="shared" ca="1" si="181"/>
        <v>0</v>
      </c>
      <c r="BC111" s="276">
        <f t="shared" ca="1" si="181"/>
        <v>0</v>
      </c>
      <c r="BD111" s="276">
        <f t="shared" ca="1" si="181"/>
        <v>0</v>
      </c>
      <c r="BE111" s="276">
        <f t="shared" ca="1" si="181"/>
        <v>0</v>
      </c>
      <c r="BF111" s="276">
        <f t="shared" ca="1" si="181"/>
        <v>0</v>
      </c>
      <c r="BG111" s="276">
        <f t="shared" ca="1" si="181"/>
        <v>0</v>
      </c>
      <c r="BH111" s="276">
        <f t="shared" ca="1" si="181"/>
        <v>0</v>
      </c>
      <c r="BI111" s="276">
        <f t="shared" ca="1" si="181"/>
        <v>0</v>
      </c>
      <c r="BJ111" s="276">
        <f t="shared" ca="1" si="181"/>
        <v>0</v>
      </c>
      <c r="BK111" s="276">
        <f t="shared" ca="1" si="181"/>
        <v>0</v>
      </c>
      <c r="BL111" s="276">
        <f t="shared" ca="1" si="181"/>
        <v>0</v>
      </c>
      <c r="BM111" s="276">
        <f t="shared" ca="1" si="181"/>
        <v>31314839.620075159</v>
      </c>
      <c r="BN111" s="276">
        <f t="shared" ca="1" si="181"/>
        <v>31384710.17447298</v>
      </c>
      <c r="BO111" s="276">
        <f t="shared" ca="1" si="181"/>
        <v>31454807.11830448</v>
      </c>
      <c r="BP111" s="276">
        <f t="shared" ca="1" si="181"/>
        <v>31525131.185100067</v>
      </c>
      <c r="BQ111" s="276">
        <f t="shared" ca="1" si="181"/>
        <v>31595683.110766862</v>
      </c>
      <c r="BR111" s="276">
        <f t="shared" ref="BR111:EC111" ca="1" si="182">(($B$39/12*BR$66)+($F$39/12*BR$67))*(IF($B$43=2,BR$89,IF($B$43=1,BR$87,BR$91))+$G$47)</f>
        <v>31666463.633596424</v>
      </c>
      <c r="BS111" s="276">
        <f t="shared" ca="1" si="182"/>
        <v>31737473.494272493</v>
      </c>
      <c r="BT111" s="276">
        <f t="shared" ca="1" si="182"/>
        <v>31808713.435878675</v>
      </c>
      <c r="BU111" s="276">
        <f t="shared" ca="1" si="182"/>
        <v>31880184.203906309</v>
      </c>
      <c r="BV111" s="276">
        <f t="shared" ca="1" si="182"/>
        <v>31951886.546262182</v>
      </c>
      <c r="BW111" s="276">
        <f t="shared" ca="1" si="182"/>
        <v>32023821.213276409</v>
      </c>
      <c r="BX111" s="276">
        <f t="shared" ca="1" si="182"/>
        <v>32095988.95771027</v>
      </c>
      <c r="BY111" s="276">
        <f t="shared" ca="1" si="182"/>
        <v>32168390.534764085</v>
      </c>
      <c r="BZ111" s="276">
        <f t="shared" ca="1" si="182"/>
        <v>32241026.702085122</v>
      </c>
      <c r="CA111" s="276">
        <f t="shared" ca="1" si="182"/>
        <v>32313898.219775509</v>
      </c>
      <c r="CB111" s="276">
        <f t="shared" ca="1" si="182"/>
        <v>32387005.850400221</v>
      </c>
      <c r="CC111" s="276">
        <f t="shared" ca="1" si="182"/>
        <v>32460350.358995024</v>
      </c>
      <c r="CD111" s="276">
        <f t="shared" ca="1" si="182"/>
        <v>32533932.513074495</v>
      </c>
      <c r="CE111" s="276">
        <f t="shared" ca="1" si="182"/>
        <v>32607753.082640078</v>
      </c>
      <c r="CF111" s="276">
        <f t="shared" ca="1" si="182"/>
        <v>32681812.840188097</v>
      </c>
      <c r="CG111" s="276">
        <f t="shared" ca="1" si="182"/>
        <v>32756112.560717858</v>
      </c>
      <c r="CH111" s="276">
        <f t="shared" ca="1" si="182"/>
        <v>32830653.021739788</v>
      </c>
      <c r="CI111" s="276">
        <f t="shared" ca="1" si="182"/>
        <v>32905435.003283527</v>
      </c>
      <c r="CJ111" s="276">
        <f t="shared" ca="1" si="182"/>
        <v>32980459.287906107</v>
      </c>
      <c r="CK111" s="276">
        <f t="shared" ca="1" si="182"/>
        <v>33055726.660700157</v>
      </c>
      <c r="CL111" s="276">
        <f t="shared" ca="1" si="182"/>
        <v>33131237.909302101</v>
      </c>
      <c r="CM111" s="276">
        <f t="shared" ca="1" si="182"/>
        <v>33206993.823900394</v>
      </c>
      <c r="CN111" s="276">
        <f t="shared" ca="1" si="182"/>
        <v>33282995.197243821</v>
      </c>
      <c r="CO111" s="276">
        <f t="shared" ca="1" si="182"/>
        <v>33359242.824649755</v>
      </c>
      <c r="CP111" s="276">
        <f t="shared" ca="1" si="182"/>
        <v>33435737.504012506</v>
      </c>
      <c r="CQ111" s="276">
        <f t="shared" ca="1" si="182"/>
        <v>33512480.035811666</v>
      </c>
      <c r="CR111" s="276">
        <f t="shared" ca="1" si="182"/>
        <v>33589471.223120473</v>
      </c>
      <c r="CS111" s="276">
        <f t="shared" ca="1" si="182"/>
        <v>33666711.87161424</v>
      </c>
      <c r="CT111" s="276">
        <f t="shared" ca="1" si="182"/>
        <v>33744202.789578743</v>
      </c>
      <c r="CU111" s="276">
        <f t="shared" ca="1" si="182"/>
        <v>33821944.787918732</v>
      </c>
      <c r="CV111" s="276">
        <f t="shared" ca="1" si="182"/>
        <v>33899938.680166371</v>
      </c>
      <c r="CW111" s="276">
        <f t="shared" ca="1" si="182"/>
        <v>33978185.282489799</v>
      </c>
      <c r="CX111" s="276">
        <f t="shared" ca="1" si="182"/>
        <v>34056685.413701609</v>
      </c>
      <c r="CY111" s="276">
        <f t="shared" ca="1" si="182"/>
        <v>34135439.895267472</v>
      </c>
      <c r="CZ111" s="276">
        <f t="shared" ca="1" si="182"/>
        <v>34214449.551314704</v>
      </c>
      <c r="DA111" s="276">
        <f t="shared" ca="1" si="182"/>
        <v>34293715.208640903</v>
      </c>
      <c r="DB111" s="276">
        <f t="shared" ca="1" si="182"/>
        <v>34373237.696722597</v>
      </c>
      <c r="DC111" s="276">
        <f t="shared" ca="1" si="182"/>
        <v>34453017.847723909</v>
      </c>
      <c r="DD111" s="276">
        <f t="shared" ca="1" si="182"/>
        <v>34533056.49650529</v>
      </c>
      <c r="DE111" s="276">
        <f t="shared" ca="1" si="182"/>
        <v>34613354.480632253</v>
      </c>
      <c r="DF111" s="276">
        <f t="shared" ca="1" si="182"/>
        <v>34693912.640384108</v>
      </c>
      <c r="DG111" s="276">
        <f t="shared" ca="1" si="182"/>
        <v>34774731.818762787</v>
      </c>
      <c r="DH111" s="276">
        <f t="shared" ca="1" si="182"/>
        <v>34855812.861501671</v>
      </c>
      <c r="DI111" s="276">
        <f t="shared" ca="1" si="182"/>
        <v>34937156.617074393</v>
      </c>
      <c r="DJ111" s="276">
        <f t="shared" ca="1" si="182"/>
        <v>35018763.936703756</v>
      </c>
      <c r="DK111" s="276">
        <f t="shared" ca="1" si="182"/>
        <v>35100635.674370661</v>
      </c>
      <c r="DL111" s="276">
        <f t="shared" ca="1" si="182"/>
        <v>35182772.686822981</v>
      </c>
      <c r="DM111" s="276">
        <f t="shared" ca="1" si="182"/>
        <v>35265175.833584577</v>
      </c>
      <c r="DN111" s="276">
        <f t="shared" ca="1" si="182"/>
        <v>35347845.976964273</v>
      </c>
      <c r="DO111" s="276">
        <f t="shared" ca="1" si="182"/>
        <v>35430783.98206488</v>
      </c>
      <c r="DP111" s="276">
        <f t="shared" ca="1" si="182"/>
        <v>35513990.716792263</v>
      </c>
      <c r="DQ111" s="276">
        <f t="shared" ca="1" si="182"/>
        <v>35597467.051864386</v>
      </c>
      <c r="DR111" s="276">
        <f t="shared" ca="1" si="182"/>
        <v>35681213.86082048</v>
      </c>
      <c r="DS111" s="276">
        <f t="shared" ca="1" si="182"/>
        <v>35765232.020030133</v>
      </c>
      <c r="DT111" s="276">
        <f t="shared" ca="1" si="182"/>
        <v>35849522.408702485</v>
      </c>
      <c r="DU111" s="276">
        <f t="shared" ca="1" si="182"/>
        <v>35934085.908895433</v>
      </c>
      <c r="DV111" s="276">
        <f t="shared" ca="1" si="182"/>
        <v>36018923.40552485</v>
      </c>
      <c r="DW111" s="276">
        <f t="shared" ca="1" si="182"/>
        <v>36104035.786373831</v>
      </c>
      <c r="DX111" s="276">
        <f t="shared" ca="1" si="182"/>
        <v>36189423.94210203</v>
      </c>
      <c r="DY111" s="276">
        <f t="shared" ca="1" si="182"/>
        <v>36275088.766254932</v>
      </c>
      <c r="DZ111" s="276">
        <f t="shared" ca="1" si="182"/>
        <v>36361031.155273229</v>
      </c>
      <c r="EA111" s="276">
        <f t="shared" ca="1" si="182"/>
        <v>36447252.008502193</v>
      </c>
      <c r="EB111" s="276">
        <f t="shared" ca="1" si="182"/>
        <v>36533752.228201084</v>
      </c>
      <c r="EC111" s="276">
        <f t="shared" ca="1" si="182"/>
        <v>36620532.719552599</v>
      </c>
      <c r="ED111" s="276">
        <f t="shared" ref="ED111:GO111" ca="1" si="183">(($B$39/12*ED$66)+($F$39/12*ED$67))*(IF($B$43=2,ED$89,IF($B$43=1,ED$87,ED$91))+$G$47)</f>
        <v>36707594.390672348</v>
      </c>
      <c r="EE111" s="276">
        <f t="shared" ca="1" si="183"/>
        <v>36794938.152618341</v>
      </c>
      <c r="EF111" s="276">
        <f t="shared" ca="1" si="183"/>
        <v>36882564.919400528</v>
      </c>
      <c r="EG111" s="276">
        <f t="shared" ca="1" si="183"/>
        <v>36970475.607990384</v>
      </c>
      <c r="EH111" s="276">
        <f t="shared" ca="1" si="183"/>
        <v>37058671.138330467</v>
      </c>
      <c r="EI111" s="276">
        <f t="shared" ca="1" si="183"/>
        <v>37147152.433344088</v>
      </c>
      <c r="EJ111" s="276">
        <f t="shared" ca="1" si="183"/>
        <v>37235920.418944925</v>
      </c>
      <c r="EK111" s="276">
        <f t="shared" ca="1" si="183"/>
        <v>37324976.024046741</v>
      </c>
      <c r="EL111" s="276">
        <f t="shared" ca="1" si="183"/>
        <v>37414320.180573098</v>
      </c>
      <c r="EM111" s="276">
        <f t="shared" ca="1" si="183"/>
        <v>37503953.823467113</v>
      </c>
      <c r="EN111" s="276">
        <f t="shared" ca="1" si="183"/>
        <v>37593877.890701234</v>
      </c>
      <c r="EO111" s="276">
        <f t="shared" ca="1" si="183"/>
        <v>37684093.323287055</v>
      </c>
      <c r="EP111" s="276">
        <f t="shared" ca="1" si="183"/>
        <v>37774601.065285169</v>
      </c>
      <c r="EQ111" s="276">
        <f t="shared" ca="1" si="183"/>
        <v>37865402.063815035</v>
      </c>
      <c r="ER111" s="276">
        <f t="shared" ca="1" si="183"/>
        <v>37956497.269064911</v>
      </c>
      <c r="ES111" s="276">
        <f t="shared" ca="1" si="183"/>
        <v>38047887.634301789</v>
      </c>
      <c r="ET111" s="276">
        <f t="shared" ca="1" si="183"/>
        <v>38139574.115881354</v>
      </c>
      <c r="EU111" s="276">
        <f t="shared" ca="1" si="183"/>
        <v>38231557.673258014</v>
      </c>
      <c r="EV111" s="276">
        <f t="shared" ca="1" si="183"/>
        <v>38323839.26899492</v>
      </c>
      <c r="EW111" s="276">
        <f t="shared" ca="1" si="183"/>
        <v>38416419.868774071</v>
      </c>
      <c r="EX111" s="276">
        <f t="shared" ca="1" si="183"/>
        <v>38509300.441406362</v>
      </c>
      <c r="EY111" s="276">
        <f t="shared" ca="1" si="183"/>
        <v>38602481.958841793</v>
      </c>
      <c r="EZ111" s="276">
        <f t="shared" ca="1" si="183"/>
        <v>38695965.396179587</v>
      </c>
      <c r="FA111" s="276">
        <f t="shared" ca="1" si="183"/>
        <v>38789751.731678419</v>
      </c>
      <c r="FB111" s="276">
        <f t="shared" ca="1" si="183"/>
        <v>38883841.946766637</v>
      </c>
      <c r="FC111" s="276">
        <f t="shared" ca="1" si="183"/>
        <v>38978237.026052542</v>
      </c>
      <c r="FD111" s="276">
        <f t="shared" ca="1" si="183"/>
        <v>39072937.957334697</v>
      </c>
      <c r="FE111" s="276">
        <f t="shared" ca="1" si="183"/>
        <v>39167945.731612265</v>
      </c>
      <c r="FF111" s="276">
        <f t="shared" ca="1" si="183"/>
        <v>39263261.343095347</v>
      </c>
      <c r="FG111" s="276">
        <f t="shared" ca="1" si="183"/>
        <v>39358885.789215438</v>
      </c>
      <c r="FH111" s="276">
        <f t="shared" ca="1" si="183"/>
        <v>39454820.070635818</v>
      </c>
      <c r="FI111" s="276">
        <f t="shared" ca="1" si="183"/>
        <v>39551065.191262051</v>
      </c>
      <c r="FJ111" s="276">
        <f t="shared" ca="1" si="183"/>
        <v>39647622.15825247</v>
      </c>
      <c r="FK111" s="276">
        <f t="shared" ca="1" si="183"/>
        <v>39744491.982028753</v>
      </c>
      <c r="FL111" s="276">
        <f t="shared" ca="1" si="183"/>
        <v>39841675.676286444</v>
      </c>
      <c r="FM111" s="276">
        <f t="shared" ca="1" si="183"/>
        <v>39939174.258005619</v>
      </c>
      <c r="FN111" s="276">
        <f t="shared" ca="1" si="183"/>
        <v>40036988.747461468</v>
      </c>
      <c r="FO111" s="276">
        <f t="shared" ca="1" si="183"/>
        <v>40135120.168235004</v>
      </c>
      <c r="FP111" s="276">
        <f t="shared" ca="1" si="183"/>
        <v>40233569.547223814</v>
      </c>
      <c r="FQ111" s="276">
        <f t="shared" ca="1" si="183"/>
        <v>40332337.914652698</v>
      </c>
      <c r="FR111" s="276">
        <f t="shared" ca="1" si="183"/>
        <v>40431426.304084577</v>
      </c>
      <c r="FS111" s="276">
        <f t="shared" ca="1" si="183"/>
        <v>40530835.752431199</v>
      </c>
      <c r="FT111" s="276">
        <f t="shared" ca="1" si="183"/>
        <v>40630567.29996407</v>
      </c>
      <c r="FU111" s="276">
        <f t="shared" ca="1" si="183"/>
        <v>40730621.99032528</v>
      </c>
      <c r="FV111" s="276">
        <f t="shared" ca="1" si="183"/>
        <v>40831000.870538473</v>
      </c>
      <c r="FW111" s="276">
        <f t="shared" ca="1" si="183"/>
        <v>40931704.991019763</v>
      </c>
      <c r="FX111" s="276">
        <f t="shared" ca="1" si="183"/>
        <v>41032735.405588776</v>
      </c>
      <c r="FY111" s="276">
        <f t="shared" ca="1" si="183"/>
        <v>41134093.171479605</v>
      </c>
      <c r="FZ111" s="276">
        <f t="shared" ca="1" si="183"/>
        <v>41235779.349351965</v>
      </c>
      <c r="GA111" s="276">
        <f t="shared" ca="1" si="183"/>
        <v>41337795.003302179</v>
      </c>
      <c r="GB111" s="276">
        <f t="shared" ca="1" si="183"/>
        <v>41440141.20087444</v>
      </c>
      <c r="GC111" s="276">
        <f t="shared" ca="1" si="183"/>
        <v>41542819.01307188</v>
      </c>
      <c r="GD111" s="276">
        <f t="shared" ca="1" si="183"/>
        <v>41645829.514367834</v>
      </c>
      <c r="GE111" s="276">
        <f t="shared" ca="1" si="183"/>
        <v>41749173.782717057</v>
      </c>
      <c r="GF111" s="276">
        <f t="shared" ca="1" si="183"/>
        <v>41852852.899567015</v>
      </c>
      <c r="GG111" s="276">
        <f t="shared" ca="1" si="183"/>
        <v>41956867.949869201</v>
      </c>
      <c r="GH111" s="276">
        <f t="shared" ca="1" si="183"/>
        <v>42061220.022090502</v>
      </c>
      <c r="GI111" s="276">
        <f t="shared" ca="1" si="183"/>
        <v>42165910.208224557</v>
      </c>
      <c r="GJ111" s="276">
        <f t="shared" ca="1" si="183"/>
        <v>42270939.603803195</v>
      </c>
      <c r="GK111" s="276">
        <f t="shared" ca="1" si="183"/>
        <v>42376309.307907946</v>
      </c>
      <c r="GL111" s="276">
        <f t="shared" ca="1" si="183"/>
        <v>42482020.423181459</v>
      </c>
      <c r="GM111" s="276">
        <f t="shared" ca="1" si="183"/>
        <v>42588074.055839114</v>
      </c>
      <c r="GN111" s="276">
        <f t="shared" ca="1" si="183"/>
        <v>42694471.315680556</v>
      </c>
      <c r="GO111" s="276">
        <f t="shared" ca="1" si="183"/>
        <v>42801213.31610132</v>
      </c>
      <c r="GP111" s="276">
        <f t="shared" ref="GP111:JA111" ca="1" si="184">(($B$39/12*GP$66)+($F$39/12*GP$67))*(IF($B$43=2,GP$89,IF($B$43=1,GP$87,GP$91))+$G$47)</f>
        <v>42908301.174104489</v>
      </c>
      <c r="GQ111" s="276">
        <f t="shared" ca="1" si="184"/>
        <v>43015736.010312371</v>
      </c>
      <c r="GR111" s="276">
        <f t="shared" ca="1" si="184"/>
        <v>43123518.948978245</v>
      </c>
      <c r="GS111" s="276">
        <f t="shared" ca="1" si="184"/>
        <v>43231651.117998093</v>
      </c>
      <c r="GT111" s="276">
        <f t="shared" ca="1" si="184"/>
        <v>43340133.648922436</v>
      </c>
      <c r="GU111" s="276">
        <f t="shared" ca="1" si="184"/>
        <v>43448967.676968172</v>
      </c>
      <c r="GV111" s="276">
        <f t="shared" ca="1" si="184"/>
        <v>43558154.341030419</v>
      </c>
      <c r="GW111" s="276">
        <f t="shared" ca="1" si="184"/>
        <v>43667694.783694483</v>
      </c>
      <c r="GX111" s="276">
        <f t="shared" ca="1" si="184"/>
        <v>43777590.151247762</v>
      </c>
      <c r="GY111" s="276">
        <f t="shared" ca="1" si="184"/>
        <v>43887841.593691818</v>
      </c>
      <c r="GZ111" s="276">
        <f t="shared" ca="1" si="184"/>
        <v>43998450.264754303</v>
      </c>
      <c r="HA111" s="276">
        <f t="shared" ca="1" si="184"/>
        <v>44109417.32190115</v>
      </c>
      <c r="HB111" s="276">
        <f t="shared" ca="1" si="184"/>
        <v>44220743.926348582</v>
      </c>
      <c r="HC111" s="276">
        <f t="shared" ca="1" si="184"/>
        <v>44332431.243075348</v>
      </c>
      <c r="HD111" s="276">
        <f t="shared" ca="1" si="184"/>
        <v>44444480.440834835</v>
      </c>
      <c r="HE111" s="276">
        <f t="shared" ca="1" si="184"/>
        <v>44556892.692167386</v>
      </c>
      <c r="HF111" s="276">
        <f t="shared" ca="1" si="184"/>
        <v>44669669.173412487</v>
      </c>
      <c r="HG111" s="276">
        <f t="shared" ca="1" si="184"/>
        <v>44782811.064721122</v>
      </c>
      <c r="HH111" s="276">
        <f t="shared" ca="1" si="184"/>
        <v>44896319.55006811</v>
      </c>
      <c r="HI111" s="276">
        <f t="shared" ca="1" si="184"/>
        <v>45010195.817264505</v>
      </c>
      <c r="HJ111" s="276">
        <f t="shared" ca="1" si="184"/>
        <v>45124441.057970025</v>
      </c>
      <c r="HK111" s="276">
        <f t="shared" ca="1" si="184"/>
        <v>45239056.467705503</v>
      </c>
      <c r="HL111" s="276">
        <f t="shared" ca="1" si="184"/>
        <v>45354043.245865412</v>
      </c>
      <c r="HM111" s="276">
        <f t="shared" ca="1" si="184"/>
        <v>45469402.595730431</v>
      </c>
      <c r="HN111" s="276">
        <f t="shared" ca="1" si="184"/>
        <v>45585135.724480003</v>
      </c>
      <c r="HO111" s="276">
        <f t="shared" ca="1" si="184"/>
        <v>45701243.843204975</v>
      </c>
      <c r="HP111" s="276">
        <f t="shared" ca="1" si="184"/>
        <v>45817728.166920334</v>
      </c>
      <c r="HQ111" s="276">
        <f t="shared" ca="1" si="184"/>
        <v>45934589.91457779</v>
      </c>
      <c r="HR111" s="276">
        <f t="shared" ca="1" si="184"/>
        <v>46051830.309078686</v>
      </c>
      <c r="HS111" s="276">
        <f t="shared" ca="1" si="184"/>
        <v>46169450.577286676</v>
      </c>
      <c r="HT111" s="276">
        <f t="shared" ca="1" si="184"/>
        <v>46287451.950040594</v>
      </c>
      <c r="HU111" s="276">
        <f t="shared" ca="1" si="184"/>
        <v>46405835.662167415</v>
      </c>
      <c r="HV111" s="276">
        <f t="shared" ca="1" si="184"/>
        <v>46524602.952495046</v>
      </c>
      <c r="HW111" s="276">
        <f t="shared" ca="1" si="184"/>
        <v>46643755.063865356</v>
      </c>
      <c r="HX111" s="276">
        <f t="shared" ca="1" si="184"/>
        <v>46763293.243147239</v>
      </c>
      <c r="HY111" s="276">
        <f t="shared" ca="1" si="184"/>
        <v>46883218.741249509</v>
      </c>
      <c r="HZ111" s="276">
        <f t="shared" ca="1" si="184"/>
        <v>47003532.813134179</v>
      </c>
      <c r="IA111" s="276">
        <f t="shared" ca="1" si="184"/>
        <v>47124236.717829414</v>
      </c>
      <c r="IB111" s="276">
        <f t="shared" ca="1" si="184"/>
        <v>47245331.718442865</v>
      </c>
      <c r="IC111" s="276">
        <f t="shared" ca="1" si="184"/>
        <v>47366819.082174741</v>
      </c>
      <c r="ID111" s="276">
        <f t="shared" ca="1" si="184"/>
        <v>47488700.080331191</v>
      </c>
      <c r="IE111" s="276">
        <f t="shared" ca="1" si="184"/>
        <v>47610975.988337539</v>
      </c>
      <c r="IF111" s="276">
        <f t="shared" ca="1" si="184"/>
        <v>47733648.08575163</v>
      </c>
      <c r="IG111" s="276">
        <f t="shared" ca="1" si="184"/>
        <v>47856717.656277284</v>
      </c>
      <c r="IH111" s="276">
        <f t="shared" ca="1" si="184"/>
        <v>47980185.987777635</v>
      </c>
      <c r="II111" s="276">
        <f t="shared" ca="1" si="184"/>
        <v>48104054.372288682</v>
      </c>
      <c r="IJ111" s="276">
        <f t="shared" ca="1" si="184"/>
        <v>48228324.106032774</v>
      </c>
      <c r="IK111" s="276">
        <f t="shared" ca="1" si="184"/>
        <v>0</v>
      </c>
      <c r="IL111" s="276">
        <f t="shared" ca="1" si="184"/>
        <v>0</v>
      </c>
      <c r="IM111" s="276">
        <f t="shared" ca="1" si="184"/>
        <v>0</v>
      </c>
      <c r="IN111" s="276">
        <f t="shared" ca="1" si="184"/>
        <v>0</v>
      </c>
      <c r="IO111" s="276">
        <f t="shared" ca="1" si="184"/>
        <v>0</v>
      </c>
      <c r="IP111" s="276">
        <f t="shared" ca="1" si="184"/>
        <v>0</v>
      </c>
      <c r="IQ111" s="276">
        <f t="shared" ca="1" si="184"/>
        <v>0</v>
      </c>
      <c r="IR111" s="276">
        <f t="shared" ca="1" si="184"/>
        <v>0</v>
      </c>
      <c r="IS111" s="276">
        <f t="shared" ca="1" si="184"/>
        <v>0</v>
      </c>
      <c r="IT111" s="276">
        <f t="shared" ca="1" si="184"/>
        <v>0</v>
      </c>
      <c r="IU111" s="276">
        <f t="shared" ca="1" si="184"/>
        <v>0</v>
      </c>
      <c r="IV111" s="276">
        <f t="shared" ca="1" si="184"/>
        <v>0</v>
      </c>
      <c r="IW111" s="276">
        <f t="shared" ca="1" si="184"/>
        <v>0</v>
      </c>
      <c r="IX111" s="276">
        <f t="shared" ca="1" si="184"/>
        <v>0</v>
      </c>
      <c r="IY111" s="276">
        <f t="shared" ca="1" si="184"/>
        <v>0</v>
      </c>
      <c r="IZ111" s="276">
        <f t="shared" ca="1" si="184"/>
        <v>0</v>
      </c>
      <c r="JA111" s="276">
        <f t="shared" ca="1" si="184"/>
        <v>0</v>
      </c>
      <c r="JB111" s="276">
        <f t="shared" ref="JB111:LM111" ca="1" si="185">(($B$39/12*JB$66)+($F$39/12*JB$67))*(IF($B$43=2,JB$89,IF($B$43=1,JB$87,JB$91))+$G$47)</f>
        <v>0</v>
      </c>
      <c r="JC111" s="276">
        <f t="shared" ca="1" si="185"/>
        <v>0</v>
      </c>
      <c r="JD111" s="276">
        <f t="shared" ca="1" si="185"/>
        <v>0</v>
      </c>
      <c r="JE111" s="276">
        <f t="shared" ca="1" si="185"/>
        <v>0</v>
      </c>
      <c r="JF111" s="276">
        <f t="shared" ca="1" si="185"/>
        <v>0</v>
      </c>
      <c r="JG111" s="276">
        <f t="shared" ca="1" si="185"/>
        <v>0</v>
      </c>
      <c r="JH111" s="276">
        <f t="shared" ca="1" si="185"/>
        <v>0</v>
      </c>
      <c r="JI111" s="276">
        <f t="shared" ca="1" si="185"/>
        <v>0</v>
      </c>
      <c r="JJ111" s="276">
        <f t="shared" ca="1" si="185"/>
        <v>0</v>
      </c>
      <c r="JK111" s="276">
        <f t="shared" ca="1" si="185"/>
        <v>0</v>
      </c>
      <c r="JL111" s="276">
        <f t="shared" ca="1" si="185"/>
        <v>0</v>
      </c>
      <c r="JM111" s="276">
        <f t="shared" ca="1" si="185"/>
        <v>0</v>
      </c>
      <c r="JN111" s="276">
        <f t="shared" ca="1" si="185"/>
        <v>0</v>
      </c>
      <c r="JO111" s="276">
        <f t="shared" ca="1" si="185"/>
        <v>0</v>
      </c>
      <c r="JP111" s="276">
        <f t="shared" ca="1" si="185"/>
        <v>0</v>
      </c>
      <c r="JQ111" s="276">
        <f t="shared" ca="1" si="185"/>
        <v>0</v>
      </c>
      <c r="JR111" s="276">
        <f t="shared" ca="1" si="185"/>
        <v>0</v>
      </c>
      <c r="JS111" s="276">
        <f t="shared" ca="1" si="185"/>
        <v>0</v>
      </c>
      <c r="JT111" s="276">
        <f t="shared" ca="1" si="185"/>
        <v>0</v>
      </c>
      <c r="JU111" s="276">
        <f t="shared" ca="1" si="185"/>
        <v>0</v>
      </c>
      <c r="JV111" s="276">
        <f t="shared" ca="1" si="185"/>
        <v>0</v>
      </c>
      <c r="JW111" s="276">
        <f t="shared" ca="1" si="185"/>
        <v>0</v>
      </c>
      <c r="JX111" s="276">
        <f t="shared" ca="1" si="185"/>
        <v>0</v>
      </c>
      <c r="JY111" s="276">
        <f t="shared" ca="1" si="185"/>
        <v>0</v>
      </c>
      <c r="JZ111" s="276">
        <f t="shared" ca="1" si="185"/>
        <v>0</v>
      </c>
      <c r="KA111" s="276">
        <f t="shared" ca="1" si="185"/>
        <v>0</v>
      </c>
      <c r="KB111" s="276">
        <f t="shared" ca="1" si="185"/>
        <v>0</v>
      </c>
      <c r="KC111" s="276">
        <f t="shared" ca="1" si="185"/>
        <v>0</v>
      </c>
      <c r="KD111" s="276">
        <f t="shared" ca="1" si="185"/>
        <v>0</v>
      </c>
      <c r="KE111" s="276">
        <f t="shared" ca="1" si="185"/>
        <v>0</v>
      </c>
      <c r="KF111" s="276">
        <f t="shared" ca="1" si="185"/>
        <v>0</v>
      </c>
      <c r="KG111" s="276">
        <f t="shared" ca="1" si="185"/>
        <v>0</v>
      </c>
      <c r="KH111" s="276">
        <f t="shared" ca="1" si="185"/>
        <v>0</v>
      </c>
      <c r="KI111" s="276">
        <f t="shared" ca="1" si="185"/>
        <v>0</v>
      </c>
      <c r="KJ111" s="276">
        <f t="shared" ca="1" si="185"/>
        <v>0</v>
      </c>
      <c r="KK111" s="276">
        <f t="shared" ca="1" si="185"/>
        <v>0</v>
      </c>
      <c r="KL111" s="276">
        <f t="shared" ca="1" si="185"/>
        <v>0</v>
      </c>
      <c r="KM111" s="276">
        <f t="shared" ca="1" si="185"/>
        <v>0</v>
      </c>
      <c r="KN111" s="276">
        <f t="shared" ca="1" si="185"/>
        <v>0</v>
      </c>
      <c r="KO111" s="276">
        <f t="shared" ca="1" si="185"/>
        <v>0</v>
      </c>
      <c r="KP111" s="276">
        <f t="shared" ca="1" si="185"/>
        <v>0</v>
      </c>
      <c r="KQ111" s="276">
        <f t="shared" ca="1" si="185"/>
        <v>0</v>
      </c>
      <c r="KR111" s="276">
        <f t="shared" ca="1" si="185"/>
        <v>0</v>
      </c>
      <c r="KS111" s="276">
        <f t="shared" ca="1" si="185"/>
        <v>0</v>
      </c>
      <c r="KT111" s="276">
        <f t="shared" ca="1" si="185"/>
        <v>0</v>
      </c>
      <c r="KU111" s="276">
        <f t="shared" ca="1" si="185"/>
        <v>0</v>
      </c>
      <c r="KV111" s="276">
        <f t="shared" ca="1" si="185"/>
        <v>0</v>
      </c>
      <c r="KW111" s="276">
        <f t="shared" ca="1" si="185"/>
        <v>0</v>
      </c>
      <c r="KX111" s="276">
        <f t="shared" ca="1" si="185"/>
        <v>0</v>
      </c>
      <c r="KY111" s="276">
        <f t="shared" ca="1" si="185"/>
        <v>0</v>
      </c>
      <c r="KZ111" s="276">
        <f t="shared" ca="1" si="185"/>
        <v>0</v>
      </c>
      <c r="LA111" s="276">
        <f t="shared" ca="1" si="185"/>
        <v>0</v>
      </c>
      <c r="LB111" s="276">
        <f t="shared" ca="1" si="185"/>
        <v>0</v>
      </c>
      <c r="LC111" s="276">
        <f t="shared" ca="1" si="185"/>
        <v>0</v>
      </c>
      <c r="LD111" s="276">
        <f t="shared" ca="1" si="185"/>
        <v>0</v>
      </c>
      <c r="LE111" s="276">
        <f t="shared" ca="1" si="185"/>
        <v>0</v>
      </c>
      <c r="LF111" s="276">
        <f t="shared" ca="1" si="185"/>
        <v>0</v>
      </c>
      <c r="LG111" s="276">
        <f t="shared" ca="1" si="185"/>
        <v>0</v>
      </c>
      <c r="LH111" s="276">
        <f t="shared" ca="1" si="185"/>
        <v>0</v>
      </c>
      <c r="LI111" s="276">
        <f t="shared" ca="1" si="185"/>
        <v>0</v>
      </c>
      <c r="LJ111" s="276">
        <f t="shared" ca="1" si="185"/>
        <v>0</v>
      </c>
      <c r="LK111" s="276">
        <f t="shared" ca="1" si="185"/>
        <v>0</v>
      </c>
      <c r="LL111" s="276">
        <f t="shared" ca="1" si="185"/>
        <v>0</v>
      </c>
      <c r="LM111" s="276">
        <f t="shared" ca="1" si="185"/>
        <v>0</v>
      </c>
      <c r="LN111" s="276">
        <f t="shared" ref="LN111:NY111" ca="1" si="186">(($B$39/12*LN$66)+($F$39/12*LN$67))*(IF($B$43=2,LN$89,IF($B$43=1,LN$87,LN$91))+$G$47)</f>
        <v>0</v>
      </c>
      <c r="LO111" s="276">
        <f t="shared" ca="1" si="186"/>
        <v>0</v>
      </c>
      <c r="LP111" s="276">
        <f t="shared" ca="1" si="186"/>
        <v>0</v>
      </c>
      <c r="LQ111" s="276">
        <f t="shared" ca="1" si="186"/>
        <v>0</v>
      </c>
      <c r="LR111" s="276">
        <f t="shared" ca="1" si="186"/>
        <v>0</v>
      </c>
      <c r="LS111" s="276">
        <f t="shared" ca="1" si="186"/>
        <v>0</v>
      </c>
      <c r="LT111" s="276">
        <f t="shared" ca="1" si="186"/>
        <v>0</v>
      </c>
      <c r="LU111" s="276">
        <f t="shared" ca="1" si="186"/>
        <v>0</v>
      </c>
      <c r="LV111" s="276">
        <f t="shared" ca="1" si="186"/>
        <v>0</v>
      </c>
      <c r="LW111" s="276">
        <f t="shared" ca="1" si="186"/>
        <v>0</v>
      </c>
      <c r="LX111" s="276">
        <f t="shared" ca="1" si="186"/>
        <v>0</v>
      </c>
      <c r="LY111" s="276">
        <f t="shared" ca="1" si="186"/>
        <v>0</v>
      </c>
      <c r="LZ111" s="276">
        <f t="shared" ca="1" si="186"/>
        <v>0</v>
      </c>
      <c r="MA111" s="276">
        <f t="shared" ca="1" si="186"/>
        <v>0</v>
      </c>
      <c r="MB111" s="276">
        <f t="shared" ca="1" si="186"/>
        <v>0</v>
      </c>
      <c r="MC111" s="276">
        <f t="shared" ca="1" si="186"/>
        <v>0</v>
      </c>
      <c r="MD111" s="276">
        <f t="shared" ca="1" si="186"/>
        <v>0</v>
      </c>
      <c r="ME111" s="276">
        <f t="shared" ca="1" si="186"/>
        <v>0</v>
      </c>
      <c r="MF111" s="276">
        <f t="shared" ca="1" si="186"/>
        <v>0</v>
      </c>
      <c r="MG111" s="276">
        <f t="shared" ca="1" si="186"/>
        <v>0</v>
      </c>
      <c r="MH111" s="276">
        <f t="shared" ca="1" si="186"/>
        <v>0</v>
      </c>
      <c r="MI111" s="276">
        <f t="shared" ca="1" si="186"/>
        <v>0</v>
      </c>
      <c r="MJ111" s="276">
        <f t="shared" ca="1" si="186"/>
        <v>0</v>
      </c>
      <c r="MK111" s="276">
        <f t="shared" ca="1" si="186"/>
        <v>0</v>
      </c>
      <c r="ML111" s="276">
        <f t="shared" ca="1" si="186"/>
        <v>0</v>
      </c>
      <c r="MM111" s="276">
        <f t="shared" ca="1" si="186"/>
        <v>0</v>
      </c>
      <c r="MN111" s="276">
        <f t="shared" ca="1" si="186"/>
        <v>0</v>
      </c>
      <c r="MO111" s="276">
        <f t="shared" ca="1" si="186"/>
        <v>0</v>
      </c>
      <c r="MP111" s="276">
        <f t="shared" ca="1" si="186"/>
        <v>0</v>
      </c>
      <c r="MQ111" s="276">
        <f t="shared" ca="1" si="186"/>
        <v>0</v>
      </c>
      <c r="MR111" s="276">
        <f t="shared" ca="1" si="186"/>
        <v>0</v>
      </c>
      <c r="MS111" s="276">
        <f t="shared" ca="1" si="186"/>
        <v>0</v>
      </c>
      <c r="MT111" s="276">
        <f t="shared" ca="1" si="186"/>
        <v>0</v>
      </c>
      <c r="MU111" s="276">
        <f t="shared" ca="1" si="186"/>
        <v>0</v>
      </c>
      <c r="MV111" s="276">
        <f t="shared" ca="1" si="186"/>
        <v>0</v>
      </c>
      <c r="MW111" s="276">
        <f t="shared" ca="1" si="186"/>
        <v>0</v>
      </c>
      <c r="MX111" s="276">
        <f t="shared" ca="1" si="186"/>
        <v>0</v>
      </c>
      <c r="MY111" s="276">
        <f t="shared" ca="1" si="186"/>
        <v>0</v>
      </c>
      <c r="MZ111" s="276">
        <f t="shared" ca="1" si="186"/>
        <v>0</v>
      </c>
      <c r="NA111" s="276">
        <f t="shared" ca="1" si="186"/>
        <v>0</v>
      </c>
      <c r="NB111" s="276">
        <f t="shared" ca="1" si="186"/>
        <v>0</v>
      </c>
      <c r="NC111" s="276">
        <f t="shared" ca="1" si="186"/>
        <v>0</v>
      </c>
      <c r="ND111" s="276">
        <f t="shared" ca="1" si="186"/>
        <v>0</v>
      </c>
      <c r="NE111" s="276">
        <f t="shared" ca="1" si="186"/>
        <v>0</v>
      </c>
      <c r="NF111" s="276">
        <f t="shared" ca="1" si="186"/>
        <v>0</v>
      </c>
      <c r="NG111" s="276">
        <f t="shared" ca="1" si="186"/>
        <v>0</v>
      </c>
      <c r="NH111" s="276">
        <f t="shared" ca="1" si="186"/>
        <v>0</v>
      </c>
      <c r="NI111" s="276">
        <f t="shared" ca="1" si="186"/>
        <v>0</v>
      </c>
      <c r="NJ111" s="276">
        <f t="shared" ca="1" si="186"/>
        <v>0</v>
      </c>
      <c r="NK111" s="276">
        <f t="shared" ca="1" si="186"/>
        <v>0</v>
      </c>
      <c r="NL111" s="276">
        <f t="shared" ca="1" si="186"/>
        <v>0</v>
      </c>
      <c r="NM111" s="276">
        <f t="shared" ca="1" si="186"/>
        <v>0</v>
      </c>
      <c r="NN111" s="276">
        <f t="shared" ca="1" si="186"/>
        <v>0</v>
      </c>
      <c r="NO111" s="276">
        <f t="shared" ca="1" si="186"/>
        <v>0</v>
      </c>
      <c r="NP111" s="276">
        <f t="shared" ca="1" si="186"/>
        <v>0</v>
      </c>
      <c r="NQ111" s="276">
        <f t="shared" ca="1" si="186"/>
        <v>0</v>
      </c>
      <c r="NR111" s="276">
        <f t="shared" ca="1" si="186"/>
        <v>0</v>
      </c>
      <c r="NS111" s="276">
        <f t="shared" ca="1" si="186"/>
        <v>0</v>
      </c>
      <c r="NT111" s="276">
        <f t="shared" ca="1" si="186"/>
        <v>0</v>
      </c>
      <c r="NU111" s="276">
        <f t="shared" ca="1" si="186"/>
        <v>0</v>
      </c>
      <c r="NV111" s="276">
        <f t="shared" ca="1" si="186"/>
        <v>0</v>
      </c>
      <c r="NW111" s="276">
        <f t="shared" ca="1" si="186"/>
        <v>0</v>
      </c>
      <c r="NX111" s="276">
        <f t="shared" ca="1" si="186"/>
        <v>0</v>
      </c>
      <c r="NY111" s="276">
        <f t="shared" ca="1" si="186"/>
        <v>0</v>
      </c>
      <c r="NZ111" s="276">
        <f t="shared" ref="NZ111:QK111" ca="1" si="187">(($B$39/12*NZ$66)+($F$39/12*NZ$67))*(IF($B$43=2,NZ$89,IF($B$43=1,NZ$87,NZ$91))+$G$47)</f>
        <v>0</v>
      </c>
      <c r="OA111" s="276">
        <f t="shared" ca="1" si="187"/>
        <v>0</v>
      </c>
      <c r="OB111" s="276">
        <f t="shared" ca="1" si="187"/>
        <v>0</v>
      </c>
      <c r="OC111" s="276">
        <f t="shared" ca="1" si="187"/>
        <v>0</v>
      </c>
      <c r="OD111" s="276">
        <f t="shared" ca="1" si="187"/>
        <v>0</v>
      </c>
      <c r="OE111" s="276">
        <f t="shared" ca="1" si="187"/>
        <v>0</v>
      </c>
      <c r="OF111" s="276">
        <f t="shared" ca="1" si="187"/>
        <v>0</v>
      </c>
      <c r="OG111" s="276">
        <f t="shared" ca="1" si="187"/>
        <v>0</v>
      </c>
      <c r="OH111" s="276">
        <f t="shared" ca="1" si="187"/>
        <v>0</v>
      </c>
      <c r="OI111" s="276">
        <f t="shared" ca="1" si="187"/>
        <v>0</v>
      </c>
      <c r="OJ111" s="276">
        <f t="shared" ca="1" si="187"/>
        <v>0</v>
      </c>
      <c r="OK111" s="276">
        <f t="shared" ca="1" si="187"/>
        <v>0</v>
      </c>
      <c r="OL111" s="276">
        <f t="shared" ca="1" si="187"/>
        <v>0</v>
      </c>
      <c r="OM111" s="276">
        <f t="shared" ca="1" si="187"/>
        <v>0</v>
      </c>
      <c r="ON111" s="276">
        <f t="shared" ca="1" si="187"/>
        <v>0</v>
      </c>
      <c r="OO111" s="276">
        <f t="shared" ca="1" si="187"/>
        <v>0</v>
      </c>
      <c r="OP111" s="276">
        <f t="shared" ca="1" si="187"/>
        <v>0</v>
      </c>
      <c r="OQ111" s="276">
        <f t="shared" ca="1" si="187"/>
        <v>0</v>
      </c>
      <c r="OR111" s="276">
        <f t="shared" ca="1" si="187"/>
        <v>0</v>
      </c>
      <c r="OS111" s="276">
        <f t="shared" ca="1" si="187"/>
        <v>0</v>
      </c>
      <c r="OT111" s="276">
        <f t="shared" ca="1" si="187"/>
        <v>0</v>
      </c>
      <c r="OU111" s="276">
        <f t="shared" ca="1" si="187"/>
        <v>0</v>
      </c>
      <c r="OV111" s="276">
        <f t="shared" ca="1" si="187"/>
        <v>0</v>
      </c>
      <c r="OW111" s="276">
        <f t="shared" ca="1" si="187"/>
        <v>0</v>
      </c>
      <c r="OX111" s="276">
        <f t="shared" ca="1" si="187"/>
        <v>0</v>
      </c>
      <c r="OY111" s="276">
        <f t="shared" ca="1" si="187"/>
        <v>0</v>
      </c>
      <c r="OZ111" s="276">
        <f t="shared" ca="1" si="187"/>
        <v>0</v>
      </c>
      <c r="PA111" s="276">
        <f t="shared" ca="1" si="187"/>
        <v>0</v>
      </c>
      <c r="PB111" s="276">
        <f t="shared" ca="1" si="187"/>
        <v>0</v>
      </c>
      <c r="PC111" s="276">
        <f t="shared" ca="1" si="187"/>
        <v>0</v>
      </c>
      <c r="PD111" s="276">
        <f t="shared" ca="1" si="187"/>
        <v>0</v>
      </c>
      <c r="PE111" s="276">
        <f t="shared" ca="1" si="187"/>
        <v>0</v>
      </c>
      <c r="PF111" s="276">
        <f t="shared" ca="1" si="187"/>
        <v>0</v>
      </c>
      <c r="PG111" s="276">
        <f t="shared" ca="1" si="187"/>
        <v>0</v>
      </c>
      <c r="PH111" s="276">
        <f t="shared" ca="1" si="187"/>
        <v>0</v>
      </c>
      <c r="PI111" s="276">
        <f t="shared" ca="1" si="187"/>
        <v>0</v>
      </c>
      <c r="PJ111" s="276">
        <f t="shared" ca="1" si="187"/>
        <v>0</v>
      </c>
      <c r="PK111" s="276">
        <f t="shared" ca="1" si="187"/>
        <v>0</v>
      </c>
      <c r="PL111" s="276">
        <f t="shared" ca="1" si="187"/>
        <v>0</v>
      </c>
      <c r="PM111" s="276">
        <f t="shared" ca="1" si="187"/>
        <v>0</v>
      </c>
      <c r="PN111" s="276">
        <f t="shared" ca="1" si="187"/>
        <v>0</v>
      </c>
      <c r="PO111" s="276">
        <f t="shared" ca="1" si="187"/>
        <v>0</v>
      </c>
      <c r="PP111" s="276">
        <f t="shared" ca="1" si="187"/>
        <v>0</v>
      </c>
      <c r="PQ111" s="276">
        <f t="shared" ca="1" si="187"/>
        <v>0</v>
      </c>
      <c r="PR111" s="276">
        <f t="shared" ca="1" si="187"/>
        <v>0</v>
      </c>
      <c r="PS111" s="276">
        <f t="shared" ca="1" si="187"/>
        <v>0</v>
      </c>
      <c r="PT111" s="276">
        <f t="shared" ca="1" si="187"/>
        <v>0</v>
      </c>
      <c r="PU111" s="276">
        <f t="shared" ca="1" si="187"/>
        <v>0</v>
      </c>
      <c r="PV111" s="276">
        <f t="shared" ca="1" si="187"/>
        <v>0</v>
      </c>
      <c r="PW111" s="276">
        <f t="shared" ca="1" si="187"/>
        <v>0</v>
      </c>
      <c r="PX111" s="276">
        <f t="shared" ca="1" si="187"/>
        <v>0</v>
      </c>
      <c r="PY111" s="276">
        <f t="shared" ca="1" si="187"/>
        <v>0</v>
      </c>
      <c r="PZ111" s="276">
        <f t="shared" ca="1" si="187"/>
        <v>0</v>
      </c>
      <c r="QA111" s="276">
        <f t="shared" ca="1" si="187"/>
        <v>0</v>
      </c>
      <c r="QB111" s="276">
        <f t="shared" ca="1" si="187"/>
        <v>0</v>
      </c>
      <c r="QC111" s="276">
        <f t="shared" ca="1" si="187"/>
        <v>0</v>
      </c>
      <c r="QD111" s="276">
        <f t="shared" ca="1" si="187"/>
        <v>0</v>
      </c>
      <c r="QE111" s="276">
        <f t="shared" ca="1" si="187"/>
        <v>0</v>
      </c>
      <c r="QF111" s="276">
        <f t="shared" ca="1" si="187"/>
        <v>0</v>
      </c>
      <c r="QG111" s="276">
        <f t="shared" ca="1" si="187"/>
        <v>0</v>
      </c>
      <c r="QH111" s="276">
        <f t="shared" ca="1" si="187"/>
        <v>0</v>
      </c>
      <c r="QI111" s="276">
        <f t="shared" ca="1" si="187"/>
        <v>0</v>
      </c>
      <c r="QJ111" s="276">
        <f t="shared" ca="1" si="187"/>
        <v>0</v>
      </c>
      <c r="QK111" s="276">
        <f t="shared" ca="1" si="187"/>
        <v>0</v>
      </c>
      <c r="QL111" s="276">
        <f t="shared" ref="QL111:RR111" ca="1" si="188">(($B$39/12*QL$66)+($F$39/12*QL$67))*(IF($B$43=2,QL$89,IF($B$43=1,QL$87,QL$91))+$G$47)</f>
        <v>0</v>
      </c>
      <c r="QM111" s="276">
        <f t="shared" ca="1" si="188"/>
        <v>0</v>
      </c>
      <c r="QN111" s="276">
        <f t="shared" ca="1" si="188"/>
        <v>0</v>
      </c>
      <c r="QO111" s="276">
        <f t="shared" ca="1" si="188"/>
        <v>0</v>
      </c>
      <c r="QP111" s="276">
        <f t="shared" ca="1" si="188"/>
        <v>0</v>
      </c>
      <c r="QQ111" s="276">
        <f t="shared" ca="1" si="188"/>
        <v>0</v>
      </c>
      <c r="QR111" s="276">
        <f t="shared" ca="1" si="188"/>
        <v>0</v>
      </c>
      <c r="QS111" s="276">
        <f t="shared" ca="1" si="188"/>
        <v>0</v>
      </c>
      <c r="QT111" s="276">
        <f t="shared" ca="1" si="188"/>
        <v>0</v>
      </c>
      <c r="QU111" s="276">
        <f t="shared" ca="1" si="188"/>
        <v>0</v>
      </c>
      <c r="QV111" s="276">
        <f t="shared" ca="1" si="188"/>
        <v>0</v>
      </c>
      <c r="QW111" s="276">
        <f t="shared" ca="1" si="188"/>
        <v>0</v>
      </c>
      <c r="QX111" s="276">
        <f t="shared" ca="1" si="188"/>
        <v>0</v>
      </c>
      <c r="QY111" s="276">
        <f t="shared" ca="1" si="188"/>
        <v>0</v>
      </c>
      <c r="QZ111" s="276">
        <f t="shared" ca="1" si="188"/>
        <v>0</v>
      </c>
      <c r="RA111" s="276">
        <f t="shared" ca="1" si="188"/>
        <v>0</v>
      </c>
      <c r="RB111" s="276">
        <f t="shared" ca="1" si="188"/>
        <v>0</v>
      </c>
      <c r="RC111" s="276">
        <f t="shared" ca="1" si="188"/>
        <v>0</v>
      </c>
      <c r="RD111" s="276">
        <f t="shared" ca="1" si="188"/>
        <v>0</v>
      </c>
      <c r="RE111" s="276">
        <f t="shared" ca="1" si="188"/>
        <v>0</v>
      </c>
      <c r="RF111" s="276">
        <f t="shared" ca="1" si="188"/>
        <v>0</v>
      </c>
      <c r="RG111" s="276">
        <f t="shared" ca="1" si="188"/>
        <v>0</v>
      </c>
      <c r="RH111" s="276">
        <f t="shared" ca="1" si="188"/>
        <v>0</v>
      </c>
      <c r="RI111" s="276">
        <f t="shared" ca="1" si="188"/>
        <v>0</v>
      </c>
      <c r="RJ111" s="276">
        <f t="shared" ca="1" si="188"/>
        <v>0</v>
      </c>
      <c r="RK111" s="276">
        <f t="shared" ca="1" si="188"/>
        <v>0</v>
      </c>
      <c r="RL111" s="276">
        <f t="shared" ca="1" si="188"/>
        <v>0</v>
      </c>
      <c r="RM111" s="276">
        <f t="shared" ca="1" si="188"/>
        <v>0</v>
      </c>
      <c r="RN111" s="276">
        <f t="shared" ca="1" si="188"/>
        <v>0</v>
      </c>
      <c r="RO111" s="276">
        <f t="shared" ca="1" si="188"/>
        <v>0</v>
      </c>
      <c r="RP111" s="276">
        <f t="shared" ca="1" si="188"/>
        <v>0</v>
      </c>
      <c r="RQ111" s="276">
        <f t="shared" ca="1" si="188"/>
        <v>0</v>
      </c>
      <c r="RR111" s="276">
        <f t="shared" ca="1" si="188"/>
        <v>0</v>
      </c>
    </row>
    <row r="112" spans="1:486" s="9" customFormat="1">
      <c r="A112" s="133"/>
      <c r="B112" s="91"/>
      <c r="E112" s="138"/>
      <c r="F112" s="138"/>
      <c r="G112" s="138"/>
      <c r="H112" s="138"/>
      <c r="I112" s="138"/>
      <c r="J112" s="138"/>
      <c r="K112" s="138"/>
      <c r="L112" s="138"/>
      <c r="M112" s="138"/>
      <c r="N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138"/>
      <c r="BI112" s="138"/>
      <c r="BJ112" s="138"/>
      <c r="BK112" s="138"/>
      <c r="BL112" s="138"/>
      <c r="BM112" s="138"/>
      <c r="BN112" s="138"/>
      <c r="BO112" s="138"/>
      <c r="BP112" s="138"/>
      <c r="BQ112" s="138"/>
      <c r="BR112" s="138"/>
      <c r="BS112" s="138"/>
      <c r="BT112" s="138"/>
      <c r="BU112" s="138"/>
      <c r="BV112" s="138"/>
      <c r="BW112" s="138"/>
      <c r="BX112" s="138"/>
      <c r="BY112" s="138"/>
      <c r="BZ112" s="138"/>
      <c r="CA112" s="138"/>
      <c r="CB112" s="138"/>
      <c r="CC112" s="138"/>
      <c r="CD112" s="138"/>
      <c r="CE112" s="138"/>
      <c r="CF112" s="138"/>
      <c r="CG112" s="138"/>
      <c r="CH112" s="138"/>
      <c r="CI112" s="138"/>
      <c r="CJ112" s="138"/>
      <c r="CK112" s="138"/>
      <c r="CL112" s="138"/>
      <c r="CM112" s="138"/>
      <c r="CN112" s="138"/>
      <c r="CO112" s="138"/>
      <c r="CP112" s="138"/>
      <c r="CQ112" s="138"/>
      <c r="CR112" s="138"/>
      <c r="CS112" s="138"/>
      <c r="CT112" s="138"/>
      <c r="CU112" s="138"/>
      <c r="CV112" s="138"/>
      <c r="CW112" s="138"/>
      <c r="CX112" s="138"/>
      <c r="CY112" s="138"/>
      <c r="CZ112" s="138"/>
      <c r="DA112" s="138"/>
      <c r="DB112" s="138"/>
      <c r="DC112" s="138"/>
      <c r="DD112" s="138"/>
      <c r="DE112" s="138"/>
      <c r="DF112" s="138"/>
      <c r="DG112" s="138"/>
      <c r="DH112" s="138"/>
      <c r="DI112" s="138"/>
      <c r="DJ112" s="138"/>
      <c r="DK112" s="138"/>
      <c r="DL112" s="138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  <c r="EH112" s="138"/>
      <c r="EI112" s="138"/>
      <c r="EJ112" s="138"/>
      <c r="EK112" s="138"/>
      <c r="EL112" s="138"/>
      <c r="EM112" s="138"/>
      <c r="EN112" s="138"/>
      <c r="EO112" s="138"/>
      <c r="EP112" s="138"/>
      <c r="EQ112" s="138"/>
      <c r="ER112" s="138"/>
      <c r="ES112" s="138"/>
      <c r="ET112" s="138"/>
      <c r="EU112" s="138"/>
      <c r="EV112" s="138"/>
      <c r="EW112" s="138"/>
      <c r="EX112" s="138"/>
      <c r="EY112" s="138"/>
      <c r="EZ112" s="138"/>
      <c r="FA112" s="138"/>
      <c r="FB112" s="138"/>
      <c r="FC112" s="138"/>
      <c r="FD112" s="138"/>
      <c r="FE112" s="138"/>
      <c r="FF112" s="138"/>
      <c r="FG112" s="138"/>
      <c r="FH112" s="138"/>
      <c r="FI112" s="138"/>
      <c r="FJ112" s="138"/>
      <c r="FK112" s="138"/>
      <c r="FL112" s="138"/>
      <c r="FM112" s="138"/>
      <c r="FN112" s="138"/>
      <c r="FO112" s="138"/>
      <c r="FP112" s="138"/>
      <c r="FQ112" s="138"/>
      <c r="FR112" s="138"/>
      <c r="FS112" s="138"/>
      <c r="FT112" s="138"/>
      <c r="FU112" s="138"/>
      <c r="FV112" s="138"/>
      <c r="FW112" s="138"/>
      <c r="FX112" s="138"/>
      <c r="FY112" s="138"/>
      <c r="FZ112" s="138"/>
      <c r="GA112" s="138"/>
      <c r="GB112" s="138"/>
      <c r="GC112" s="138"/>
      <c r="GD112" s="138"/>
      <c r="GE112" s="138"/>
      <c r="GF112" s="138"/>
      <c r="GG112" s="138"/>
      <c r="GH112" s="138"/>
      <c r="GI112" s="138"/>
      <c r="GJ112" s="138"/>
      <c r="GK112" s="138"/>
      <c r="GL112" s="138"/>
      <c r="GM112" s="138"/>
      <c r="GN112" s="138"/>
      <c r="GO112" s="138"/>
      <c r="GP112" s="138"/>
      <c r="GQ112" s="138"/>
      <c r="GR112" s="138"/>
      <c r="GS112" s="138"/>
      <c r="GT112" s="138"/>
      <c r="GU112" s="138"/>
      <c r="GV112" s="138"/>
      <c r="GW112" s="138"/>
      <c r="GX112" s="138"/>
      <c r="GY112" s="138"/>
      <c r="GZ112" s="138"/>
      <c r="HA112" s="138"/>
      <c r="HB112" s="138"/>
      <c r="HC112" s="138"/>
      <c r="HD112" s="138"/>
      <c r="HE112" s="138"/>
      <c r="HF112" s="138"/>
      <c r="HG112" s="138"/>
      <c r="HH112" s="138"/>
      <c r="HI112" s="138"/>
      <c r="HJ112" s="138"/>
      <c r="HK112" s="138"/>
      <c r="HL112" s="138"/>
      <c r="HM112" s="138"/>
      <c r="HN112" s="138"/>
      <c r="HO112" s="138"/>
      <c r="HP112" s="138"/>
      <c r="HQ112" s="138"/>
      <c r="HR112" s="138"/>
      <c r="HS112" s="138"/>
      <c r="HT112" s="138"/>
      <c r="HU112" s="138"/>
      <c r="HV112" s="138"/>
      <c r="HW112" s="138"/>
      <c r="HX112" s="138"/>
      <c r="HY112" s="138"/>
      <c r="HZ112" s="138"/>
      <c r="IA112" s="138"/>
      <c r="IB112" s="138"/>
      <c r="IC112" s="138"/>
      <c r="ID112" s="138"/>
      <c r="IE112" s="138"/>
      <c r="IF112" s="138"/>
      <c r="IG112" s="138"/>
      <c r="IH112" s="138"/>
      <c r="II112" s="138"/>
      <c r="IJ112" s="138"/>
      <c r="IK112" s="138"/>
      <c r="IL112" s="138"/>
      <c r="IM112" s="138"/>
      <c r="IN112" s="138"/>
      <c r="IO112" s="138"/>
      <c r="IP112" s="138"/>
      <c r="IQ112" s="138"/>
      <c r="IR112" s="138"/>
      <c r="IS112" s="138"/>
      <c r="IT112" s="138"/>
      <c r="IU112" s="138"/>
      <c r="IV112" s="138"/>
      <c r="IW112" s="138"/>
      <c r="IX112" s="138"/>
      <c r="IY112" s="138"/>
      <c r="IZ112" s="138"/>
      <c r="JA112" s="138"/>
      <c r="JB112" s="138"/>
      <c r="JC112" s="138"/>
      <c r="JD112" s="138"/>
      <c r="JE112" s="138"/>
      <c r="JF112" s="138"/>
      <c r="JG112" s="138"/>
      <c r="JH112" s="138"/>
      <c r="JI112" s="138"/>
      <c r="JJ112" s="138"/>
      <c r="JK112" s="138"/>
      <c r="JL112" s="138"/>
      <c r="JM112" s="138"/>
      <c r="JN112" s="138"/>
      <c r="JO112" s="138"/>
      <c r="JP112" s="138"/>
      <c r="JQ112" s="138"/>
      <c r="JR112" s="138"/>
      <c r="JS112" s="138"/>
      <c r="JT112" s="138"/>
      <c r="JU112" s="138"/>
      <c r="JV112" s="138"/>
      <c r="JW112" s="138"/>
      <c r="JX112" s="138"/>
      <c r="JY112" s="138"/>
      <c r="JZ112" s="138"/>
      <c r="KA112" s="138"/>
      <c r="KB112" s="138"/>
      <c r="KC112" s="138"/>
      <c r="KD112" s="138"/>
      <c r="KE112" s="138"/>
      <c r="KF112" s="138"/>
      <c r="KG112" s="138"/>
      <c r="KH112" s="138"/>
      <c r="KI112" s="138"/>
      <c r="KJ112" s="138"/>
      <c r="KK112" s="138"/>
      <c r="KL112" s="138"/>
      <c r="KM112" s="138"/>
      <c r="KN112" s="138"/>
      <c r="KO112" s="138"/>
      <c r="KP112" s="138"/>
      <c r="KQ112" s="138"/>
      <c r="KR112" s="138"/>
      <c r="KS112" s="138"/>
      <c r="KT112" s="138"/>
      <c r="KU112" s="138"/>
      <c r="KV112" s="138"/>
      <c r="KW112" s="138"/>
      <c r="KX112" s="138"/>
      <c r="KY112" s="138"/>
      <c r="KZ112" s="138"/>
      <c r="LA112" s="138"/>
      <c r="LB112" s="138"/>
      <c r="LC112" s="138"/>
      <c r="LD112" s="138"/>
      <c r="LE112" s="138"/>
      <c r="LF112" s="138"/>
      <c r="LG112" s="138"/>
      <c r="LH112" s="138"/>
      <c r="LI112" s="138"/>
      <c r="LJ112" s="138"/>
      <c r="LK112" s="138"/>
      <c r="LL112" s="138"/>
      <c r="LM112" s="138"/>
      <c r="LN112" s="138"/>
      <c r="LO112" s="138"/>
      <c r="LP112" s="138"/>
      <c r="LQ112" s="138"/>
      <c r="LR112" s="138"/>
      <c r="LS112" s="138"/>
      <c r="LT112" s="138"/>
      <c r="LU112" s="138"/>
      <c r="LV112" s="138"/>
      <c r="LW112" s="138"/>
      <c r="LX112" s="138"/>
      <c r="LY112" s="138"/>
      <c r="LZ112" s="138"/>
      <c r="MA112" s="138"/>
      <c r="MB112" s="138"/>
      <c r="MC112" s="138"/>
      <c r="MD112" s="138"/>
      <c r="ME112" s="138"/>
      <c r="MF112" s="138"/>
      <c r="MG112" s="138"/>
      <c r="MH112" s="138"/>
      <c r="MI112" s="138"/>
      <c r="MJ112" s="138"/>
      <c r="MK112" s="138"/>
      <c r="ML112" s="138"/>
      <c r="MM112" s="138"/>
      <c r="MN112" s="138"/>
      <c r="MO112" s="138"/>
      <c r="MP112" s="138"/>
      <c r="MQ112" s="138"/>
      <c r="MR112" s="138"/>
      <c r="MS112" s="138"/>
      <c r="MT112" s="138"/>
      <c r="MU112" s="138"/>
      <c r="MV112" s="138"/>
      <c r="MW112" s="138"/>
      <c r="MX112" s="138"/>
      <c r="MY112" s="138"/>
      <c r="MZ112" s="138"/>
      <c r="NA112" s="138"/>
      <c r="NB112" s="138"/>
      <c r="NC112" s="138"/>
      <c r="ND112" s="138"/>
      <c r="NE112" s="138"/>
      <c r="NF112" s="138"/>
      <c r="NG112" s="138"/>
      <c r="NH112" s="138"/>
      <c r="NI112" s="138"/>
      <c r="NJ112" s="138"/>
      <c r="NK112" s="138"/>
      <c r="NL112" s="138"/>
      <c r="NM112" s="138"/>
      <c r="NN112" s="138"/>
      <c r="NO112" s="138"/>
      <c r="NP112" s="138"/>
      <c r="NQ112" s="138"/>
      <c r="NR112" s="138"/>
      <c r="NS112" s="138"/>
      <c r="NT112" s="138"/>
      <c r="NU112" s="138"/>
      <c r="NV112" s="138"/>
      <c r="NW112" s="138"/>
      <c r="NX112" s="138"/>
      <c r="NY112" s="138"/>
      <c r="NZ112" s="138"/>
      <c r="OA112" s="138"/>
      <c r="OB112" s="138"/>
      <c r="OC112" s="138"/>
      <c r="OD112" s="138"/>
      <c r="OE112" s="138"/>
      <c r="OF112" s="138"/>
      <c r="OG112" s="138"/>
      <c r="OH112" s="138"/>
      <c r="OI112" s="138"/>
      <c r="OJ112" s="138"/>
      <c r="OK112" s="138"/>
      <c r="OL112" s="138"/>
      <c r="OM112" s="138"/>
      <c r="ON112" s="138"/>
      <c r="OO112" s="138"/>
      <c r="OP112" s="138"/>
      <c r="OQ112" s="138"/>
      <c r="OR112" s="138"/>
      <c r="OS112" s="138"/>
      <c r="OT112" s="138"/>
      <c r="OU112" s="138"/>
      <c r="OV112" s="138"/>
      <c r="OW112" s="138"/>
      <c r="OX112" s="138"/>
      <c r="OY112" s="138"/>
      <c r="OZ112" s="138"/>
      <c r="PA112" s="138"/>
      <c r="PB112" s="138"/>
      <c r="PC112" s="138"/>
      <c r="PD112" s="138"/>
      <c r="PE112" s="138"/>
      <c r="PF112" s="138"/>
      <c r="PG112" s="138"/>
      <c r="PH112" s="138"/>
      <c r="PI112" s="138"/>
      <c r="PJ112" s="138"/>
      <c r="PK112" s="138"/>
      <c r="PL112" s="138"/>
      <c r="PM112" s="138"/>
      <c r="PN112" s="138"/>
      <c r="PO112" s="138"/>
      <c r="PP112" s="138"/>
      <c r="PQ112" s="138"/>
      <c r="PR112" s="138"/>
      <c r="PS112" s="138"/>
      <c r="PT112" s="138"/>
      <c r="PU112" s="138"/>
      <c r="PV112" s="138"/>
      <c r="PW112" s="138"/>
      <c r="PX112" s="138"/>
      <c r="PY112" s="138"/>
      <c r="PZ112" s="138"/>
      <c r="QA112" s="138"/>
      <c r="QB112" s="138"/>
      <c r="QC112" s="138"/>
      <c r="QD112" s="138"/>
      <c r="QE112" s="138"/>
      <c r="QF112" s="138"/>
      <c r="QG112" s="138"/>
      <c r="QH112" s="138"/>
      <c r="QI112" s="138"/>
      <c r="QJ112" s="138"/>
      <c r="QK112" s="138"/>
      <c r="QL112" s="138"/>
      <c r="QM112" s="138"/>
      <c r="QN112" s="138"/>
      <c r="QO112" s="138"/>
      <c r="QP112" s="138"/>
      <c r="QQ112" s="138"/>
      <c r="QR112" s="138"/>
      <c r="QS112" s="138"/>
      <c r="QT112" s="138"/>
      <c r="QU112" s="138"/>
      <c r="QV112" s="138"/>
      <c r="QW112" s="138"/>
      <c r="QX112" s="138"/>
      <c r="QY112" s="138"/>
      <c r="QZ112" s="138"/>
      <c r="RA112" s="138"/>
      <c r="RB112" s="138"/>
      <c r="RC112" s="138"/>
      <c r="RD112" s="138"/>
      <c r="RE112" s="138"/>
      <c r="RF112" s="138"/>
      <c r="RG112" s="138"/>
      <c r="RH112" s="138"/>
      <c r="RI112" s="138"/>
      <c r="RJ112" s="138"/>
      <c r="RK112" s="138"/>
      <c r="RL112" s="138"/>
      <c r="RM112" s="138"/>
      <c r="RN112" s="138"/>
      <c r="RO112" s="138"/>
      <c r="RP112" s="138"/>
      <c r="RQ112" s="138"/>
      <c r="RR112" s="138"/>
    </row>
    <row r="113" spans="1:486" s="9" customFormat="1" ht="43.2">
      <c r="A113" s="132" t="s">
        <v>264</v>
      </c>
      <c r="B113" s="139"/>
      <c r="E113" s="138">
        <f>SUM(E93:E98)</f>
        <v>22101038.321558826</v>
      </c>
      <c r="F113" s="138">
        <f t="shared" ref="F113:BQ113" si="189">SUM(F93:F98)</f>
        <v>22101038.321558826</v>
      </c>
      <c r="G113" s="138">
        <f t="shared" si="189"/>
        <v>22101038.321558826</v>
      </c>
      <c r="H113" s="138">
        <f t="shared" si="189"/>
        <v>22101038.321558826</v>
      </c>
      <c r="I113" s="138">
        <f t="shared" si="189"/>
        <v>22101038.321558826</v>
      </c>
      <c r="J113" s="138">
        <f t="shared" si="189"/>
        <v>22101038.321558826</v>
      </c>
      <c r="K113" s="138">
        <f t="shared" si="189"/>
        <v>22101038.321558826</v>
      </c>
      <c r="L113" s="138">
        <f t="shared" si="189"/>
        <v>22101038.321558826</v>
      </c>
      <c r="M113" s="138">
        <f t="shared" si="189"/>
        <v>22101038.321558826</v>
      </c>
      <c r="N113" s="138">
        <f t="shared" si="189"/>
        <v>22101038.321558826</v>
      </c>
      <c r="O113" s="138">
        <f t="shared" si="189"/>
        <v>22101038.321558826</v>
      </c>
      <c r="P113" s="138">
        <f t="shared" si="189"/>
        <v>22101038.321558826</v>
      </c>
      <c r="Q113" s="138">
        <f t="shared" si="189"/>
        <v>22101038.321558826</v>
      </c>
      <c r="R113" s="138">
        <f t="shared" si="189"/>
        <v>22101038.321558826</v>
      </c>
      <c r="S113" s="138">
        <f t="shared" si="189"/>
        <v>22101038.321558826</v>
      </c>
      <c r="T113" s="138">
        <f t="shared" si="189"/>
        <v>22101038.321558826</v>
      </c>
      <c r="U113" s="138">
        <f t="shared" si="189"/>
        <v>22101038.321558826</v>
      </c>
      <c r="V113" s="138">
        <f t="shared" si="189"/>
        <v>22101038.321558826</v>
      </c>
      <c r="W113" s="138">
        <f t="shared" si="189"/>
        <v>22101038.321558826</v>
      </c>
      <c r="X113" s="138">
        <f t="shared" si="189"/>
        <v>22101038.321558826</v>
      </c>
      <c r="Y113" s="138">
        <f t="shared" si="189"/>
        <v>22101038.321558826</v>
      </c>
      <c r="Z113" s="138">
        <f t="shared" si="189"/>
        <v>22101038.321558826</v>
      </c>
      <c r="AA113" s="138">
        <f t="shared" si="189"/>
        <v>22101038.321558826</v>
      </c>
      <c r="AB113" s="138">
        <f t="shared" si="189"/>
        <v>22101038.321558826</v>
      </c>
      <c r="AC113" s="138">
        <f t="shared" si="189"/>
        <v>22101038.321558826</v>
      </c>
      <c r="AD113" s="138">
        <f t="shared" si="189"/>
        <v>22101038.321558826</v>
      </c>
      <c r="AE113" s="138">
        <f t="shared" si="189"/>
        <v>22101038.321558826</v>
      </c>
      <c r="AF113" s="138">
        <f t="shared" si="189"/>
        <v>22101038.321558826</v>
      </c>
      <c r="AG113" s="138">
        <f t="shared" si="189"/>
        <v>22101038.321558826</v>
      </c>
      <c r="AH113" s="138">
        <f t="shared" si="189"/>
        <v>22101038.321558826</v>
      </c>
      <c r="AI113" s="138">
        <f t="shared" si="189"/>
        <v>22101038.321558826</v>
      </c>
      <c r="AJ113" s="138">
        <f t="shared" si="189"/>
        <v>22101038.321558826</v>
      </c>
      <c r="AK113" s="138">
        <f t="shared" si="189"/>
        <v>22101038.321558826</v>
      </c>
      <c r="AL113" s="138">
        <f t="shared" si="189"/>
        <v>22101038.321558826</v>
      </c>
      <c r="AM113" s="138">
        <f t="shared" si="189"/>
        <v>22101038.321558826</v>
      </c>
      <c r="AN113" s="138">
        <f t="shared" si="189"/>
        <v>22101038.321558826</v>
      </c>
      <c r="AO113" s="138">
        <f t="shared" si="189"/>
        <v>22101038.321558826</v>
      </c>
      <c r="AP113" s="138">
        <f t="shared" si="189"/>
        <v>22101038.321558826</v>
      </c>
      <c r="AQ113" s="138">
        <f t="shared" si="189"/>
        <v>22101038.321558826</v>
      </c>
      <c r="AR113" s="138">
        <f t="shared" si="189"/>
        <v>22101038.321558826</v>
      </c>
      <c r="AS113" s="138">
        <f t="shared" si="189"/>
        <v>22101038.321558826</v>
      </c>
      <c r="AT113" s="138">
        <f t="shared" si="189"/>
        <v>22101038.321558826</v>
      </c>
      <c r="AU113" s="138">
        <f t="shared" si="189"/>
        <v>22101038.321558826</v>
      </c>
      <c r="AV113" s="138">
        <f t="shared" si="189"/>
        <v>22101038.321558826</v>
      </c>
      <c r="AW113" s="138">
        <f t="shared" si="189"/>
        <v>22101038.321558826</v>
      </c>
      <c r="AX113" s="138">
        <f t="shared" si="189"/>
        <v>22101038.321558826</v>
      </c>
      <c r="AY113" s="138">
        <f t="shared" si="189"/>
        <v>22101038.321558826</v>
      </c>
      <c r="AZ113" s="138">
        <f t="shared" si="189"/>
        <v>22101038.321558826</v>
      </c>
      <c r="BA113" s="138">
        <f t="shared" si="189"/>
        <v>22101038.321558826</v>
      </c>
      <c r="BB113" s="138">
        <f t="shared" si="189"/>
        <v>22101038.321558826</v>
      </c>
      <c r="BC113" s="138">
        <f t="shared" si="189"/>
        <v>22101038.321558826</v>
      </c>
      <c r="BD113" s="138">
        <f t="shared" si="189"/>
        <v>22101038.321558826</v>
      </c>
      <c r="BE113" s="138">
        <f t="shared" si="189"/>
        <v>22101038.321558826</v>
      </c>
      <c r="BF113" s="138">
        <f t="shared" si="189"/>
        <v>22101038.321558826</v>
      </c>
      <c r="BG113" s="138">
        <f t="shared" si="189"/>
        <v>22101038.321558826</v>
      </c>
      <c r="BH113" s="138">
        <f t="shared" si="189"/>
        <v>22101038.321558826</v>
      </c>
      <c r="BI113" s="138">
        <f t="shared" si="189"/>
        <v>22101038.321558826</v>
      </c>
      <c r="BJ113" s="138">
        <f t="shared" si="189"/>
        <v>22101038.321558826</v>
      </c>
      <c r="BK113" s="138">
        <f t="shared" si="189"/>
        <v>22101038.321558826</v>
      </c>
      <c r="BL113" s="138">
        <f t="shared" si="189"/>
        <v>22101038.321558826</v>
      </c>
      <c r="BM113" s="138">
        <f t="shared" si="189"/>
        <v>51513862.814774722</v>
      </c>
      <c r="BN113" s="138">
        <f t="shared" si="189"/>
        <v>51513862.814774722</v>
      </c>
      <c r="BO113" s="138">
        <f t="shared" si="189"/>
        <v>51513862.814774722</v>
      </c>
      <c r="BP113" s="138">
        <f t="shared" si="189"/>
        <v>51513862.814774722</v>
      </c>
      <c r="BQ113" s="138">
        <f t="shared" si="189"/>
        <v>51513862.814774722</v>
      </c>
      <c r="BR113" s="138">
        <f t="shared" ref="BR113:EC113" si="190">SUM(BR93:BR98)</f>
        <v>51513862.814774722</v>
      </c>
      <c r="BS113" s="138">
        <f t="shared" si="190"/>
        <v>51513862.814774722</v>
      </c>
      <c r="BT113" s="138">
        <f t="shared" si="190"/>
        <v>51513862.814774722</v>
      </c>
      <c r="BU113" s="138">
        <f t="shared" si="190"/>
        <v>51513862.814774722</v>
      </c>
      <c r="BV113" s="138">
        <f t="shared" si="190"/>
        <v>51513862.814774722</v>
      </c>
      <c r="BW113" s="138">
        <f t="shared" si="190"/>
        <v>51513862.814774722</v>
      </c>
      <c r="BX113" s="138">
        <f t="shared" si="190"/>
        <v>51513862.814774722</v>
      </c>
      <c r="BY113" s="138">
        <f t="shared" si="190"/>
        <v>51513862.814774722</v>
      </c>
      <c r="BZ113" s="138">
        <f t="shared" si="190"/>
        <v>51513862.814774722</v>
      </c>
      <c r="CA113" s="138">
        <f t="shared" si="190"/>
        <v>51513862.814774722</v>
      </c>
      <c r="CB113" s="138">
        <f t="shared" si="190"/>
        <v>51513862.814774722</v>
      </c>
      <c r="CC113" s="138">
        <f t="shared" si="190"/>
        <v>51513862.814774722</v>
      </c>
      <c r="CD113" s="138">
        <f t="shared" si="190"/>
        <v>51513862.814774722</v>
      </c>
      <c r="CE113" s="138">
        <f t="shared" si="190"/>
        <v>51513862.814774722</v>
      </c>
      <c r="CF113" s="138">
        <f t="shared" si="190"/>
        <v>51513862.814774722</v>
      </c>
      <c r="CG113" s="138">
        <f t="shared" si="190"/>
        <v>51513862.814774722</v>
      </c>
      <c r="CH113" s="138">
        <f t="shared" si="190"/>
        <v>51513862.814774722</v>
      </c>
      <c r="CI113" s="138">
        <f t="shared" si="190"/>
        <v>51513862.814774722</v>
      </c>
      <c r="CJ113" s="138">
        <f t="shared" si="190"/>
        <v>51513862.814774722</v>
      </c>
      <c r="CK113" s="138">
        <f t="shared" si="190"/>
        <v>51513862.814774722</v>
      </c>
      <c r="CL113" s="138">
        <f t="shared" si="190"/>
        <v>51513862.814774722</v>
      </c>
      <c r="CM113" s="138">
        <f t="shared" si="190"/>
        <v>51513862.814774722</v>
      </c>
      <c r="CN113" s="138">
        <f t="shared" si="190"/>
        <v>51513862.814774722</v>
      </c>
      <c r="CO113" s="138">
        <f t="shared" si="190"/>
        <v>51513862.814774722</v>
      </c>
      <c r="CP113" s="138">
        <f t="shared" si="190"/>
        <v>51513862.814774722</v>
      </c>
      <c r="CQ113" s="138">
        <f t="shared" si="190"/>
        <v>51513862.814774722</v>
      </c>
      <c r="CR113" s="138">
        <f t="shared" si="190"/>
        <v>51513862.814774722</v>
      </c>
      <c r="CS113" s="138">
        <f t="shared" si="190"/>
        <v>51513862.814774722</v>
      </c>
      <c r="CT113" s="138">
        <f t="shared" si="190"/>
        <v>51513862.814774722</v>
      </c>
      <c r="CU113" s="138">
        <f t="shared" si="190"/>
        <v>51513862.814774722</v>
      </c>
      <c r="CV113" s="138">
        <f t="shared" si="190"/>
        <v>51513862.814774722</v>
      </c>
      <c r="CW113" s="138">
        <f t="shared" si="190"/>
        <v>51513862.814774722</v>
      </c>
      <c r="CX113" s="138">
        <f t="shared" si="190"/>
        <v>51513862.814774722</v>
      </c>
      <c r="CY113" s="138">
        <f t="shared" si="190"/>
        <v>51513862.814774722</v>
      </c>
      <c r="CZ113" s="138">
        <f t="shared" si="190"/>
        <v>51513862.814774722</v>
      </c>
      <c r="DA113" s="138">
        <f t="shared" si="190"/>
        <v>51513862.814774722</v>
      </c>
      <c r="DB113" s="138">
        <f t="shared" si="190"/>
        <v>51513862.814774722</v>
      </c>
      <c r="DC113" s="138">
        <f t="shared" si="190"/>
        <v>51513862.814774722</v>
      </c>
      <c r="DD113" s="138">
        <f t="shared" si="190"/>
        <v>51513862.814774722</v>
      </c>
      <c r="DE113" s="138">
        <f t="shared" si="190"/>
        <v>51513862.814774722</v>
      </c>
      <c r="DF113" s="138">
        <f t="shared" si="190"/>
        <v>51513862.814774722</v>
      </c>
      <c r="DG113" s="138">
        <f t="shared" si="190"/>
        <v>51513862.814774722</v>
      </c>
      <c r="DH113" s="138">
        <f t="shared" si="190"/>
        <v>51513862.814774722</v>
      </c>
      <c r="DI113" s="138">
        <f t="shared" si="190"/>
        <v>51513862.814774722</v>
      </c>
      <c r="DJ113" s="138">
        <f t="shared" si="190"/>
        <v>51513862.814774722</v>
      </c>
      <c r="DK113" s="138">
        <f t="shared" si="190"/>
        <v>51513862.814774722</v>
      </c>
      <c r="DL113" s="138">
        <f t="shared" si="190"/>
        <v>51513862.814774722</v>
      </c>
      <c r="DM113" s="138">
        <f t="shared" si="190"/>
        <v>51513862.814774722</v>
      </c>
      <c r="DN113" s="138">
        <f t="shared" si="190"/>
        <v>51513862.814774722</v>
      </c>
      <c r="DO113" s="138">
        <f t="shared" si="190"/>
        <v>51513862.814774722</v>
      </c>
      <c r="DP113" s="138">
        <f t="shared" si="190"/>
        <v>51513862.814774722</v>
      </c>
      <c r="DQ113" s="138">
        <f t="shared" si="190"/>
        <v>51513862.814774722</v>
      </c>
      <c r="DR113" s="138">
        <f t="shared" si="190"/>
        <v>51513862.814774722</v>
      </c>
      <c r="DS113" s="138">
        <f t="shared" si="190"/>
        <v>51513862.814774722</v>
      </c>
      <c r="DT113" s="138">
        <f t="shared" si="190"/>
        <v>51513862.814774722</v>
      </c>
      <c r="DU113" s="138">
        <f t="shared" si="190"/>
        <v>51513862.814774722</v>
      </c>
      <c r="DV113" s="138">
        <f t="shared" si="190"/>
        <v>51513862.814774722</v>
      </c>
      <c r="DW113" s="138">
        <f t="shared" si="190"/>
        <v>51513862.814774722</v>
      </c>
      <c r="DX113" s="138">
        <f t="shared" si="190"/>
        <v>51513862.814774722</v>
      </c>
      <c r="DY113" s="138">
        <f t="shared" si="190"/>
        <v>51513862.814774722</v>
      </c>
      <c r="DZ113" s="138">
        <f t="shared" si="190"/>
        <v>51513862.814774722</v>
      </c>
      <c r="EA113" s="138">
        <f t="shared" si="190"/>
        <v>51513862.814774722</v>
      </c>
      <c r="EB113" s="138">
        <f t="shared" si="190"/>
        <v>51513862.814774722</v>
      </c>
      <c r="EC113" s="138">
        <f t="shared" si="190"/>
        <v>51513862.814774722</v>
      </c>
      <c r="ED113" s="138">
        <f t="shared" ref="ED113:GO113" si="191">SUM(ED93:ED98)</f>
        <v>51513862.814774722</v>
      </c>
      <c r="EE113" s="138">
        <f t="shared" si="191"/>
        <v>51513862.814774722</v>
      </c>
      <c r="EF113" s="138">
        <f t="shared" si="191"/>
        <v>51513862.814774722</v>
      </c>
      <c r="EG113" s="138">
        <f t="shared" si="191"/>
        <v>51513862.814774722</v>
      </c>
      <c r="EH113" s="138">
        <f t="shared" si="191"/>
        <v>51513862.814774722</v>
      </c>
      <c r="EI113" s="138">
        <f t="shared" si="191"/>
        <v>51513862.814774722</v>
      </c>
      <c r="EJ113" s="138">
        <f t="shared" si="191"/>
        <v>51513862.814774722</v>
      </c>
      <c r="EK113" s="138">
        <f t="shared" si="191"/>
        <v>51513862.814774722</v>
      </c>
      <c r="EL113" s="138">
        <f t="shared" si="191"/>
        <v>51513862.814774722</v>
      </c>
      <c r="EM113" s="138">
        <f t="shared" si="191"/>
        <v>51513862.814774722</v>
      </c>
      <c r="EN113" s="138">
        <f t="shared" si="191"/>
        <v>51513862.814774722</v>
      </c>
      <c r="EO113" s="138">
        <f t="shared" si="191"/>
        <v>51513862.814774722</v>
      </c>
      <c r="EP113" s="138">
        <f t="shared" si="191"/>
        <v>51513862.814774722</v>
      </c>
      <c r="EQ113" s="138">
        <f t="shared" si="191"/>
        <v>51513862.814774722</v>
      </c>
      <c r="ER113" s="138">
        <f t="shared" si="191"/>
        <v>51513862.814774722</v>
      </c>
      <c r="ES113" s="138">
        <f t="shared" si="191"/>
        <v>51513862.814774722</v>
      </c>
      <c r="ET113" s="138">
        <f t="shared" si="191"/>
        <v>51513862.814774722</v>
      </c>
      <c r="EU113" s="138">
        <f t="shared" si="191"/>
        <v>51513862.814774722</v>
      </c>
      <c r="EV113" s="138">
        <f t="shared" si="191"/>
        <v>51513862.814774722</v>
      </c>
      <c r="EW113" s="138">
        <f t="shared" si="191"/>
        <v>51513862.814774722</v>
      </c>
      <c r="EX113" s="138">
        <f t="shared" si="191"/>
        <v>51513862.814774722</v>
      </c>
      <c r="EY113" s="138">
        <f t="shared" si="191"/>
        <v>51513862.814774722</v>
      </c>
      <c r="EZ113" s="138">
        <f t="shared" si="191"/>
        <v>51513862.814774722</v>
      </c>
      <c r="FA113" s="138">
        <f t="shared" si="191"/>
        <v>51513862.814774722</v>
      </c>
      <c r="FB113" s="138">
        <f t="shared" si="191"/>
        <v>51513862.814774722</v>
      </c>
      <c r="FC113" s="138">
        <f t="shared" si="191"/>
        <v>51513862.814774722</v>
      </c>
      <c r="FD113" s="138">
        <f t="shared" si="191"/>
        <v>51513862.814774722</v>
      </c>
      <c r="FE113" s="138">
        <f t="shared" si="191"/>
        <v>51513862.814774722</v>
      </c>
      <c r="FF113" s="138">
        <f t="shared" si="191"/>
        <v>51513862.814774722</v>
      </c>
      <c r="FG113" s="138">
        <f t="shared" si="191"/>
        <v>51513862.814774722</v>
      </c>
      <c r="FH113" s="138">
        <f t="shared" si="191"/>
        <v>51513862.814774722</v>
      </c>
      <c r="FI113" s="138">
        <f t="shared" si="191"/>
        <v>51513862.814774722</v>
      </c>
      <c r="FJ113" s="138">
        <f t="shared" si="191"/>
        <v>51513862.814774722</v>
      </c>
      <c r="FK113" s="138">
        <f t="shared" si="191"/>
        <v>51513862.814774722</v>
      </c>
      <c r="FL113" s="138">
        <f t="shared" si="191"/>
        <v>51513862.814774722</v>
      </c>
      <c r="FM113" s="138">
        <f t="shared" si="191"/>
        <v>51513862.814774722</v>
      </c>
      <c r="FN113" s="138">
        <f t="shared" si="191"/>
        <v>51513862.814774722</v>
      </c>
      <c r="FO113" s="138">
        <f t="shared" si="191"/>
        <v>51513862.814774722</v>
      </c>
      <c r="FP113" s="138">
        <f t="shared" si="191"/>
        <v>51513862.814774722</v>
      </c>
      <c r="FQ113" s="138">
        <f t="shared" si="191"/>
        <v>51513862.814774722</v>
      </c>
      <c r="FR113" s="138">
        <f t="shared" si="191"/>
        <v>51513862.814774722</v>
      </c>
      <c r="FS113" s="138">
        <f t="shared" si="191"/>
        <v>51513862.814774722</v>
      </c>
      <c r="FT113" s="138">
        <f t="shared" si="191"/>
        <v>51513862.814774722</v>
      </c>
      <c r="FU113" s="138">
        <f t="shared" si="191"/>
        <v>51513862.814774722</v>
      </c>
      <c r="FV113" s="138">
        <f t="shared" si="191"/>
        <v>51513862.814774722</v>
      </c>
      <c r="FW113" s="138">
        <f t="shared" si="191"/>
        <v>51513862.814774722</v>
      </c>
      <c r="FX113" s="138">
        <f t="shared" si="191"/>
        <v>51513862.814774722</v>
      </c>
      <c r="FY113" s="138">
        <f t="shared" si="191"/>
        <v>51513862.814774722</v>
      </c>
      <c r="FZ113" s="138">
        <f t="shared" si="191"/>
        <v>51513862.814774722</v>
      </c>
      <c r="GA113" s="138">
        <f t="shared" si="191"/>
        <v>51513862.814774722</v>
      </c>
      <c r="GB113" s="138">
        <f t="shared" si="191"/>
        <v>51513862.814774722</v>
      </c>
      <c r="GC113" s="138">
        <f t="shared" si="191"/>
        <v>51513862.814774722</v>
      </c>
      <c r="GD113" s="138">
        <f t="shared" si="191"/>
        <v>51513862.814774722</v>
      </c>
      <c r="GE113" s="138">
        <f t="shared" si="191"/>
        <v>51513862.814774722</v>
      </c>
      <c r="GF113" s="138">
        <f t="shared" si="191"/>
        <v>51513862.814774722</v>
      </c>
      <c r="GG113" s="138">
        <f t="shared" si="191"/>
        <v>51513862.814774722</v>
      </c>
      <c r="GH113" s="138">
        <f t="shared" si="191"/>
        <v>51513862.814774722</v>
      </c>
      <c r="GI113" s="138">
        <f t="shared" si="191"/>
        <v>51513862.814774722</v>
      </c>
      <c r="GJ113" s="138">
        <f t="shared" si="191"/>
        <v>51513862.814774722</v>
      </c>
      <c r="GK113" s="138">
        <f t="shared" si="191"/>
        <v>51513862.814774722</v>
      </c>
      <c r="GL113" s="138">
        <f t="shared" si="191"/>
        <v>51513862.814774722</v>
      </c>
      <c r="GM113" s="138">
        <f t="shared" si="191"/>
        <v>51513862.814774722</v>
      </c>
      <c r="GN113" s="138">
        <f t="shared" si="191"/>
        <v>51513862.814774722</v>
      </c>
      <c r="GO113" s="138">
        <f t="shared" si="191"/>
        <v>51513862.814774722</v>
      </c>
      <c r="GP113" s="138">
        <f t="shared" ref="GP113:JA113" si="192">SUM(GP93:GP98)</f>
        <v>51513862.814774722</v>
      </c>
      <c r="GQ113" s="138">
        <f t="shared" si="192"/>
        <v>51513862.814774722</v>
      </c>
      <c r="GR113" s="138">
        <f t="shared" si="192"/>
        <v>51513862.814774722</v>
      </c>
      <c r="GS113" s="138">
        <f t="shared" si="192"/>
        <v>51513862.814774722</v>
      </c>
      <c r="GT113" s="138">
        <f t="shared" si="192"/>
        <v>51513862.814774722</v>
      </c>
      <c r="GU113" s="138">
        <f t="shared" si="192"/>
        <v>51513862.814774722</v>
      </c>
      <c r="GV113" s="138">
        <f t="shared" si="192"/>
        <v>51513862.814774722</v>
      </c>
      <c r="GW113" s="138">
        <f t="shared" si="192"/>
        <v>51513862.814774722</v>
      </c>
      <c r="GX113" s="138">
        <f t="shared" si="192"/>
        <v>51513862.814774722</v>
      </c>
      <c r="GY113" s="138">
        <f t="shared" si="192"/>
        <v>51513862.814774722</v>
      </c>
      <c r="GZ113" s="138">
        <f t="shared" si="192"/>
        <v>51513862.814774722</v>
      </c>
      <c r="HA113" s="138">
        <f t="shared" si="192"/>
        <v>51513862.814774722</v>
      </c>
      <c r="HB113" s="138">
        <f t="shared" si="192"/>
        <v>51513862.814774722</v>
      </c>
      <c r="HC113" s="138">
        <f t="shared" si="192"/>
        <v>51513862.814774722</v>
      </c>
      <c r="HD113" s="138">
        <f t="shared" si="192"/>
        <v>51513862.814774722</v>
      </c>
      <c r="HE113" s="138">
        <f t="shared" si="192"/>
        <v>51513862.814774722</v>
      </c>
      <c r="HF113" s="138">
        <f t="shared" si="192"/>
        <v>51513862.814774722</v>
      </c>
      <c r="HG113" s="138">
        <f t="shared" si="192"/>
        <v>51513862.814774722</v>
      </c>
      <c r="HH113" s="138">
        <f t="shared" si="192"/>
        <v>51513862.814774722</v>
      </c>
      <c r="HI113" s="138">
        <f t="shared" si="192"/>
        <v>51513862.814774722</v>
      </c>
      <c r="HJ113" s="138">
        <f t="shared" si="192"/>
        <v>51513862.814774722</v>
      </c>
      <c r="HK113" s="138">
        <f t="shared" si="192"/>
        <v>51513862.814774722</v>
      </c>
      <c r="HL113" s="138">
        <f t="shared" si="192"/>
        <v>51513862.814774722</v>
      </c>
      <c r="HM113" s="138">
        <f t="shared" si="192"/>
        <v>51513862.814774722</v>
      </c>
      <c r="HN113" s="138">
        <f t="shared" si="192"/>
        <v>51513862.814774722</v>
      </c>
      <c r="HO113" s="138">
        <f t="shared" si="192"/>
        <v>51513862.814774722</v>
      </c>
      <c r="HP113" s="138">
        <f t="shared" si="192"/>
        <v>51513862.814774722</v>
      </c>
      <c r="HQ113" s="138">
        <f t="shared" si="192"/>
        <v>51513862.814774722</v>
      </c>
      <c r="HR113" s="138">
        <f t="shared" si="192"/>
        <v>51513862.814774722</v>
      </c>
      <c r="HS113" s="138">
        <f t="shared" si="192"/>
        <v>51513862.814774722</v>
      </c>
      <c r="HT113" s="138">
        <f t="shared" si="192"/>
        <v>51513862.814774722</v>
      </c>
      <c r="HU113" s="138">
        <f t="shared" si="192"/>
        <v>51513862.814774722</v>
      </c>
      <c r="HV113" s="138">
        <f t="shared" si="192"/>
        <v>51513862.814774722</v>
      </c>
      <c r="HW113" s="138">
        <f t="shared" si="192"/>
        <v>51513862.814774722</v>
      </c>
      <c r="HX113" s="138">
        <f t="shared" si="192"/>
        <v>51513862.814774722</v>
      </c>
      <c r="HY113" s="138">
        <f t="shared" si="192"/>
        <v>51513862.814774722</v>
      </c>
      <c r="HZ113" s="138">
        <f t="shared" si="192"/>
        <v>51513862.814774722</v>
      </c>
      <c r="IA113" s="138">
        <f t="shared" si="192"/>
        <v>51513862.814774722</v>
      </c>
      <c r="IB113" s="138">
        <f t="shared" si="192"/>
        <v>51513862.814774722</v>
      </c>
      <c r="IC113" s="138">
        <f t="shared" si="192"/>
        <v>51513862.814774722</v>
      </c>
      <c r="ID113" s="138">
        <f t="shared" si="192"/>
        <v>51513862.814774722</v>
      </c>
      <c r="IE113" s="138">
        <f t="shared" si="192"/>
        <v>51513862.814774722</v>
      </c>
      <c r="IF113" s="138">
        <f t="shared" si="192"/>
        <v>51513862.814774722</v>
      </c>
      <c r="IG113" s="138">
        <f t="shared" si="192"/>
        <v>51513862.814774722</v>
      </c>
      <c r="IH113" s="138">
        <f t="shared" si="192"/>
        <v>51513862.814774722</v>
      </c>
      <c r="II113" s="138">
        <f t="shared" si="192"/>
        <v>51513862.814774722</v>
      </c>
      <c r="IJ113" s="138">
        <f t="shared" si="192"/>
        <v>51513862.814774722</v>
      </c>
      <c r="IK113" s="138">
        <f t="shared" si="192"/>
        <v>0</v>
      </c>
      <c r="IL113" s="138">
        <f t="shared" si="192"/>
        <v>0</v>
      </c>
      <c r="IM113" s="138">
        <f t="shared" si="192"/>
        <v>0</v>
      </c>
      <c r="IN113" s="138">
        <f t="shared" si="192"/>
        <v>0</v>
      </c>
      <c r="IO113" s="138">
        <f t="shared" si="192"/>
        <v>0</v>
      </c>
      <c r="IP113" s="138">
        <f t="shared" si="192"/>
        <v>0</v>
      </c>
      <c r="IQ113" s="138">
        <f t="shared" si="192"/>
        <v>0</v>
      </c>
      <c r="IR113" s="138">
        <f t="shared" si="192"/>
        <v>0</v>
      </c>
      <c r="IS113" s="138">
        <f t="shared" si="192"/>
        <v>0</v>
      </c>
      <c r="IT113" s="138">
        <f t="shared" si="192"/>
        <v>0</v>
      </c>
      <c r="IU113" s="138">
        <f t="shared" si="192"/>
        <v>0</v>
      </c>
      <c r="IV113" s="138">
        <f t="shared" si="192"/>
        <v>0</v>
      </c>
      <c r="IW113" s="138">
        <f t="shared" si="192"/>
        <v>0</v>
      </c>
      <c r="IX113" s="138">
        <f t="shared" si="192"/>
        <v>0</v>
      </c>
      <c r="IY113" s="138">
        <f t="shared" si="192"/>
        <v>0</v>
      </c>
      <c r="IZ113" s="138">
        <f t="shared" si="192"/>
        <v>0</v>
      </c>
      <c r="JA113" s="138">
        <f t="shared" si="192"/>
        <v>0</v>
      </c>
      <c r="JB113" s="138">
        <f t="shared" ref="JB113:LM113" si="193">SUM(JB93:JB98)</f>
        <v>0</v>
      </c>
      <c r="JC113" s="138">
        <f t="shared" si="193"/>
        <v>0</v>
      </c>
      <c r="JD113" s="138">
        <f t="shared" si="193"/>
        <v>0</v>
      </c>
      <c r="JE113" s="138">
        <f t="shared" si="193"/>
        <v>0</v>
      </c>
      <c r="JF113" s="138">
        <f t="shared" si="193"/>
        <v>0</v>
      </c>
      <c r="JG113" s="138">
        <f t="shared" si="193"/>
        <v>0</v>
      </c>
      <c r="JH113" s="138">
        <f t="shared" si="193"/>
        <v>0</v>
      </c>
      <c r="JI113" s="138">
        <f t="shared" si="193"/>
        <v>0</v>
      </c>
      <c r="JJ113" s="138">
        <f t="shared" si="193"/>
        <v>0</v>
      </c>
      <c r="JK113" s="138">
        <f t="shared" si="193"/>
        <v>0</v>
      </c>
      <c r="JL113" s="138">
        <f t="shared" si="193"/>
        <v>0</v>
      </c>
      <c r="JM113" s="138">
        <f t="shared" si="193"/>
        <v>0</v>
      </c>
      <c r="JN113" s="138">
        <f t="shared" si="193"/>
        <v>0</v>
      </c>
      <c r="JO113" s="138">
        <f t="shared" si="193"/>
        <v>0</v>
      </c>
      <c r="JP113" s="138">
        <f t="shared" si="193"/>
        <v>0</v>
      </c>
      <c r="JQ113" s="138">
        <f t="shared" si="193"/>
        <v>0</v>
      </c>
      <c r="JR113" s="138">
        <f t="shared" si="193"/>
        <v>0</v>
      </c>
      <c r="JS113" s="138">
        <f t="shared" si="193"/>
        <v>0</v>
      </c>
      <c r="JT113" s="138">
        <f t="shared" si="193"/>
        <v>0</v>
      </c>
      <c r="JU113" s="138">
        <f t="shared" si="193"/>
        <v>0</v>
      </c>
      <c r="JV113" s="138">
        <f t="shared" si="193"/>
        <v>0</v>
      </c>
      <c r="JW113" s="138">
        <f t="shared" si="193"/>
        <v>0</v>
      </c>
      <c r="JX113" s="138">
        <f t="shared" si="193"/>
        <v>0</v>
      </c>
      <c r="JY113" s="138">
        <f t="shared" si="193"/>
        <v>0</v>
      </c>
      <c r="JZ113" s="138">
        <f t="shared" si="193"/>
        <v>0</v>
      </c>
      <c r="KA113" s="138">
        <f t="shared" si="193"/>
        <v>0</v>
      </c>
      <c r="KB113" s="138">
        <f t="shared" si="193"/>
        <v>0</v>
      </c>
      <c r="KC113" s="138">
        <f t="shared" si="193"/>
        <v>0</v>
      </c>
      <c r="KD113" s="138">
        <f t="shared" si="193"/>
        <v>0</v>
      </c>
      <c r="KE113" s="138">
        <f t="shared" si="193"/>
        <v>0</v>
      </c>
      <c r="KF113" s="138">
        <f t="shared" si="193"/>
        <v>0</v>
      </c>
      <c r="KG113" s="138">
        <f t="shared" si="193"/>
        <v>0</v>
      </c>
      <c r="KH113" s="138">
        <f t="shared" si="193"/>
        <v>0</v>
      </c>
      <c r="KI113" s="138">
        <f t="shared" si="193"/>
        <v>0</v>
      </c>
      <c r="KJ113" s="138">
        <f t="shared" si="193"/>
        <v>0</v>
      </c>
      <c r="KK113" s="138">
        <f t="shared" si="193"/>
        <v>0</v>
      </c>
      <c r="KL113" s="138">
        <f t="shared" si="193"/>
        <v>0</v>
      </c>
      <c r="KM113" s="138">
        <f t="shared" si="193"/>
        <v>0</v>
      </c>
      <c r="KN113" s="138">
        <f t="shared" si="193"/>
        <v>0</v>
      </c>
      <c r="KO113" s="138">
        <f t="shared" si="193"/>
        <v>0</v>
      </c>
      <c r="KP113" s="138">
        <f t="shared" si="193"/>
        <v>0</v>
      </c>
      <c r="KQ113" s="138">
        <f t="shared" si="193"/>
        <v>0</v>
      </c>
      <c r="KR113" s="138">
        <f t="shared" si="193"/>
        <v>0</v>
      </c>
      <c r="KS113" s="138">
        <f t="shared" si="193"/>
        <v>0</v>
      </c>
      <c r="KT113" s="138">
        <f t="shared" si="193"/>
        <v>0</v>
      </c>
      <c r="KU113" s="138">
        <f t="shared" si="193"/>
        <v>0</v>
      </c>
      <c r="KV113" s="138">
        <f t="shared" si="193"/>
        <v>0</v>
      </c>
      <c r="KW113" s="138">
        <f t="shared" si="193"/>
        <v>0</v>
      </c>
      <c r="KX113" s="138">
        <f t="shared" si="193"/>
        <v>0</v>
      </c>
      <c r="KY113" s="138">
        <f t="shared" si="193"/>
        <v>0</v>
      </c>
      <c r="KZ113" s="138">
        <f t="shared" si="193"/>
        <v>0</v>
      </c>
      <c r="LA113" s="138">
        <f t="shared" si="193"/>
        <v>0</v>
      </c>
      <c r="LB113" s="138">
        <f t="shared" si="193"/>
        <v>0</v>
      </c>
      <c r="LC113" s="138">
        <f t="shared" si="193"/>
        <v>0</v>
      </c>
      <c r="LD113" s="138">
        <f t="shared" si="193"/>
        <v>0</v>
      </c>
      <c r="LE113" s="138">
        <f t="shared" si="193"/>
        <v>0</v>
      </c>
      <c r="LF113" s="138">
        <f t="shared" si="193"/>
        <v>0</v>
      </c>
      <c r="LG113" s="138">
        <f t="shared" si="193"/>
        <v>0</v>
      </c>
      <c r="LH113" s="138">
        <f t="shared" si="193"/>
        <v>0</v>
      </c>
      <c r="LI113" s="138">
        <f t="shared" si="193"/>
        <v>0</v>
      </c>
      <c r="LJ113" s="138">
        <f t="shared" si="193"/>
        <v>0</v>
      </c>
      <c r="LK113" s="138">
        <f t="shared" si="193"/>
        <v>0</v>
      </c>
      <c r="LL113" s="138">
        <f t="shared" si="193"/>
        <v>0</v>
      </c>
      <c r="LM113" s="138">
        <f t="shared" si="193"/>
        <v>0</v>
      </c>
      <c r="LN113" s="138">
        <f t="shared" ref="LN113:NY113" si="194">SUM(LN93:LN98)</f>
        <v>0</v>
      </c>
      <c r="LO113" s="138">
        <f t="shared" si="194"/>
        <v>0</v>
      </c>
      <c r="LP113" s="138">
        <f t="shared" si="194"/>
        <v>0</v>
      </c>
      <c r="LQ113" s="138">
        <f t="shared" si="194"/>
        <v>0</v>
      </c>
      <c r="LR113" s="138">
        <f t="shared" si="194"/>
        <v>0</v>
      </c>
      <c r="LS113" s="138">
        <f t="shared" si="194"/>
        <v>0</v>
      </c>
      <c r="LT113" s="138">
        <f t="shared" si="194"/>
        <v>0</v>
      </c>
      <c r="LU113" s="138">
        <f t="shared" si="194"/>
        <v>0</v>
      </c>
      <c r="LV113" s="138">
        <f t="shared" si="194"/>
        <v>0</v>
      </c>
      <c r="LW113" s="138">
        <f t="shared" si="194"/>
        <v>0</v>
      </c>
      <c r="LX113" s="138">
        <f t="shared" si="194"/>
        <v>0</v>
      </c>
      <c r="LY113" s="138">
        <f t="shared" si="194"/>
        <v>0</v>
      </c>
      <c r="LZ113" s="138">
        <f t="shared" si="194"/>
        <v>0</v>
      </c>
      <c r="MA113" s="138">
        <f t="shared" si="194"/>
        <v>0</v>
      </c>
      <c r="MB113" s="138">
        <f t="shared" si="194"/>
        <v>0</v>
      </c>
      <c r="MC113" s="138">
        <f t="shared" si="194"/>
        <v>0</v>
      </c>
      <c r="MD113" s="138">
        <f t="shared" si="194"/>
        <v>0</v>
      </c>
      <c r="ME113" s="138">
        <f t="shared" si="194"/>
        <v>0</v>
      </c>
      <c r="MF113" s="138">
        <f t="shared" si="194"/>
        <v>0</v>
      </c>
      <c r="MG113" s="138">
        <f t="shared" si="194"/>
        <v>0</v>
      </c>
      <c r="MH113" s="138">
        <f t="shared" si="194"/>
        <v>0</v>
      </c>
      <c r="MI113" s="138">
        <f t="shared" si="194"/>
        <v>0</v>
      </c>
      <c r="MJ113" s="138">
        <f t="shared" si="194"/>
        <v>0</v>
      </c>
      <c r="MK113" s="138">
        <f t="shared" si="194"/>
        <v>0</v>
      </c>
      <c r="ML113" s="138">
        <f t="shared" si="194"/>
        <v>0</v>
      </c>
      <c r="MM113" s="138">
        <f t="shared" si="194"/>
        <v>0</v>
      </c>
      <c r="MN113" s="138">
        <f t="shared" si="194"/>
        <v>0</v>
      </c>
      <c r="MO113" s="138">
        <f t="shared" si="194"/>
        <v>0</v>
      </c>
      <c r="MP113" s="138">
        <f t="shared" si="194"/>
        <v>0</v>
      </c>
      <c r="MQ113" s="138">
        <f t="shared" si="194"/>
        <v>0</v>
      </c>
      <c r="MR113" s="138">
        <f t="shared" si="194"/>
        <v>0</v>
      </c>
      <c r="MS113" s="138">
        <f t="shared" si="194"/>
        <v>0</v>
      </c>
      <c r="MT113" s="138">
        <f t="shared" si="194"/>
        <v>0</v>
      </c>
      <c r="MU113" s="138">
        <f t="shared" si="194"/>
        <v>0</v>
      </c>
      <c r="MV113" s="138">
        <f t="shared" si="194"/>
        <v>0</v>
      </c>
      <c r="MW113" s="138">
        <f t="shared" si="194"/>
        <v>0</v>
      </c>
      <c r="MX113" s="138">
        <f t="shared" si="194"/>
        <v>0</v>
      </c>
      <c r="MY113" s="138">
        <f t="shared" si="194"/>
        <v>0</v>
      </c>
      <c r="MZ113" s="138">
        <f t="shared" si="194"/>
        <v>0</v>
      </c>
      <c r="NA113" s="138">
        <f t="shared" si="194"/>
        <v>0</v>
      </c>
      <c r="NB113" s="138">
        <f t="shared" si="194"/>
        <v>0</v>
      </c>
      <c r="NC113" s="138">
        <f t="shared" si="194"/>
        <v>0</v>
      </c>
      <c r="ND113" s="138">
        <f t="shared" si="194"/>
        <v>0</v>
      </c>
      <c r="NE113" s="138">
        <f t="shared" si="194"/>
        <v>0</v>
      </c>
      <c r="NF113" s="138">
        <f t="shared" si="194"/>
        <v>0</v>
      </c>
      <c r="NG113" s="138">
        <f t="shared" si="194"/>
        <v>0</v>
      </c>
      <c r="NH113" s="138">
        <f t="shared" si="194"/>
        <v>0</v>
      </c>
      <c r="NI113" s="138">
        <f t="shared" si="194"/>
        <v>0</v>
      </c>
      <c r="NJ113" s="138">
        <f t="shared" si="194"/>
        <v>0</v>
      </c>
      <c r="NK113" s="138">
        <f t="shared" si="194"/>
        <v>0</v>
      </c>
      <c r="NL113" s="138">
        <f t="shared" si="194"/>
        <v>0</v>
      </c>
      <c r="NM113" s="138">
        <f t="shared" si="194"/>
        <v>0</v>
      </c>
      <c r="NN113" s="138">
        <f t="shared" si="194"/>
        <v>0</v>
      </c>
      <c r="NO113" s="138">
        <f t="shared" si="194"/>
        <v>0</v>
      </c>
      <c r="NP113" s="138">
        <f t="shared" si="194"/>
        <v>0</v>
      </c>
      <c r="NQ113" s="138">
        <f t="shared" si="194"/>
        <v>0</v>
      </c>
      <c r="NR113" s="138">
        <f t="shared" si="194"/>
        <v>0</v>
      </c>
      <c r="NS113" s="138">
        <f t="shared" si="194"/>
        <v>0</v>
      </c>
      <c r="NT113" s="138">
        <f t="shared" si="194"/>
        <v>0</v>
      </c>
      <c r="NU113" s="138">
        <f t="shared" si="194"/>
        <v>0</v>
      </c>
      <c r="NV113" s="138">
        <f t="shared" si="194"/>
        <v>0</v>
      </c>
      <c r="NW113" s="138">
        <f t="shared" si="194"/>
        <v>0</v>
      </c>
      <c r="NX113" s="138">
        <f t="shared" si="194"/>
        <v>0</v>
      </c>
      <c r="NY113" s="138">
        <f t="shared" si="194"/>
        <v>0</v>
      </c>
      <c r="NZ113" s="138">
        <f t="shared" ref="NZ113:QK113" si="195">SUM(NZ93:NZ98)</f>
        <v>0</v>
      </c>
      <c r="OA113" s="138">
        <f t="shared" si="195"/>
        <v>0</v>
      </c>
      <c r="OB113" s="138">
        <f t="shared" si="195"/>
        <v>0</v>
      </c>
      <c r="OC113" s="138">
        <f t="shared" si="195"/>
        <v>0</v>
      </c>
      <c r="OD113" s="138">
        <f t="shared" si="195"/>
        <v>0</v>
      </c>
      <c r="OE113" s="138">
        <f t="shared" si="195"/>
        <v>0</v>
      </c>
      <c r="OF113" s="138">
        <f t="shared" si="195"/>
        <v>0</v>
      </c>
      <c r="OG113" s="138">
        <f t="shared" si="195"/>
        <v>0</v>
      </c>
      <c r="OH113" s="138">
        <f t="shared" si="195"/>
        <v>0</v>
      </c>
      <c r="OI113" s="138">
        <f t="shared" si="195"/>
        <v>0</v>
      </c>
      <c r="OJ113" s="138">
        <f t="shared" si="195"/>
        <v>0</v>
      </c>
      <c r="OK113" s="138">
        <f t="shared" si="195"/>
        <v>0</v>
      </c>
      <c r="OL113" s="138">
        <f t="shared" si="195"/>
        <v>0</v>
      </c>
      <c r="OM113" s="138">
        <f t="shared" si="195"/>
        <v>0</v>
      </c>
      <c r="ON113" s="138">
        <f t="shared" si="195"/>
        <v>0</v>
      </c>
      <c r="OO113" s="138">
        <f t="shared" si="195"/>
        <v>0</v>
      </c>
      <c r="OP113" s="138">
        <f t="shared" si="195"/>
        <v>0</v>
      </c>
      <c r="OQ113" s="138">
        <f t="shared" si="195"/>
        <v>0</v>
      </c>
      <c r="OR113" s="138">
        <f t="shared" si="195"/>
        <v>0</v>
      </c>
      <c r="OS113" s="138">
        <f t="shared" si="195"/>
        <v>0</v>
      </c>
      <c r="OT113" s="138">
        <f t="shared" si="195"/>
        <v>0</v>
      </c>
      <c r="OU113" s="138">
        <f t="shared" si="195"/>
        <v>0</v>
      </c>
      <c r="OV113" s="138">
        <f t="shared" si="195"/>
        <v>0</v>
      </c>
      <c r="OW113" s="138">
        <f t="shared" si="195"/>
        <v>0</v>
      </c>
      <c r="OX113" s="138">
        <f t="shared" si="195"/>
        <v>0</v>
      </c>
      <c r="OY113" s="138">
        <f t="shared" si="195"/>
        <v>0</v>
      </c>
      <c r="OZ113" s="138">
        <f t="shared" si="195"/>
        <v>0</v>
      </c>
      <c r="PA113" s="138">
        <f t="shared" si="195"/>
        <v>0</v>
      </c>
      <c r="PB113" s="138">
        <f t="shared" si="195"/>
        <v>0</v>
      </c>
      <c r="PC113" s="138">
        <f t="shared" si="195"/>
        <v>0</v>
      </c>
      <c r="PD113" s="138">
        <f t="shared" si="195"/>
        <v>0</v>
      </c>
      <c r="PE113" s="138">
        <f t="shared" si="195"/>
        <v>0</v>
      </c>
      <c r="PF113" s="138">
        <f t="shared" si="195"/>
        <v>0</v>
      </c>
      <c r="PG113" s="138">
        <f t="shared" si="195"/>
        <v>0</v>
      </c>
      <c r="PH113" s="138">
        <f t="shared" si="195"/>
        <v>0</v>
      </c>
      <c r="PI113" s="138">
        <f t="shared" si="195"/>
        <v>0</v>
      </c>
      <c r="PJ113" s="138">
        <f t="shared" si="195"/>
        <v>0</v>
      </c>
      <c r="PK113" s="138">
        <f t="shared" si="195"/>
        <v>0</v>
      </c>
      <c r="PL113" s="138">
        <f t="shared" si="195"/>
        <v>0</v>
      </c>
      <c r="PM113" s="138">
        <f t="shared" si="195"/>
        <v>0</v>
      </c>
      <c r="PN113" s="138">
        <f t="shared" si="195"/>
        <v>0</v>
      </c>
      <c r="PO113" s="138">
        <f t="shared" si="195"/>
        <v>0</v>
      </c>
      <c r="PP113" s="138">
        <f t="shared" si="195"/>
        <v>0</v>
      </c>
      <c r="PQ113" s="138">
        <f t="shared" si="195"/>
        <v>0</v>
      </c>
      <c r="PR113" s="138">
        <f t="shared" si="195"/>
        <v>0</v>
      </c>
      <c r="PS113" s="138">
        <f t="shared" si="195"/>
        <v>0</v>
      </c>
      <c r="PT113" s="138">
        <f t="shared" si="195"/>
        <v>0</v>
      </c>
      <c r="PU113" s="138">
        <f t="shared" si="195"/>
        <v>0</v>
      </c>
      <c r="PV113" s="138">
        <f t="shared" si="195"/>
        <v>0</v>
      </c>
      <c r="PW113" s="138">
        <f t="shared" si="195"/>
        <v>0</v>
      </c>
      <c r="PX113" s="138">
        <f t="shared" si="195"/>
        <v>0</v>
      </c>
      <c r="PY113" s="138">
        <f t="shared" si="195"/>
        <v>0</v>
      </c>
      <c r="PZ113" s="138">
        <f t="shared" si="195"/>
        <v>0</v>
      </c>
      <c r="QA113" s="138">
        <f t="shared" si="195"/>
        <v>0</v>
      </c>
      <c r="QB113" s="138">
        <f t="shared" si="195"/>
        <v>0</v>
      </c>
      <c r="QC113" s="138">
        <f t="shared" si="195"/>
        <v>0</v>
      </c>
      <c r="QD113" s="138">
        <f t="shared" si="195"/>
        <v>0</v>
      </c>
      <c r="QE113" s="138">
        <f t="shared" si="195"/>
        <v>0</v>
      </c>
      <c r="QF113" s="138">
        <f t="shared" si="195"/>
        <v>0</v>
      </c>
      <c r="QG113" s="138">
        <f t="shared" si="195"/>
        <v>0</v>
      </c>
      <c r="QH113" s="138">
        <f t="shared" si="195"/>
        <v>0</v>
      </c>
      <c r="QI113" s="138">
        <f t="shared" si="195"/>
        <v>0</v>
      </c>
      <c r="QJ113" s="138">
        <f t="shared" si="195"/>
        <v>0</v>
      </c>
      <c r="QK113" s="138">
        <f t="shared" si="195"/>
        <v>0</v>
      </c>
      <c r="QL113" s="138">
        <f t="shared" ref="QL113:RR113" si="196">SUM(QL93:QL98)</f>
        <v>0</v>
      </c>
      <c r="QM113" s="138">
        <f t="shared" si="196"/>
        <v>0</v>
      </c>
      <c r="QN113" s="138">
        <f t="shared" si="196"/>
        <v>0</v>
      </c>
      <c r="QO113" s="138">
        <f t="shared" si="196"/>
        <v>0</v>
      </c>
      <c r="QP113" s="138">
        <f t="shared" si="196"/>
        <v>0</v>
      </c>
      <c r="QQ113" s="138">
        <f t="shared" si="196"/>
        <v>0</v>
      </c>
      <c r="QR113" s="138">
        <f t="shared" si="196"/>
        <v>0</v>
      </c>
      <c r="QS113" s="138">
        <f t="shared" si="196"/>
        <v>0</v>
      </c>
      <c r="QT113" s="138">
        <f t="shared" si="196"/>
        <v>0</v>
      </c>
      <c r="QU113" s="138">
        <f t="shared" si="196"/>
        <v>0</v>
      </c>
      <c r="QV113" s="138">
        <f t="shared" si="196"/>
        <v>0</v>
      </c>
      <c r="QW113" s="138">
        <f t="shared" si="196"/>
        <v>0</v>
      </c>
      <c r="QX113" s="138">
        <f t="shared" si="196"/>
        <v>0</v>
      </c>
      <c r="QY113" s="138">
        <f t="shared" si="196"/>
        <v>0</v>
      </c>
      <c r="QZ113" s="138">
        <f t="shared" si="196"/>
        <v>0</v>
      </c>
      <c r="RA113" s="138">
        <f t="shared" si="196"/>
        <v>0</v>
      </c>
      <c r="RB113" s="138">
        <f t="shared" si="196"/>
        <v>0</v>
      </c>
      <c r="RC113" s="138">
        <f t="shared" si="196"/>
        <v>0</v>
      </c>
      <c r="RD113" s="138">
        <f t="shared" si="196"/>
        <v>0</v>
      </c>
      <c r="RE113" s="138">
        <f t="shared" si="196"/>
        <v>0</v>
      </c>
      <c r="RF113" s="138">
        <f t="shared" si="196"/>
        <v>0</v>
      </c>
      <c r="RG113" s="138">
        <f t="shared" si="196"/>
        <v>0</v>
      </c>
      <c r="RH113" s="138">
        <f t="shared" si="196"/>
        <v>0</v>
      </c>
      <c r="RI113" s="138">
        <f t="shared" si="196"/>
        <v>0</v>
      </c>
      <c r="RJ113" s="138">
        <f t="shared" si="196"/>
        <v>0</v>
      </c>
      <c r="RK113" s="138">
        <f t="shared" si="196"/>
        <v>0</v>
      </c>
      <c r="RL113" s="138">
        <f t="shared" si="196"/>
        <v>0</v>
      </c>
      <c r="RM113" s="138">
        <f t="shared" si="196"/>
        <v>0</v>
      </c>
      <c r="RN113" s="138">
        <f t="shared" si="196"/>
        <v>0</v>
      </c>
      <c r="RO113" s="138">
        <f t="shared" si="196"/>
        <v>0</v>
      </c>
      <c r="RP113" s="138">
        <f t="shared" si="196"/>
        <v>0</v>
      </c>
      <c r="RQ113" s="138">
        <f t="shared" si="196"/>
        <v>0</v>
      </c>
      <c r="RR113" s="138">
        <f t="shared" si="196"/>
        <v>0</v>
      </c>
    </row>
    <row r="114" spans="1:486" s="9" customFormat="1" ht="43.2">
      <c r="A114" s="132" t="s">
        <v>260</v>
      </c>
      <c r="B114" s="140"/>
      <c r="E114" s="138">
        <f>SUM(E107:E108)</f>
        <v>88996133.220760718</v>
      </c>
      <c r="F114" s="138">
        <f t="shared" ref="F114:BQ114" ca="1" si="197">SUM(F107:F108)</f>
        <v>89284480.804968819</v>
      </c>
      <c r="G114" s="138">
        <f t="shared" ca="1" si="197"/>
        <v>89573762.635714501</v>
      </c>
      <c r="H114" s="138">
        <f t="shared" ca="1" si="197"/>
        <v>89863981.73995772</v>
      </c>
      <c r="I114" s="138">
        <f t="shared" ca="1" si="197"/>
        <v>90155141.15446578</v>
      </c>
      <c r="J114" s="138">
        <f t="shared" ca="1" si="197"/>
        <v>90447243.925845146</v>
      </c>
      <c r="K114" s="138">
        <f t="shared" ca="1" si="197"/>
        <v>90740293.110573247</v>
      </c>
      <c r="L114" s="138">
        <f t="shared" ca="1" si="197"/>
        <v>91034291.775030568</v>
      </c>
      <c r="M114" s="138">
        <f t="shared" ca="1" si="197"/>
        <v>91329242.995532602</v>
      </c>
      <c r="N114" s="138">
        <f t="shared" ca="1" si="197"/>
        <v>91625149.858362168</v>
      </c>
      <c r="O114" s="138">
        <f t="shared" ca="1" si="197"/>
        <v>91922015.459801584</v>
      </c>
      <c r="P114" s="138">
        <f t="shared" ca="1" si="197"/>
        <v>92219842.906165168</v>
      </c>
      <c r="Q114" s="138">
        <f t="shared" ca="1" si="197"/>
        <v>92518635.313831717</v>
      </c>
      <c r="R114" s="138">
        <f t="shared" ca="1" si="197"/>
        <v>92818395.809277043</v>
      </c>
      <c r="S114" s="138">
        <f t="shared" ca="1" si="197"/>
        <v>93119127.529106781</v>
      </c>
      <c r="T114" s="138">
        <f t="shared" ca="1" si="197"/>
        <v>93420833.620089188</v>
      </c>
      <c r="U114" s="138">
        <f t="shared" ca="1" si="197"/>
        <v>93723517.239187986</v>
      </c>
      <c r="V114" s="138">
        <f t="shared" ca="1" si="197"/>
        <v>94027181.553595543</v>
      </c>
      <c r="W114" s="138">
        <f t="shared" ca="1" si="197"/>
        <v>94331829.740765885</v>
      </c>
      <c r="X114" s="138">
        <f t="shared" ca="1" si="197"/>
        <v>94637464.988448039</v>
      </c>
      <c r="Y114" s="138">
        <f t="shared" ca="1" si="197"/>
        <v>94944090.494719267</v>
      </c>
      <c r="Z114" s="138">
        <f t="shared" ca="1" si="197"/>
        <v>95251709.468018681</v>
      </c>
      <c r="AA114" s="138">
        <f t="shared" ca="1" si="197"/>
        <v>95560325.127180696</v>
      </c>
      <c r="AB114" s="138">
        <f t="shared" ca="1" si="197"/>
        <v>95869940.701468766</v>
      </c>
      <c r="AC114" s="138">
        <f t="shared" ca="1" si="197"/>
        <v>96180559.430609167</v>
      </c>
      <c r="AD114" s="138">
        <f t="shared" ca="1" si="197"/>
        <v>96492184.564824894</v>
      </c>
      <c r="AE114" s="138">
        <f t="shared" ca="1" si="197"/>
        <v>96804819.364869669</v>
      </c>
      <c r="AF114" s="138">
        <f t="shared" ca="1" si="197"/>
        <v>97118467.102062032</v>
      </c>
      <c r="AG114" s="138">
        <f t="shared" ca="1" si="197"/>
        <v>97433131.058319643</v>
      </c>
      <c r="AH114" s="138">
        <f t="shared" ca="1" si="197"/>
        <v>97748814.526193544</v>
      </c>
      <c r="AI114" s="138">
        <f t="shared" ca="1" si="197"/>
        <v>98065520.808902681</v>
      </c>
      <c r="AJ114" s="138">
        <f t="shared" ca="1" si="197"/>
        <v>98383253.2203684</v>
      </c>
      <c r="AK114" s="138">
        <f t="shared" ca="1" si="197"/>
        <v>98702015.085249171</v>
      </c>
      <c r="AL114" s="138">
        <f t="shared" ca="1" si="197"/>
        <v>99021809.738975361</v>
      </c>
      <c r="AM114" s="138">
        <f t="shared" ca="1" si="197"/>
        <v>99342640.527784154</v>
      </c>
      <c r="AN114" s="138">
        <f t="shared" ca="1" si="197"/>
        <v>99664510.808754489</v>
      </c>
      <c r="AO114" s="138">
        <f t="shared" ca="1" si="197"/>
        <v>99987423.949842319</v>
      </c>
      <c r="AP114" s="138">
        <f t="shared" ca="1" si="197"/>
        <v>100311383.32991572</v>
      </c>
      <c r="AQ114" s="138">
        <f t="shared" ca="1" si="197"/>
        <v>100636392.33879036</v>
      </c>
      <c r="AR114" s="138">
        <f t="shared" ca="1" si="197"/>
        <v>100962454.37726484</v>
      </c>
      <c r="AS114" s="138">
        <f t="shared" ca="1" si="197"/>
        <v>101289572.85715644</v>
      </c>
      <c r="AT114" s="138">
        <f t="shared" ca="1" si="197"/>
        <v>101617751.20133665</v>
      </c>
      <c r="AU114" s="138">
        <f t="shared" ca="1" si="197"/>
        <v>101946992.84376715</v>
      </c>
      <c r="AV114" s="138">
        <f t="shared" ca="1" si="197"/>
        <v>102277301.22953558</v>
      </c>
      <c r="AW114" s="138">
        <f t="shared" ca="1" si="197"/>
        <v>102608679.8148917</v>
      </c>
      <c r="AX114" s="138">
        <f t="shared" ca="1" si="197"/>
        <v>102941132.06728354</v>
      </c>
      <c r="AY114" s="138">
        <f t="shared" ca="1" si="197"/>
        <v>103274661.46539366</v>
      </c>
      <c r="AZ114" s="138">
        <f t="shared" ca="1" si="197"/>
        <v>103609271.49917555</v>
      </c>
      <c r="BA114" s="138">
        <f t="shared" ca="1" si="197"/>
        <v>103944965.66989015</v>
      </c>
      <c r="BB114" s="138">
        <f t="shared" ca="1" si="197"/>
        <v>104281747.49014249</v>
      </c>
      <c r="BC114" s="138">
        <f t="shared" ca="1" si="197"/>
        <v>104619620.48391844</v>
      </c>
      <c r="BD114" s="138">
        <f t="shared" ca="1" si="197"/>
        <v>104958588.18662162</v>
      </c>
      <c r="BE114" s="138">
        <f t="shared" ca="1" si="197"/>
        <v>105298654.14511029</v>
      </c>
      <c r="BF114" s="138">
        <f t="shared" ca="1" si="197"/>
        <v>105639821.91773465</v>
      </c>
      <c r="BG114" s="138">
        <f t="shared" ca="1" si="197"/>
        <v>105982095.07437386</v>
      </c>
      <c r="BH114" s="138">
        <f t="shared" ca="1" si="197"/>
        <v>106325477.19647352</v>
      </c>
      <c r="BI114" s="138">
        <f t="shared" ca="1" si="197"/>
        <v>106669971.87708315</v>
      </c>
      <c r="BJ114" s="138">
        <f t="shared" ca="1" si="197"/>
        <v>107015582.7208937</v>
      </c>
      <c r="BK114" s="138">
        <f t="shared" ca="1" si="197"/>
        <v>107362313.34427537</v>
      </c>
      <c r="BL114" s="138">
        <f t="shared" ca="1" si="197"/>
        <v>107710167.37531537</v>
      </c>
      <c r="BM114" s="138">
        <f t="shared" ca="1" si="197"/>
        <v>72129174.722812787</v>
      </c>
      <c r="BN114" s="138">
        <f t="shared" ca="1" si="197"/>
        <v>72362873.340152219</v>
      </c>
      <c r="BO114" s="138">
        <f t="shared" ca="1" si="197"/>
        <v>72597329.141307428</v>
      </c>
      <c r="BP114" s="138">
        <f t="shared" ca="1" si="197"/>
        <v>72832544.57955496</v>
      </c>
      <c r="BQ114" s="138">
        <f t="shared" ca="1" si="197"/>
        <v>73068522.116119936</v>
      </c>
      <c r="BR114" s="138">
        <f t="shared" ref="BR114:EC114" ca="1" si="198">SUM(BR107:BR108)</f>
        <v>73305264.22020188</v>
      </c>
      <c r="BS114" s="138">
        <f t="shared" ca="1" si="198"/>
        <v>73542773.369000494</v>
      </c>
      <c r="BT114" s="138">
        <f t="shared" ca="1" si="198"/>
        <v>73781052.047741666</v>
      </c>
      <c r="BU114" s="138">
        <f t="shared" ca="1" si="198"/>
        <v>74020102.749703348</v>
      </c>
      <c r="BV114" s="138">
        <f t="shared" ca="1" si="198"/>
        <v>74259927.976241782</v>
      </c>
      <c r="BW114" s="138">
        <f t="shared" ca="1" si="198"/>
        <v>74500530.236817554</v>
      </c>
      <c r="BX114" s="138">
        <f t="shared" ca="1" si="198"/>
        <v>74741912.049021915</v>
      </c>
      <c r="BY114" s="138">
        <f t="shared" ca="1" si="198"/>
        <v>74984075.938603163</v>
      </c>
      <c r="BZ114" s="138">
        <f t="shared" ca="1" si="198"/>
        <v>75227024.439492956</v>
      </c>
      <c r="CA114" s="138">
        <f t="shared" ca="1" si="198"/>
        <v>75470760.09383297</v>
      </c>
      <c r="CB114" s="138">
        <f t="shared" ca="1" si="198"/>
        <v>75715285.452001333</v>
      </c>
      <c r="CC114" s="138">
        <f t="shared" ca="1" si="198"/>
        <v>75960603.072639465</v>
      </c>
      <c r="CD114" s="138">
        <f t="shared" ca="1" si="198"/>
        <v>76206715.522678778</v>
      </c>
      <c r="CE114" s="138">
        <f t="shared" ca="1" si="198"/>
        <v>76453625.377367526</v>
      </c>
      <c r="CF114" s="138">
        <f t="shared" ca="1" si="198"/>
        <v>76701335.220297784</v>
      </c>
      <c r="CG114" s="138">
        <f t="shared" ca="1" si="198"/>
        <v>76949847.643432468</v>
      </c>
      <c r="CH114" s="138">
        <f t="shared" ca="1" si="198"/>
        <v>77199165.247132465</v>
      </c>
      <c r="CI114" s="138">
        <f t="shared" ca="1" si="198"/>
        <v>77449290.640183806</v>
      </c>
      <c r="CJ114" s="138">
        <f t="shared" ca="1" si="198"/>
        <v>77700226.439825028</v>
      </c>
      <c r="CK114" s="138">
        <f t="shared" ca="1" si="198"/>
        <v>77951975.271774501</v>
      </c>
      <c r="CL114" s="138">
        <f t="shared" ca="1" si="198"/>
        <v>78204539.770257935</v>
      </c>
      <c r="CM114" s="138">
        <f t="shared" ca="1" si="198"/>
        <v>78457922.578035921</v>
      </c>
      <c r="CN114" s="138">
        <f t="shared" ca="1" si="198"/>
        <v>78712126.346431613</v>
      </c>
      <c r="CO114" s="138">
        <f t="shared" ca="1" si="198"/>
        <v>78967153.735358462</v>
      </c>
      <c r="CP114" s="138">
        <f t="shared" ca="1" si="198"/>
        <v>79223007.413348019</v>
      </c>
      <c r="CQ114" s="138">
        <f t="shared" ca="1" si="198"/>
        <v>79479690.057577908</v>
      </c>
      <c r="CR114" s="138">
        <f t="shared" ca="1" si="198"/>
        <v>79737204.353899777</v>
      </c>
      <c r="CS114" s="138">
        <f t="shared" ca="1" si="198"/>
        <v>79995552.996867463</v>
      </c>
      <c r="CT114" s="138">
        <f t="shared" ca="1" si="198"/>
        <v>80254738.689765155</v>
      </c>
      <c r="CU114" s="138">
        <f t="shared" ca="1" si="198"/>
        <v>80514764.144635677</v>
      </c>
      <c r="CV114" s="138">
        <f t="shared" ca="1" si="198"/>
        <v>80775632.082308888</v>
      </c>
      <c r="CW114" s="138">
        <f t="shared" ca="1" si="198"/>
        <v>81037345.232430145</v>
      </c>
      <c r="CX114" s="138">
        <f t="shared" ca="1" si="198"/>
        <v>81299906.333488852</v>
      </c>
      <c r="CY114" s="138">
        <f t="shared" ca="1" si="198"/>
        <v>81563318.132847086</v>
      </c>
      <c r="CZ114" s="138">
        <f t="shared" ca="1" si="198"/>
        <v>81827583.386768445</v>
      </c>
      <c r="DA114" s="138">
        <f t="shared" ca="1" si="198"/>
        <v>82092704.860446781</v>
      </c>
      <c r="DB114" s="138">
        <f t="shared" ca="1" si="198"/>
        <v>82358685.328035191</v>
      </c>
      <c r="DC114" s="138">
        <f t="shared" ca="1" si="198"/>
        <v>82625527.572675034</v>
      </c>
      <c r="DD114" s="138">
        <f t="shared" ca="1" si="198"/>
        <v>82893234.386525035</v>
      </c>
      <c r="DE114" s="138">
        <f t="shared" ca="1" si="198"/>
        <v>83161808.570790544</v>
      </c>
      <c r="DF114" s="138">
        <f t="shared" ca="1" si="198"/>
        <v>83431252.935752809</v>
      </c>
      <c r="DG114" s="138">
        <f t="shared" ca="1" si="198"/>
        <v>83701570.300798371</v>
      </c>
      <c r="DH114" s="138">
        <f t="shared" ca="1" si="198"/>
        <v>83972763.494448602</v>
      </c>
      <c r="DI114" s="138">
        <f t="shared" ca="1" si="198"/>
        <v>84244835.35438931</v>
      </c>
      <c r="DJ114" s="138">
        <f t="shared" ca="1" si="198"/>
        <v>84517788.727500364</v>
      </c>
      <c r="DK114" s="138">
        <f t="shared" ca="1" si="198"/>
        <v>84791626.469885558</v>
      </c>
      <c r="DL114" s="138">
        <f t="shared" ca="1" si="198"/>
        <v>85066351.446902469</v>
      </c>
      <c r="DM114" s="138">
        <f t="shared" ca="1" si="198"/>
        <v>85341966.533192411</v>
      </c>
      <c r="DN114" s="138">
        <f t="shared" ca="1" si="198"/>
        <v>85618474.612710565</v>
      </c>
      <c r="DO114" s="138">
        <f t="shared" ca="1" si="198"/>
        <v>85895878.578756124</v>
      </c>
      <c r="DP114" s="138">
        <f t="shared" ca="1" si="198"/>
        <v>86174181.334002569</v>
      </c>
      <c r="DQ114" s="138">
        <f t="shared" ca="1" si="198"/>
        <v>86453385.790528044</v>
      </c>
      <c r="DR114" s="138">
        <f t="shared" ca="1" si="198"/>
        <v>86733494.869845822</v>
      </c>
      <c r="DS114" s="138">
        <f t="shared" ca="1" si="198"/>
        <v>87014511.502934903</v>
      </c>
      <c r="DT114" s="138">
        <f t="shared" ca="1" si="198"/>
        <v>87296438.63027066</v>
      </c>
      <c r="DU114" s="138">
        <f t="shared" ca="1" si="198"/>
        <v>87579279.2018556</v>
      </c>
      <c r="DV114" s="138">
        <f t="shared" ca="1" si="198"/>
        <v>87863036.177250251</v>
      </c>
      <c r="DW114" s="138">
        <f t="shared" ca="1" si="198"/>
        <v>88147712.525604114</v>
      </c>
      <c r="DX114" s="138">
        <f t="shared" ca="1" si="198"/>
        <v>88433311.225686714</v>
      </c>
      <c r="DY114" s="138">
        <f t="shared" ca="1" si="198"/>
        <v>88719835.265918866</v>
      </c>
      <c r="DZ114" s="138">
        <f t="shared" ca="1" si="198"/>
        <v>89007287.644403785</v>
      </c>
      <c r="EA114" s="138">
        <f t="shared" ca="1" si="198"/>
        <v>89295671.368958592</v>
      </c>
      <c r="EB114" s="138">
        <f t="shared" ca="1" si="198"/>
        <v>89584989.457145751</v>
      </c>
      <c r="EC114" s="138">
        <f t="shared" ca="1" si="198"/>
        <v>89875244.936304599</v>
      </c>
      <c r="ED114" s="138">
        <f t="shared" ref="ED114:GO114" ca="1" si="199">SUM(ED107:ED108)</f>
        <v>90166440.843583077</v>
      </c>
      <c r="EE114" s="138">
        <f t="shared" ca="1" si="199"/>
        <v>90458580.225969464</v>
      </c>
      <c r="EF114" s="138">
        <f t="shared" ca="1" si="199"/>
        <v>90751666.140324309</v>
      </c>
      <c r="EG114" s="138">
        <f t="shared" ca="1" si="199"/>
        <v>91045701.653412417</v>
      </c>
      <c r="EH114" s="138">
        <f t="shared" ca="1" si="199"/>
        <v>91340689.841934845</v>
      </c>
      <c r="EI114" s="138">
        <f t="shared" ca="1" si="199"/>
        <v>91636633.792561233</v>
      </c>
      <c r="EJ114" s="138">
        <f t="shared" ca="1" si="199"/>
        <v>91933536.60196197</v>
      </c>
      <c r="EK114" s="138">
        <f t="shared" ca="1" si="199"/>
        <v>92231401.37684074</v>
      </c>
      <c r="EL114" s="138">
        <f t="shared" ca="1" si="199"/>
        <v>92530231.233966902</v>
      </c>
      <c r="EM114" s="138">
        <f t="shared" ca="1" si="199"/>
        <v>92830029.300208136</v>
      </c>
      <c r="EN114" s="138">
        <f t="shared" ca="1" si="199"/>
        <v>93130798.712563217</v>
      </c>
      <c r="EO114" s="138">
        <f t="shared" ca="1" si="199"/>
        <v>93432542.618194759</v>
      </c>
      <c r="EP114" s="138">
        <f t="shared" ca="1" si="199"/>
        <v>93735264.174462244</v>
      </c>
      <c r="EQ114" s="138">
        <f t="shared" ca="1" si="199"/>
        <v>94038966.548954964</v>
      </c>
      <c r="ER114" s="138">
        <f t="shared" ca="1" si="199"/>
        <v>94343652.919525191</v>
      </c>
      <c r="ES114" s="138">
        <f t="shared" ca="1" si="199"/>
        <v>94649326.474321455</v>
      </c>
      <c r="ET114" s="138">
        <f t="shared" ca="1" si="199"/>
        <v>94955990.411821932</v>
      </c>
      <c r="EU114" s="138">
        <f t="shared" ca="1" si="199"/>
        <v>95263647.940867797</v>
      </c>
      <c r="EV114" s="138">
        <f t="shared" ca="1" si="199"/>
        <v>95572302.280696943</v>
      </c>
      <c r="EW114" s="138">
        <f t="shared" ca="1" si="199"/>
        <v>95881956.660977557</v>
      </c>
      <c r="EX114" s="138">
        <f t="shared" ca="1" si="199"/>
        <v>96192614.32184197</v>
      </c>
      <c r="EY114" s="138">
        <f t="shared" ca="1" si="199"/>
        <v>96504278.513920531</v>
      </c>
      <c r="EZ114" s="138">
        <f t="shared" ca="1" si="199"/>
        <v>96816952.498375669</v>
      </c>
      <c r="FA114" s="138">
        <f t="shared" ca="1" si="199"/>
        <v>97130639.546935946</v>
      </c>
      <c r="FB114" s="138">
        <f t="shared" ca="1" si="199"/>
        <v>97445342.941930339</v>
      </c>
      <c r="FC114" s="138">
        <f t="shared" ca="1" si="199"/>
        <v>97761065.976322591</v>
      </c>
      <c r="FD114" s="138">
        <f t="shared" ca="1" si="199"/>
        <v>98077811.953745633</v>
      </c>
      <c r="FE114" s="138">
        <f t="shared" ca="1" si="199"/>
        <v>98395584.188536182</v>
      </c>
      <c r="FF114" s="138">
        <f t="shared" ca="1" si="199"/>
        <v>98714386.005769402</v>
      </c>
      <c r="FG114" s="138">
        <f t="shared" ca="1" si="199"/>
        <v>99034220.741293728</v>
      </c>
      <c r="FH114" s="138">
        <f t="shared" ca="1" si="199"/>
        <v>99355091.741765708</v>
      </c>
      <c r="FI114" s="138">
        <f t="shared" ca="1" si="199"/>
        <v>99677002.364685103</v>
      </c>
      <c r="FJ114" s="138">
        <f t="shared" ca="1" si="199"/>
        <v>99999955.978429943</v>
      </c>
      <c r="FK114" s="138">
        <f t="shared" ca="1" si="199"/>
        <v>100323955.96229184</v>
      </c>
      <c r="FL114" s="138">
        <f t="shared" ca="1" si="199"/>
        <v>100649005.70651127</v>
      </c>
      <c r="FM114" s="138">
        <f t="shared" ca="1" si="199"/>
        <v>100975108.61231315</v>
      </c>
      <c r="FN114" s="138">
        <f t="shared" ca="1" si="199"/>
        <v>101302268.09194231</v>
      </c>
      <c r="FO114" s="138">
        <f t="shared" ca="1" si="199"/>
        <v>101630487.5686993</v>
      </c>
      <c r="FP114" s="138">
        <f t="shared" ca="1" si="199"/>
        <v>101959770.47697614</v>
      </c>
      <c r="FQ114" s="138">
        <f t="shared" ca="1" si="199"/>
        <v>102290120.26229233</v>
      </c>
      <c r="FR114" s="138">
        <f t="shared" ca="1" si="199"/>
        <v>102621540.38133079</v>
      </c>
      <c r="FS114" s="138">
        <f t="shared" ca="1" si="199"/>
        <v>102954034.30197416</v>
      </c>
      <c r="FT114" s="138">
        <f t="shared" ca="1" si="199"/>
        <v>103287605.50334102</v>
      </c>
      <c r="FU114" s="138">
        <f t="shared" ca="1" si="199"/>
        <v>103622257.47582223</v>
      </c>
      <c r="FV114" s="138">
        <f t="shared" ca="1" si="199"/>
        <v>103957993.72111759</v>
      </c>
      <c r="FW114" s="138">
        <f t="shared" ca="1" si="199"/>
        <v>104294817.75227237</v>
      </c>
      <c r="FX114" s="138">
        <f t="shared" ca="1" si="199"/>
        <v>104632733.09371415</v>
      </c>
      <c r="FY114" s="138">
        <f t="shared" ca="1" si="199"/>
        <v>104971743.28128965</v>
      </c>
      <c r="FZ114" s="138">
        <f t="shared" ca="1" si="199"/>
        <v>105311851.86230171</v>
      </c>
      <c r="GA114" s="138">
        <f t="shared" ca="1" si="199"/>
        <v>105653062.39554647</v>
      </c>
      <c r="GB114" s="138">
        <f t="shared" ca="1" si="199"/>
        <v>105995378.45135054</v>
      </c>
      <c r="GC114" s="138">
        <f t="shared" ca="1" si="199"/>
        <v>106338803.6116084</v>
      </c>
      <c r="GD114" s="138">
        <f t="shared" ca="1" si="199"/>
        <v>106683341.4698199</v>
      </c>
      <c r="GE114" s="138">
        <f t="shared" ca="1" si="199"/>
        <v>107028995.63112783</v>
      </c>
      <c r="GF114" s="138">
        <f t="shared" ca="1" si="199"/>
        <v>107375769.71235561</v>
      </c>
      <c r="GG114" s="138">
        <f t="shared" ca="1" si="199"/>
        <v>107723667.34204523</v>
      </c>
      <c r="GH114" s="138">
        <f t="shared" ca="1" si="199"/>
        <v>108072692.16049509</v>
      </c>
      <c r="GI114" s="138">
        <f t="shared" ca="1" si="199"/>
        <v>108422847.81979822</v>
      </c>
      <c r="GJ114" s="138">
        <f t="shared" ca="1" si="199"/>
        <v>108774137.98388042</v>
      </c>
      <c r="GK114" s="138">
        <f t="shared" ca="1" si="199"/>
        <v>109126566.32853858</v>
      </c>
      <c r="GL114" s="138">
        <f t="shared" ca="1" si="199"/>
        <v>109480136.54147924</v>
      </c>
      <c r="GM114" s="138">
        <f t="shared" ca="1" si="199"/>
        <v>109834852.32235707</v>
      </c>
      <c r="GN114" s="138">
        <f t="shared" ca="1" si="199"/>
        <v>110190717.38281363</v>
      </c>
      <c r="GO114" s="138">
        <f t="shared" ca="1" si="199"/>
        <v>110547735.44651619</v>
      </c>
      <c r="GP114" s="138">
        <f t="shared" ref="GP114:JA114" ca="1" si="200">SUM(GP107:GP108)</f>
        <v>110905910.24919677</v>
      </c>
      <c r="GQ114" s="138">
        <f t="shared" ca="1" si="200"/>
        <v>111265245.53869109</v>
      </c>
      <c r="GR114" s="138">
        <f t="shared" ca="1" si="200"/>
        <v>111625745.07497789</v>
      </c>
      <c r="GS114" s="138">
        <f t="shared" ca="1" si="200"/>
        <v>111987412.63021827</v>
      </c>
      <c r="GT114" s="138">
        <f t="shared" ca="1" si="200"/>
        <v>112350251.9887951</v>
      </c>
      <c r="GU114" s="138">
        <f t="shared" ca="1" si="200"/>
        <v>112714266.94735271</v>
      </c>
      <c r="GV114" s="138">
        <f t="shared" ca="1" si="200"/>
        <v>113079461.31483646</v>
      </c>
      <c r="GW114" s="138">
        <f t="shared" ca="1" si="200"/>
        <v>113445838.91253282</v>
      </c>
      <c r="GX114" s="138">
        <f t="shared" ca="1" si="200"/>
        <v>113813403.57410914</v>
      </c>
      <c r="GY114" s="138">
        <f t="shared" ca="1" si="200"/>
        <v>114182159.1456539</v>
      </c>
      <c r="GZ114" s="138">
        <f t="shared" ca="1" si="200"/>
        <v>114552109.48571694</v>
      </c>
      <c r="HA114" s="138">
        <f t="shared" ca="1" si="200"/>
        <v>114923258.46534972</v>
      </c>
      <c r="HB114" s="138">
        <f t="shared" ca="1" si="200"/>
        <v>115295609.96814598</v>
      </c>
      <c r="HC114" s="138">
        <f t="shared" ca="1" si="200"/>
        <v>115669167.8902823</v>
      </c>
      <c r="HD114" s="138">
        <f t="shared" ca="1" si="200"/>
        <v>116043936.14055885</v>
      </c>
      <c r="HE114" s="138">
        <f t="shared" ca="1" si="200"/>
        <v>116419918.64044036</v>
      </c>
      <c r="HF114" s="138">
        <f t="shared" ca="1" si="200"/>
        <v>116797119.32409708</v>
      </c>
      <c r="HG114" s="138">
        <f t="shared" ca="1" si="200"/>
        <v>117175542.13844596</v>
      </c>
      <c r="HH114" s="138">
        <f t="shared" ca="1" si="200"/>
        <v>117555191.043192</v>
      </c>
      <c r="HI114" s="138">
        <f t="shared" ca="1" si="200"/>
        <v>117936070.01086965</v>
      </c>
      <c r="HJ114" s="138">
        <f t="shared" ca="1" si="200"/>
        <v>118318183.02688436</v>
      </c>
      <c r="HK114" s="138">
        <f t="shared" ca="1" si="200"/>
        <v>118701534.08955429</v>
      </c>
      <c r="HL114" s="138">
        <f t="shared" ca="1" si="200"/>
        <v>119086127.21015219</v>
      </c>
      <c r="HM114" s="138">
        <f t="shared" ca="1" si="200"/>
        <v>119471966.4129473</v>
      </c>
      <c r="HN114" s="138">
        <f t="shared" ca="1" si="200"/>
        <v>119859055.73524754</v>
      </c>
      <c r="HO114" s="138">
        <f t="shared" ca="1" si="200"/>
        <v>120247399.22744165</v>
      </c>
      <c r="HP114" s="138">
        <f t="shared" ca="1" si="200"/>
        <v>120637000.9530417</v>
      </c>
      <c r="HQ114" s="138">
        <f t="shared" ca="1" si="200"/>
        <v>121027864.9887255</v>
      </c>
      <c r="HR114" s="138">
        <f t="shared" ca="1" si="200"/>
        <v>121419995.42437932</v>
      </c>
      <c r="HS114" s="138">
        <f t="shared" ca="1" si="200"/>
        <v>121813396.36314067</v>
      </c>
      <c r="HT114" s="138">
        <f t="shared" ca="1" si="200"/>
        <v>122208071.92144124</v>
      </c>
      <c r="HU114" s="138">
        <f t="shared" ca="1" si="200"/>
        <v>122604026.22904994</v>
      </c>
      <c r="HV114" s="138">
        <f t="shared" ca="1" si="200"/>
        <v>123001263.42911614</v>
      </c>
      <c r="HW114" s="138">
        <f t="shared" ca="1" si="200"/>
        <v>123399787.67821305</v>
      </c>
      <c r="HX114" s="138">
        <f t="shared" ca="1" si="200"/>
        <v>123799603.1463811</v>
      </c>
      <c r="HY114" s="138">
        <f t="shared" ca="1" si="200"/>
        <v>124200714.01717176</v>
      </c>
      <c r="HZ114" s="138">
        <f t="shared" ca="1" si="200"/>
        <v>124603124.48769115</v>
      </c>
      <c r="IA114" s="138">
        <f t="shared" ca="1" si="200"/>
        <v>125006838.76864403</v>
      </c>
      <c r="IB114" s="138">
        <f t="shared" ca="1" si="200"/>
        <v>125411861.08437787</v>
      </c>
      <c r="IC114" s="138">
        <f t="shared" ca="1" si="200"/>
        <v>125818195.67292701</v>
      </c>
      <c r="ID114" s="138">
        <f t="shared" ca="1" si="200"/>
        <v>126225846.78605704</v>
      </c>
      <c r="IE114" s="138">
        <f t="shared" ca="1" si="200"/>
        <v>126634818.68930924</v>
      </c>
      <c r="IF114" s="138">
        <f t="shared" ca="1" si="200"/>
        <v>127045115.66204529</v>
      </c>
      <c r="IG114" s="138">
        <f t="shared" ca="1" si="200"/>
        <v>127456741.997492</v>
      </c>
      <c r="IH114" s="138">
        <f t="shared" ca="1" si="200"/>
        <v>127869702.00278625</v>
      </c>
      <c r="II114" s="138">
        <f t="shared" ca="1" si="200"/>
        <v>128283999.99902</v>
      </c>
      <c r="IJ114" s="138">
        <f t="shared" ca="1" si="200"/>
        <v>128699640.32128559</v>
      </c>
      <c r="IK114" s="138">
        <f t="shared" ca="1" si="200"/>
        <v>0</v>
      </c>
      <c r="IL114" s="138">
        <f t="shared" ca="1" si="200"/>
        <v>0</v>
      </c>
      <c r="IM114" s="138">
        <f t="shared" ca="1" si="200"/>
        <v>0</v>
      </c>
      <c r="IN114" s="138">
        <f t="shared" ca="1" si="200"/>
        <v>0</v>
      </c>
      <c r="IO114" s="138">
        <f t="shared" ca="1" si="200"/>
        <v>0</v>
      </c>
      <c r="IP114" s="138">
        <f t="shared" ca="1" si="200"/>
        <v>0</v>
      </c>
      <c r="IQ114" s="138">
        <f t="shared" ca="1" si="200"/>
        <v>0</v>
      </c>
      <c r="IR114" s="138">
        <f t="shared" ca="1" si="200"/>
        <v>0</v>
      </c>
      <c r="IS114" s="138">
        <f t="shared" ca="1" si="200"/>
        <v>0</v>
      </c>
      <c r="IT114" s="138">
        <f t="shared" ca="1" si="200"/>
        <v>0</v>
      </c>
      <c r="IU114" s="138">
        <f t="shared" ca="1" si="200"/>
        <v>0</v>
      </c>
      <c r="IV114" s="138">
        <f t="shared" ca="1" si="200"/>
        <v>0</v>
      </c>
      <c r="IW114" s="138">
        <f t="shared" ca="1" si="200"/>
        <v>0</v>
      </c>
      <c r="IX114" s="138">
        <f t="shared" ca="1" si="200"/>
        <v>0</v>
      </c>
      <c r="IY114" s="138">
        <f t="shared" ca="1" si="200"/>
        <v>0</v>
      </c>
      <c r="IZ114" s="138">
        <f t="shared" ca="1" si="200"/>
        <v>0</v>
      </c>
      <c r="JA114" s="138">
        <f t="shared" ca="1" si="200"/>
        <v>0</v>
      </c>
      <c r="JB114" s="138">
        <f t="shared" ref="JB114:LM114" ca="1" si="201">SUM(JB107:JB108)</f>
        <v>0</v>
      </c>
      <c r="JC114" s="138">
        <f t="shared" ca="1" si="201"/>
        <v>0</v>
      </c>
      <c r="JD114" s="138">
        <f t="shared" ca="1" si="201"/>
        <v>0</v>
      </c>
      <c r="JE114" s="138">
        <f t="shared" ca="1" si="201"/>
        <v>0</v>
      </c>
      <c r="JF114" s="138">
        <f t="shared" ca="1" si="201"/>
        <v>0</v>
      </c>
      <c r="JG114" s="138">
        <f t="shared" ca="1" si="201"/>
        <v>0</v>
      </c>
      <c r="JH114" s="138">
        <f t="shared" ca="1" si="201"/>
        <v>0</v>
      </c>
      <c r="JI114" s="138">
        <f t="shared" ca="1" si="201"/>
        <v>0</v>
      </c>
      <c r="JJ114" s="138">
        <f t="shared" ca="1" si="201"/>
        <v>0</v>
      </c>
      <c r="JK114" s="138">
        <f t="shared" ca="1" si="201"/>
        <v>0</v>
      </c>
      <c r="JL114" s="138">
        <f t="shared" ca="1" si="201"/>
        <v>0</v>
      </c>
      <c r="JM114" s="138">
        <f t="shared" ca="1" si="201"/>
        <v>0</v>
      </c>
      <c r="JN114" s="138">
        <f t="shared" ca="1" si="201"/>
        <v>0</v>
      </c>
      <c r="JO114" s="138">
        <f t="shared" ca="1" si="201"/>
        <v>0</v>
      </c>
      <c r="JP114" s="138">
        <f t="shared" ca="1" si="201"/>
        <v>0</v>
      </c>
      <c r="JQ114" s="138">
        <f t="shared" ca="1" si="201"/>
        <v>0</v>
      </c>
      <c r="JR114" s="138">
        <f t="shared" ca="1" si="201"/>
        <v>0</v>
      </c>
      <c r="JS114" s="138">
        <f t="shared" ca="1" si="201"/>
        <v>0</v>
      </c>
      <c r="JT114" s="138">
        <f t="shared" ca="1" si="201"/>
        <v>0</v>
      </c>
      <c r="JU114" s="138">
        <f t="shared" ca="1" si="201"/>
        <v>0</v>
      </c>
      <c r="JV114" s="138">
        <f t="shared" ca="1" si="201"/>
        <v>0</v>
      </c>
      <c r="JW114" s="138">
        <f t="shared" ca="1" si="201"/>
        <v>0</v>
      </c>
      <c r="JX114" s="138">
        <f t="shared" ca="1" si="201"/>
        <v>0</v>
      </c>
      <c r="JY114" s="138">
        <f t="shared" ca="1" si="201"/>
        <v>0</v>
      </c>
      <c r="JZ114" s="138">
        <f t="shared" ca="1" si="201"/>
        <v>0</v>
      </c>
      <c r="KA114" s="138">
        <f t="shared" ca="1" si="201"/>
        <v>0</v>
      </c>
      <c r="KB114" s="138">
        <f t="shared" ca="1" si="201"/>
        <v>0</v>
      </c>
      <c r="KC114" s="138">
        <f t="shared" ca="1" si="201"/>
        <v>0</v>
      </c>
      <c r="KD114" s="138">
        <f t="shared" ca="1" si="201"/>
        <v>0</v>
      </c>
      <c r="KE114" s="138">
        <f t="shared" ca="1" si="201"/>
        <v>0</v>
      </c>
      <c r="KF114" s="138">
        <f t="shared" ca="1" si="201"/>
        <v>0</v>
      </c>
      <c r="KG114" s="138">
        <f t="shared" ca="1" si="201"/>
        <v>0</v>
      </c>
      <c r="KH114" s="138">
        <f t="shared" ca="1" si="201"/>
        <v>0</v>
      </c>
      <c r="KI114" s="138">
        <f t="shared" ca="1" si="201"/>
        <v>0</v>
      </c>
      <c r="KJ114" s="138">
        <f t="shared" ca="1" si="201"/>
        <v>0</v>
      </c>
      <c r="KK114" s="138">
        <f t="shared" ca="1" si="201"/>
        <v>0</v>
      </c>
      <c r="KL114" s="138">
        <f t="shared" ca="1" si="201"/>
        <v>0</v>
      </c>
      <c r="KM114" s="138">
        <f t="shared" ca="1" si="201"/>
        <v>0</v>
      </c>
      <c r="KN114" s="138">
        <f t="shared" ca="1" si="201"/>
        <v>0</v>
      </c>
      <c r="KO114" s="138">
        <f t="shared" ca="1" si="201"/>
        <v>0</v>
      </c>
      <c r="KP114" s="138">
        <f t="shared" ca="1" si="201"/>
        <v>0</v>
      </c>
      <c r="KQ114" s="138">
        <f t="shared" ca="1" si="201"/>
        <v>0</v>
      </c>
      <c r="KR114" s="138">
        <f t="shared" ca="1" si="201"/>
        <v>0</v>
      </c>
      <c r="KS114" s="138">
        <f t="shared" ca="1" si="201"/>
        <v>0</v>
      </c>
      <c r="KT114" s="138">
        <f t="shared" ca="1" si="201"/>
        <v>0</v>
      </c>
      <c r="KU114" s="138">
        <f t="shared" ca="1" si="201"/>
        <v>0</v>
      </c>
      <c r="KV114" s="138">
        <f t="shared" ca="1" si="201"/>
        <v>0</v>
      </c>
      <c r="KW114" s="138">
        <f t="shared" ca="1" si="201"/>
        <v>0</v>
      </c>
      <c r="KX114" s="138">
        <f t="shared" ca="1" si="201"/>
        <v>0</v>
      </c>
      <c r="KY114" s="138">
        <f t="shared" ca="1" si="201"/>
        <v>0</v>
      </c>
      <c r="KZ114" s="138">
        <f t="shared" ca="1" si="201"/>
        <v>0</v>
      </c>
      <c r="LA114" s="138">
        <f t="shared" ca="1" si="201"/>
        <v>0</v>
      </c>
      <c r="LB114" s="138">
        <f t="shared" ca="1" si="201"/>
        <v>0</v>
      </c>
      <c r="LC114" s="138">
        <f t="shared" ca="1" si="201"/>
        <v>0</v>
      </c>
      <c r="LD114" s="138">
        <f t="shared" ca="1" si="201"/>
        <v>0</v>
      </c>
      <c r="LE114" s="138">
        <f t="shared" ca="1" si="201"/>
        <v>0</v>
      </c>
      <c r="LF114" s="138">
        <f t="shared" ca="1" si="201"/>
        <v>0</v>
      </c>
      <c r="LG114" s="138">
        <f t="shared" ca="1" si="201"/>
        <v>0</v>
      </c>
      <c r="LH114" s="138">
        <f t="shared" ca="1" si="201"/>
        <v>0</v>
      </c>
      <c r="LI114" s="138">
        <f t="shared" ca="1" si="201"/>
        <v>0</v>
      </c>
      <c r="LJ114" s="138">
        <f t="shared" ca="1" si="201"/>
        <v>0</v>
      </c>
      <c r="LK114" s="138">
        <f t="shared" ca="1" si="201"/>
        <v>0</v>
      </c>
      <c r="LL114" s="138">
        <f t="shared" ca="1" si="201"/>
        <v>0</v>
      </c>
      <c r="LM114" s="138">
        <f t="shared" ca="1" si="201"/>
        <v>0</v>
      </c>
      <c r="LN114" s="138">
        <f t="shared" ref="LN114:NY114" ca="1" si="202">SUM(LN107:LN108)</f>
        <v>0</v>
      </c>
      <c r="LO114" s="138">
        <f t="shared" ca="1" si="202"/>
        <v>0</v>
      </c>
      <c r="LP114" s="138">
        <f t="shared" ca="1" si="202"/>
        <v>0</v>
      </c>
      <c r="LQ114" s="138">
        <f t="shared" ca="1" si="202"/>
        <v>0</v>
      </c>
      <c r="LR114" s="138">
        <f t="shared" ca="1" si="202"/>
        <v>0</v>
      </c>
      <c r="LS114" s="138">
        <f t="shared" ca="1" si="202"/>
        <v>0</v>
      </c>
      <c r="LT114" s="138">
        <f t="shared" ca="1" si="202"/>
        <v>0</v>
      </c>
      <c r="LU114" s="138">
        <f t="shared" ca="1" si="202"/>
        <v>0</v>
      </c>
      <c r="LV114" s="138">
        <f t="shared" ca="1" si="202"/>
        <v>0</v>
      </c>
      <c r="LW114" s="138">
        <f t="shared" ca="1" si="202"/>
        <v>0</v>
      </c>
      <c r="LX114" s="138">
        <f t="shared" ca="1" si="202"/>
        <v>0</v>
      </c>
      <c r="LY114" s="138">
        <f t="shared" ca="1" si="202"/>
        <v>0</v>
      </c>
      <c r="LZ114" s="138">
        <f t="shared" ca="1" si="202"/>
        <v>0</v>
      </c>
      <c r="MA114" s="138">
        <f t="shared" ca="1" si="202"/>
        <v>0</v>
      </c>
      <c r="MB114" s="138">
        <f t="shared" ca="1" si="202"/>
        <v>0</v>
      </c>
      <c r="MC114" s="138">
        <f t="shared" ca="1" si="202"/>
        <v>0</v>
      </c>
      <c r="MD114" s="138">
        <f t="shared" ca="1" si="202"/>
        <v>0</v>
      </c>
      <c r="ME114" s="138">
        <f t="shared" ca="1" si="202"/>
        <v>0</v>
      </c>
      <c r="MF114" s="138">
        <f t="shared" ca="1" si="202"/>
        <v>0</v>
      </c>
      <c r="MG114" s="138">
        <f t="shared" ca="1" si="202"/>
        <v>0</v>
      </c>
      <c r="MH114" s="138">
        <f t="shared" ca="1" si="202"/>
        <v>0</v>
      </c>
      <c r="MI114" s="138">
        <f t="shared" ca="1" si="202"/>
        <v>0</v>
      </c>
      <c r="MJ114" s="138">
        <f t="shared" ca="1" si="202"/>
        <v>0</v>
      </c>
      <c r="MK114" s="138">
        <f t="shared" ca="1" si="202"/>
        <v>0</v>
      </c>
      <c r="ML114" s="138">
        <f t="shared" ca="1" si="202"/>
        <v>0</v>
      </c>
      <c r="MM114" s="138">
        <f t="shared" ca="1" si="202"/>
        <v>0</v>
      </c>
      <c r="MN114" s="138">
        <f t="shared" ca="1" si="202"/>
        <v>0</v>
      </c>
      <c r="MO114" s="138">
        <f t="shared" ca="1" si="202"/>
        <v>0</v>
      </c>
      <c r="MP114" s="138">
        <f t="shared" ca="1" si="202"/>
        <v>0</v>
      </c>
      <c r="MQ114" s="138">
        <f t="shared" ca="1" si="202"/>
        <v>0</v>
      </c>
      <c r="MR114" s="138">
        <f t="shared" ca="1" si="202"/>
        <v>0</v>
      </c>
      <c r="MS114" s="138">
        <f t="shared" ca="1" si="202"/>
        <v>0</v>
      </c>
      <c r="MT114" s="138">
        <f t="shared" ca="1" si="202"/>
        <v>0</v>
      </c>
      <c r="MU114" s="138">
        <f t="shared" ca="1" si="202"/>
        <v>0</v>
      </c>
      <c r="MV114" s="138">
        <f t="shared" ca="1" si="202"/>
        <v>0</v>
      </c>
      <c r="MW114" s="138">
        <f t="shared" ca="1" si="202"/>
        <v>0</v>
      </c>
      <c r="MX114" s="138">
        <f t="shared" ca="1" si="202"/>
        <v>0</v>
      </c>
      <c r="MY114" s="138">
        <f t="shared" ca="1" si="202"/>
        <v>0</v>
      </c>
      <c r="MZ114" s="138">
        <f t="shared" ca="1" si="202"/>
        <v>0</v>
      </c>
      <c r="NA114" s="138">
        <f t="shared" ca="1" si="202"/>
        <v>0</v>
      </c>
      <c r="NB114" s="138">
        <f t="shared" ca="1" si="202"/>
        <v>0</v>
      </c>
      <c r="NC114" s="138">
        <f t="shared" ca="1" si="202"/>
        <v>0</v>
      </c>
      <c r="ND114" s="138">
        <f t="shared" ca="1" si="202"/>
        <v>0</v>
      </c>
      <c r="NE114" s="138">
        <f t="shared" ca="1" si="202"/>
        <v>0</v>
      </c>
      <c r="NF114" s="138">
        <f t="shared" ca="1" si="202"/>
        <v>0</v>
      </c>
      <c r="NG114" s="138">
        <f t="shared" ca="1" si="202"/>
        <v>0</v>
      </c>
      <c r="NH114" s="138">
        <f t="shared" ca="1" si="202"/>
        <v>0</v>
      </c>
      <c r="NI114" s="138">
        <f t="shared" ca="1" si="202"/>
        <v>0</v>
      </c>
      <c r="NJ114" s="138">
        <f t="shared" ca="1" si="202"/>
        <v>0</v>
      </c>
      <c r="NK114" s="138">
        <f t="shared" ca="1" si="202"/>
        <v>0</v>
      </c>
      <c r="NL114" s="138">
        <f t="shared" ca="1" si="202"/>
        <v>0</v>
      </c>
      <c r="NM114" s="138">
        <f t="shared" ca="1" si="202"/>
        <v>0</v>
      </c>
      <c r="NN114" s="138">
        <f t="shared" ca="1" si="202"/>
        <v>0</v>
      </c>
      <c r="NO114" s="138">
        <f t="shared" ca="1" si="202"/>
        <v>0</v>
      </c>
      <c r="NP114" s="138">
        <f t="shared" ca="1" si="202"/>
        <v>0</v>
      </c>
      <c r="NQ114" s="138">
        <f t="shared" ca="1" si="202"/>
        <v>0</v>
      </c>
      <c r="NR114" s="138">
        <f t="shared" ca="1" si="202"/>
        <v>0</v>
      </c>
      <c r="NS114" s="138">
        <f t="shared" ca="1" si="202"/>
        <v>0</v>
      </c>
      <c r="NT114" s="138">
        <f t="shared" ca="1" si="202"/>
        <v>0</v>
      </c>
      <c r="NU114" s="138">
        <f t="shared" ca="1" si="202"/>
        <v>0</v>
      </c>
      <c r="NV114" s="138">
        <f t="shared" ca="1" si="202"/>
        <v>0</v>
      </c>
      <c r="NW114" s="138">
        <f t="shared" ca="1" si="202"/>
        <v>0</v>
      </c>
      <c r="NX114" s="138">
        <f t="shared" ca="1" si="202"/>
        <v>0</v>
      </c>
      <c r="NY114" s="138">
        <f t="shared" ca="1" si="202"/>
        <v>0</v>
      </c>
      <c r="NZ114" s="138">
        <f t="shared" ref="NZ114:QK114" ca="1" si="203">SUM(NZ107:NZ108)</f>
        <v>0</v>
      </c>
      <c r="OA114" s="138">
        <f t="shared" ca="1" si="203"/>
        <v>0</v>
      </c>
      <c r="OB114" s="138">
        <f t="shared" ca="1" si="203"/>
        <v>0</v>
      </c>
      <c r="OC114" s="138">
        <f t="shared" ca="1" si="203"/>
        <v>0</v>
      </c>
      <c r="OD114" s="138">
        <f t="shared" ca="1" si="203"/>
        <v>0</v>
      </c>
      <c r="OE114" s="138">
        <f t="shared" ca="1" si="203"/>
        <v>0</v>
      </c>
      <c r="OF114" s="138">
        <f t="shared" ca="1" si="203"/>
        <v>0</v>
      </c>
      <c r="OG114" s="138">
        <f t="shared" ca="1" si="203"/>
        <v>0</v>
      </c>
      <c r="OH114" s="138">
        <f t="shared" ca="1" si="203"/>
        <v>0</v>
      </c>
      <c r="OI114" s="138">
        <f t="shared" ca="1" si="203"/>
        <v>0</v>
      </c>
      <c r="OJ114" s="138">
        <f t="shared" ca="1" si="203"/>
        <v>0</v>
      </c>
      <c r="OK114" s="138">
        <f t="shared" ca="1" si="203"/>
        <v>0</v>
      </c>
      <c r="OL114" s="138">
        <f t="shared" ca="1" si="203"/>
        <v>0</v>
      </c>
      <c r="OM114" s="138">
        <f t="shared" ca="1" si="203"/>
        <v>0</v>
      </c>
      <c r="ON114" s="138">
        <f t="shared" ca="1" si="203"/>
        <v>0</v>
      </c>
      <c r="OO114" s="138">
        <f t="shared" ca="1" si="203"/>
        <v>0</v>
      </c>
      <c r="OP114" s="138">
        <f t="shared" ca="1" si="203"/>
        <v>0</v>
      </c>
      <c r="OQ114" s="138">
        <f t="shared" ca="1" si="203"/>
        <v>0</v>
      </c>
      <c r="OR114" s="138">
        <f t="shared" ca="1" si="203"/>
        <v>0</v>
      </c>
      <c r="OS114" s="138">
        <f t="shared" ca="1" si="203"/>
        <v>0</v>
      </c>
      <c r="OT114" s="138">
        <f t="shared" ca="1" si="203"/>
        <v>0</v>
      </c>
      <c r="OU114" s="138">
        <f t="shared" ca="1" si="203"/>
        <v>0</v>
      </c>
      <c r="OV114" s="138">
        <f t="shared" ca="1" si="203"/>
        <v>0</v>
      </c>
      <c r="OW114" s="138">
        <f t="shared" ca="1" si="203"/>
        <v>0</v>
      </c>
      <c r="OX114" s="138">
        <f t="shared" ca="1" si="203"/>
        <v>0</v>
      </c>
      <c r="OY114" s="138">
        <f t="shared" ca="1" si="203"/>
        <v>0</v>
      </c>
      <c r="OZ114" s="138">
        <f t="shared" ca="1" si="203"/>
        <v>0</v>
      </c>
      <c r="PA114" s="138">
        <f t="shared" ca="1" si="203"/>
        <v>0</v>
      </c>
      <c r="PB114" s="138">
        <f t="shared" ca="1" si="203"/>
        <v>0</v>
      </c>
      <c r="PC114" s="138">
        <f t="shared" ca="1" si="203"/>
        <v>0</v>
      </c>
      <c r="PD114" s="138">
        <f t="shared" ca="1" si="203"/>
        <v>0</v>
      </c>
      <c r="PE114" s="138">
        <f t="shared" ca="1" si="203"/>
        <v>0</v>
      </c>
      <c r="PF114" s="138">
        <f t="shared" ca="1" si="203"/>
        <v>0</v>
      </c>
      <c r="PG114" s="138">
        <f t="shared" ca="1" si="203"/>
        <v>0</v>
      </c>
      <c r="PH114" s="138">
        <f t="shared" ca="1" si="203"/>
        <v>0</v>
      </c>
      <c r="PI114" s="138">
        <f t="shared" ca="1" si="203"/>
        <v>0</v>
      </c>
      <c r="PJ114" s="138">
        <f t="shared" ca="1" si="203"/>
        <v>0</v>
      </c>
      <c r="PK114" s="138">
        <f t="shared" ca="1" si="203"/>
        <v>0</v>
      </c>
      <c r="PL114" s="138">
        <f t="shared" ca="1" si="203"/>
        <v>0</v>
      </c>
      <c r="PM114" s="138">
        <f t="shared" ca="1" si="203"/>
        <v>0</v>
      </c>
      <c r="PN114" s="138">
        <f t="shared" ca="1" si="203"/>
        <v>0</v>
      </c>
      <c r="PO114" s="138">
        <f t="shared" ca="1" si="203"/>
        <v>0</v>
      </c>
      <c r="PP114" s="138">
        <f t="shared" ca="1" si="203"/>
        <v>0</v>
      </c>
      <c r="PQ114" s="138">
        <f t="shared" ca="1" si="203"/>
        <v>0</v>
      </c>
      <c r="PR114" s="138">
        <f t="shared" ca="1" si="203"/>
        <v>0</v>
      </c>
      <c r="PS114" s="138">
        <f t="shared" ca="1" si="203"/>
        <v>0</v>
      </c>
      <c r="PT114" s="138">
        <f t="shared" ca="1" si="203"/>
        <v>0</v>
      </c>
      <c r="PU114" s="138">
        <f t="shared" ca="1" si="203"/>
        <v>0</v>
      </c>
      <c r="PV114" s="138">
        <f t="shared" ca="1" si="203"/>
        <v>0</v>
      </c>
      <c r="PW114" s="138">
        <f t="shared" ca="1" si="203"/>
        <v>0</v>
      </c>
      <c r="PX114" s="138">
        <f t="shared" ca="1" si="203"/>
        <v>0</v>
      </c>
      <c r="PY114" s="138">
        <f t="shared" ca="1" si="203"/>
        <v>0</v>
      </c>
      <c r="PZ114" s="138">
        <f t="shared" ca="1" si="203"/>
        <v>0</v>
      </c>
      <c r="QA114" s="138">
        <f t="shared" ca="1" si="203"/>
        <v>0</v>
      </c>
      <c r="QB114" s="138">
        <f t="shared" ca="1" si="203"/>
        <v>0</v>
      </c>
      <c r="QC114" s="138">
        <f t="shared" ca="1" si="203"/>
        <v>0</v>
      </c>
      <c r="QD114" s="138">
        <f t="shared" ca="1" si="203"/>
        <v>0</v>
      </c>
      <c r="QE114" s="138">
        <f t="shared" ca="1" si="203"/>
        <v>0</v>
      </c>
      <c r="QF114" s="138">
        <f t="shared" ca="1" si="203"/>
        <v>0</v>
      </c>
      <c r="QG114" s="138">
        <f t="shared" ca="1" si="203"/>
        <v>0</v>
      </c>
      <c r="QH114" s="138">
        <f t="shared" ca="1" si="203"/>
        <v>0</v>
      </c>
      <c r="QI114" s="138">
        <f t="shared" ca="1" si="203"/>
        <v>0</v>
      </c>
      <c r="QJ114" s="138">
        <f t="shared" ca="1" si="203"/>
        <v>0</v>
      </c>
      <c r="QK114" s="138">
        <f t="shared" ca="1" si="203"/>
        <v>0</v>
      </c>
      <c r="QL114" s="138">
        <f t="shared" ref="QL114:RR114" ca="1" si="204">SUM(QL107:QL108)</f>
        <v>0</v>
      </c>
      <c r="QM114" s="138">
        <f t="shared" ca="1" si="204"/>
        <v>0</v>
      </c>
      <c r="QN114" s="138">
        <f t="shared" ca="1" si="204"/>
        <v>0</v>
      </c>
      <c r="QO114" s="138">
        <f t="shared" ca="1" si="204"/>
        <v>0</v>
      </c>
      <c r="QP114" s="138">
        <f t="shared" ca="1" si="204"/>
        <v>0</v>
      </c>
      <c r="QQ114" s="138">
        <f t="shared" ca="1" si="204"/>
        <v>0</v>
      </c>
      <c r="QR114" s="138">
        <f t="shared" ca="1" si="204"/>
        <v>0</v>
      </c>
      <c r="QS114" s="138">
        <f t="shared" ca="1" si="204"/>
        <v>0</v>
      </c>
      <c r="QT114" s="138">
        <f t="shared" ca="1" si="204"/>
        <v>0</v>
      </c>
      <c r="QU114" s="138">
        <f t="shared" ca="1" si="204"/>
        <v>0</v>
      </c>
      <c r="QV114" s="138">
        <f t="shared" ca="1" si="204"/>
        <v>0</v>
      </c>
      <c r="QW114" s="138">
        <f t="shared" ca="1" si="204"/>
        <v>0</v>
      </c>
      <c r="QX114" s="138">
        <f t="shared" ca="1" si="204"/>
        <v>0</v>
      </c>
      <c r="QY114" s="138">
        <f t="shared" ca="1" si="204"/>
        <v>0</v>
      </c>
      <c r="QZ114" s="138">
        <f t="shared" ca="1" si="204"/>
        <v>0</v>
      </c>
      <c r="RA114" s="138">
        <f t="shared" ca="1" si="204"/>
        <v>0</v>
      </c>
      <c r="RB114" s="138">
        <f t="shared" ca="1" si="204"/>
        <v>0</v>
      </c>
      <c r="RC114" s="138">
        <f t="shared" ca="1" si="204"/>
        <v>0</v>
      </c>
      <c r="RD114" s="138">
        <f t="shared" ca="1" si="204"/>
        <v>0</v>
      </c>
      <c r="RE114" s="138">
        <f t="shared" ca="1" si="204"/>
        <v>0</v>
      </c>
      <c r="RF114" s="138">
        <f t="shared" ca="1" si="204"/>
        <v>0</v>
      </c>
      <c r="RG114" s="138">
        <f t="shared" ca="1" si="204"/>
        <v>0</v>
      </c>
      <c r="RH114" s="138">
        <f t="shared" ca="1" si="204"/>
        <v>0</v>
      </c>
      <c r="RI114" s="138">
        <f t="shared" ca="1" si="204"/>
        <v>0</v>
      </c>
      <c r="RJ114" s="138">
        <f t="shared" ca="1" si="204"/>
        <v>0</v>
      </c>
      <c r="RK114" s="138">
        <f t="shared" ca="1" si="204"/>
        <v>0</v>
      </c>
      <c r="RL114" s="138">
        <f t="shared" ca="1" si="204"/>
        <v>0</v>
      </c>
      <c r="RM114" s="138">
        <f t="shared" ca="1" si="204"/>
        <v>0</v>
      </c>
      <c r="RN114" s="138">
        <f t="shared" ca="1" si="204"/>
        <v>0</v>
      </c>
      <c r="RO114" s="138">
        <f t="shared" ca="1" si="204"/>
        <v>0</v>
      </c>
      <c r="RP114" s="138">
        <f t="shared" ca="1" si="204"/>
        <v>0</v>
      </c>
      <c r="RQ114" s="138">
        <f t="shared" ca="1" si="204"/>
        <v>0</v>
      </c>
      <c r="RR114" s="138">
        <f t="shared" ca="1" si="204"/>
        <v>0</v>
      </c>
    </row>
    <row r="115" spans="1:486" s="9" customFormat="1" ht="28.8">
      <c r="A115" s="129" t="s">
        <v>261</v>
      </c>
      <c r="B115" s="141"/>
      <c r="E115" s="138">
        <f>E113+E114</f>
        <v>111097171.54231954</v>
      </c>
      <c r="F115" s="138">
        <f t="shared" ref="F115:BQ115" ca="1" si="205">F113+F114</f>
        <v>111385519.12652764</v>
      </c>
      <c r="G115" s="138">
        <f t="shared" ca="1" si="205"/>
        <v>111674800.95727333</v>
      </c>
      <c r="H115" s="138">
        <f t="shared" ca="1" si="205"/>
        <v>111965020.06151655</v>
      </c>
      <c r="I115" s="138">
        <f t="shared" ca="1" si="205"/>
        <v>112256179.4760246</v>
      </c>
      <c r="J115" s="138">
        <f t="shared" ca="1" si="205"/>
        <v>112548282.24740398</v>
      </c>
      <c r="K115" s="138">
        <f t="shared" ca="1" si="205"/>
        <v>112841331.43213207</v>
      </c>
      <c r="L115" s="138">
        <f t="shared" ca="1" si="205"/>
        <v>113135330.09658939</v>
      </c>
      <c r="M115" s="138">
        <f t="shared" ca="1" si="205"/>
        <v>113430281.31709144</v>
      </c>
      <c r="N115" s="138">
        <f t="shared" ca="1" si="205"/>
        <v>113726188.179921</v>
      </c>
      <c r="O115" s="138">
        <f t="shared" ca="1" si="205"/>
        <v>114023053.78136042</v>
      </c>
      <c r="P115" s="138">
        <f t="shared" ca="1" si="205"/>
        <v>114320881.22772399</v>
      </c>
      <c r="Q115" s="138">
        <f t="shared" ca="1" si="205"/>
        <v>114619673.63539055</v>
      </c>
      <c r="R115" s="138">
        <f t="shared" ca="1" si="205"/>
        <v>114919434.13083586</v>
      </c>
      <c r="S115" s="138">
        <f t="shared" ca="1" si="205"/>
        <v>115220165.8506656</v>
      </c>
      <c r="T115" s="138">
        <f t="shared" ca="1" si="205"/>
        <v>115521871.94164801</v>
      </c>
      <c r="U115" s="138">
        <f t="shared" ca="1" si="205"/>
        <v>115824555.56074682</v>
      </c>
      <c r="V115" s="138">
        <f t="shared" ca="1" si="205"/>
        <v>116128219.87515438</v>
      </c>
      <c r="W115" s="138">
        <f t="shared" ca="1" si="205"/>
        <v>116432868.0623247</v>
      </c>
      <c r="X115" s="138">
        <f t="shared" ca="1" si="205"/>
        <v>116738503.31000686</v>
      </c>
      <c r="Y115" s="138">
        <f t="shared" ca="1" si="205"/>
        <v>117045128.8162781</v>
      </c>
      <c r="Z115" s="138">
        <f t="shared" ca="1" si="205"/>
        <v>117352747.78957751</v>
      </c>
      <c r="AA115" s="138">
        <f t="shared" ca="1" si="205"/>
        <v>117661363.44873953</v>
      </c>
      <c r="AB115" s="138">
        <f t="shared" ca="1" si="205"/>
        <v>117970979.0230276</v>
      </c>
      <c r="AC115" s="138">
        <f t="shared" ca="1" si="205"/>
        <v>118281597.752168</v>
      </c>
      <c r="AD115" s="138">
        <f t="shared" ca="1" si="205"/>
        <v>118593222.88638371</v>
      </c>
      <c r="AE115" s="138">
        <f t="shared" ca="1" si="205"/>
        <v>118905857.68642849</v>
      </c>
      <c r="AF115" s="138">
        <f t="shared" ca="1" si="205"/>
        <v>119219505.42362085</v>
      </c>
      <c r="AG115" s="138">
        <f t="shared" ca="1" si="205"/>
        <v>119534169.37987846</v>
      </c>
      <c r="AH115" s="138">
        <f t="shared" ca="1" si="205"/>
        <v>119849852.84775236</v>
      </c>
      <c r="AI115" s="138">
        <f t="shared" ca="1" si="205"/>
        <v>120166559.13046151</v>
      </c>
      <c r="AJ115" s="138">
        <f t="shared" ca="1" si="205"/>
        <v>120484291.54192722</v>
      </c>
      <c r="AK115" s="138">
        <f t="shared" ca="1" si="205"/>
        <v>120803053.40680799</v>
      </c>
      <c r="AL115" s="138">
        <f t="shared" ca="1" si="205"/>
        <v>121122848.06053418</v>
      </c>
      <c r="AM115" s="138">
        <f t="shared" ca="1" si="205"/>
        <v>121443678.84934297</v>
      </c>
      <c r="AN115" s="138">
        <f t="shared" ca="1" si="205"/>
        <v>121765549.13031331</v>
      </c>
      <c r="AO115" s="138">
        <f t="shared" ca="1" si="205"/>
        <v>122088462.27140114</v>
      </c>
      <c r="AP115" s="138">
        <f t="shared" ca="1" si="205"/>
        <v>122412421.65147454</v>
      </c>
      <c r="AQ115" s="138">
        <f t="shared" ca="1" si="205"/>
        <v>122737430.66034919</v>
      </c>
      <c r="AR115" s="138">
        <f t="shared" ca="1" si="205"/>
        <v>123063492.69882366</v>
      </c>
      <c r="AS115" s="138">
        <f t="shared" ca="1" si="205"/>
        <v>123390611.17871526</v>
      </c>
      <c r="AT115" s="138">
        <f t="shared" ca="1" si="205"/>
        <v>123718789.52289549</v>
      </c>
      <c r="AU115" s="138">
        <f t="shared" ca="1" si="205"/>
        <v>124048031.16532597</v>
      </c>
      <c r="AV115" s="138">
        <f t="shared" ca="1" si="205"/>
        <v>124378339.55109441</v>
      </c>
      <c r="AW115" s="138">
        <f t="shared" ca="1" si="205"/>
        <v>124709718.13645053</v>
      </c>
      <c r="AX115" s="138">
        <f t="shared" ca="1" si="205"/>
        <v>125042170.38884237</v>
      </c>
      <c r="AY115" s="138">
        <f t="shared" ca="1" si="205"/>
        <v>125375699.7869525</v>
      </c>
      <c r="AZ115" s="138">
        <f t="shared" ca="1" si="205"/>
        <v>125710309.82073438</v>
      </c>
      <c r="BA115" s="138">
        <f t="shared" ca="1" si="205"/>
        <v>126046003.99144897</v>
      </c>
      <c r="BB115" s="138">
        <f t="shared" ca="1" si="205"/>
        <v>126382785.81170133</v>
      </c>
      <c r="BC115" s="138">
        <f t="shared" ca="1" si="205"/>
        <v>126720658.80547726</v>
      </c>
      <c r="BD115" s="138">
        <f t="shared" ca="1" si="205"/>
        <v>127059626.50818044</v>
      </c>
      <c r="BE115" s="138">
        <f t="shared" ca="1" si="205"/>
        <v>127399692.46666911</v>
      </c>
      <c r="BF115" s="138">
        <f t="shared" ca="1" si="205"/>
        <v>127740860.23929349</v>
      </c>
      <c r="BG115" s="138">
        <f t="shared" ca="1" si="205"/>
        <v>128083133.39593267</v>
      </c>
      <c r="BH115" s="138">
        <f t="shared" ca="1" si="205"/>
        <v>128426515.51803234</v>
      </c>
      <c r="BI115" s="138">
        <f t="shared" ca="1" si="205"/>
        <v>128771010.19864199</v>
      </c>
      <c r="BJ115" s="138">
        <f t="shared" ca="1" si="205"/>
        <v>129116621.04245251</v>
      </c>
      <c r="BK115" s="138">
        <f t="shared" ca="1" si="205"/>
        <v>129463351.66583419</v>
      </c>
      <c r="BL115" s="138">
        <f t="shared" ca="1" si="205"/>
        <v>129811205.6968742</v>
      </c>
      <c r="BM115" s="138">
        <f t="shared" ca="1" si="205"/>
        <v>123643037.53758751</v>
      </c>
      <c r="BN115" s="138">
        <f t="shared" ca="1" si="205"/>
        <v>123876736.15492694</v>
      </c>
      <c r="BO115" s="138">
        <f t="shared" ca="1" si="205"/>
        <v>124111191.95608215</v>
      </c>
      <c r="BP115" s="138">
        <f t="shared" ca="1" si="205"/>
        <v>124346407.39432968</v>
      </c>
      <c r="BQ115" s="138">
        <f t="shared" ca="1" si="205"/>
        <v>124582384.93089466</v>
      </c>
      <c r="BR115" s="138">
        <f t="shared" ref="BR115:EC115" ca="1" si="206">BR113+BR114</f>
        <v>124819127.0349766</v>
      </c>
      <c r="BS115" s="138">
        <f t="shared" ca="1" si="206"/>
        <v>125056636.18377522</v>
      </c>
      <c r="BT115" s="138">
        <f t="shared" ca="1" si="206"/>
        <v>125294914.86251639</v>
      </c>
      <c r="BU115" s="138">
        <f t="shared" ca="1" si="206"/>
        <v>125533965.56447807</v>
      </c>
      <c r="BV115" s="138">
        <f t="shared" ca="1" si="206"/>
        <v>125773790.7910165</v>
      </c>
      <c r="BW115" s="138">
        <f t="shared" ca="1" si="206"/>
        <v>126014393.05159228</v>
      </c>
      <c r="BX115" s="138">
        <f t="shared" ca="1" si="206"/>
        <v>126255774.86379664</v>
      </c>
      <c r="BY115" s="138">
        <f t="shared" ca="1" si="206"/>
        <v>126497938.75337788</v>
      </c>
      <c r="BZ115" s="138">
        <f t="shared" ca="1" si="206"/>
        <v>126740887.25426768</v>
      </c>
      <c r="CA115" s="138">
        <f t="shared" ca="1" si="206"/>
        <v>126984622.90860769</v>
      </c>
      <c r="CB115" s="138">
        <f t="shared" ca="1" si="206"/>
        <v>127229148.26677606</v>
      </c>
      <c r="CC115" s="138">
        <f t="shared" ca="1" si="206"/>
        <v>127474465.88741419</v>
      </c>
      <c r="CD115" s="138">
        <f t="shared" ca="1" si="206"/>
        <v>127720578.3374535</v>
      </c>
      <c r="CE115" s="138">
        <f t="shared" ca="1" si="206"/>
        <v>127967488.19214225</v>
      </c>
      <c r="CF115" s="138">
        <f t="shared" ca="1" si="206"/>
        <v>128215198.03507251</v>
      </c>
      <c r="CG115" s="138">
        <f t="shared" ca="1" si="206"/>
        <v>128463710.45820719</v>
      </c>
      <c r="CH115" s="138">
        <f t="shared" ca="1" si="206"/>
        <v>128713028.06190719</v>
      </c>
      <c r="CI115" s="138">
        <f t="shared" ca="1" si="206"/>
        <v>128963153.45495853</v>
      </c>
      <c r="CJ115" s="138">
        <f t="shared" ca="1" si="206"/>
        <v>129214089.25459975</v>
      </c>
      <c r="CK115" s="138">
        <f t="shared" ca="1" si="206"/>
        <v>129465838.08654922</v>
      </c>
      <c r="CL115" s="138">
        <f t="shared" ca="1" si="206"/>
        <v>129718402.58503266</v>
      </c>
      <c r="CM115" s="138">
        <f t="shared" ca="1" si="206"/>
        <v>129971785.39281064</v>
      </c>
      <c r="CN115" s="138">
        <f t="shared" ca="1" si="206"/>
        <v>130225989.16120633</v>
      </c>
      <c r="CO115" s="138">
        <f t="shared" ca="1" si="206"/>
        <v>130481016.55013318</v>
      </c>
      <c r="CP115" s="138">
        <f t="shared" ca="1" si="206"/>
        <v>130736870.22812274</v>
      </c>
      <c r="CQ115" s="138">
        <f t="shared" ca="1" si="206"/>
        <v>130993552.87235263</v>
      </c>
      <c r="CR115" s="138">
        <f t="shared" ca="1" si="206"/>
        <v>131251067.1686745</v>
      </c>
      <c r="CS115" s="138">
        <f t="shared" ca="1" si="206"/>
        <v>131509415.81164218</v>
      </c>
      <c r="CT115" s="138">
        <f t="shared" ca="1" si="206"/>
        <v>131768601.50453988</v>
      </c>
      <c r="CU115" s="138">
        <f t="shared" ca="1" si="206"/>
        <v>132028626.9594104</v>
      </c>
      <c r="CV115" s="138">
        <f t="shared" ca="1" si="206"/>
        <v>132289494.89708361</v>
      </c>
      <c r="CW115" s="138">
        <f t="shared" ca="1" si="206"/>
        <v>132551208.04720487</v>
      </c>
      <c r="CX115" s="138">
        <f t="shared" ca="1" si="206"/>
        <v>132813769.14826357</v>
      </c>
      <c r="CY115" s="138">
        <f t="shared" ca="1" si="206"/>
        <v>133077180.94762181</v>
      </c>
      <c r="CZ115" s="138">
        <f t="shared" ca="1" si="206"/>
        <v>133341446.20154317</v>
      </c>
      <c r="DA115" s="138">
        <f t="shared" ca="1" si="206"/>
        <v>133606567.6752215</v>
      </c>
      <c r="DB115" s="138">
        <f t="shared" ca="1" si="206"/>
        <v>133872548.14280991</v>
      </c>
      <c r="DC115" s="138">
        <f t="shared" ca="1" si="206"/>
        <v>134139390.38744976</v>
      </c>
      <c r="DD115" s="138">
        <f t="shared" ca="1" si="206"/>
        <v>134407097.20129976</v>
      </c>
      <c r="DE115" s="138">
        <f t="shared" ca="1" si="206"/>
        <v>134675671.38556528</v>
      </c>
      <c r="DF115" s="138">
        <f t="shared" ca="1" si="206"/>
        <v>134945115.75052753</v>
      </c>
      <c r="DG115" s="138">
        <f t="shared" ca="1" si="206"/>
        <v>135215433.11557311</v>
      </c>
      <c r="DH115" s="138">
        <f t="shared" ca="1" si="206"/>
        <v>135486626.30922332</v>
      </c>
      <c r="DI115" s="138">
        <f t="shared" ca="1" si="206"/>
        <v>135758698.16916403</v>
      </c>
      <c r="DJ115" s="138">
        <f t="shared" ca="1" si="206"/>
        <v>136031651.54227507</v>
      </c>
      <c r="DK115" s="138">
        <f t="shared" ca="1" si="206"/>
        <v>136305489.28466028</v>
      </c>
      <c r="DL115" s="138">
        <f t="shared" ca="1" si="206"/>
        <v>136580214.26167721</v>
      </c>
      <c r="DM115" s="138">
        <f t="shared" ca="1" si="206"/>
        <v>136855829.34796715</v>
      </c>
      <c r="DN115" s="138">
        <f t="shared" ca="1" si="206"/>
        <v>137132337.42748529</v>
      </c>
      <c r="DO115" s="138">
        <f t="shared" ca="1" si="206"/>
        <v>137409741.39353085</v>
      </c>
      <c r="DP115" s="138">
        <f t="shared" ca="1" si="206"/>
        <v>137688044.14877731</v>
      </c>
      <c r="DQ115" s="138">
        <f t="shared" ca="1" si="206"/>
        <v>137967248.60530275</v>
      </c>
      <c r="DR115" s="138">
        <f t="shared" ca="1" si="206"/>
        <v>138247357.68462056</v>
      </c>
      <c r="DS115" s="138">
        <f t="shared" ca="1" si="206"/>
        <v>138528374.31770962</v>
      </c>
      <c r="DT115" s="138">
        <f t="shared" ca="1" si="206"/>
        <v>138810301.44504538</v>
      </c>
      <c r="DU115" s="138">
        <f t="shared" ca="1" si="206"/>
        <v>139093142.01663032</v>
      </c>
      <c r="DV115" s="138">
        <f t="shared" ca="1" si="206"/>
        <v>139376898.99202496</v>
      </c>
      <c r="DW115" s="138">
        <f t="shared" ca="1" si="206"/>
        <v>139661575.34037882</v>
      </c>
      <c r="DX115" s="138">
        <f t="shared" ca="1" si="206"/>
        <v>139947174.04046142</v>
      </c>
      <c r="DY115" s="138">
        <f t="shared" ca="1" si="206"/>
        <v>140233698.0806936</v>
      </c>
      <c r="DZ115" s="138">
        <f t="shared" ca="1" si="206"/>
        <v>140521150.45917851</v>
      </c>
      <c r="EA115" s="138">
        <f t="shared" ca="1" si="206"/>
        <v>140809534.18373331</v>
      </c>
      <c r="EB115" s="138">
        <f t="shared" ca="1" si="206"/>
        <v>141098852.27192047</v>
      </c>
      <c r="EC115" s="138">
        <f t="shared" ca="1" si="206"/>
        <v>141389107.75107932</v>
      </c>
      <c r="ED115" s="138">
        <f t="shared" ref="ED115:GO115" ca="1" si="207">ED113+ED114</f>
        <v>141680303.6583578</v>
      </c>
      <c r="EE115" s="138">
        <f t="shared" ca="1" si="207"/>
        <v>141972443.04074419</v>
      </c>
      <c r="EF115" s="138">
        <f t="shared" ca="1" si="207"/>
        <v>142265528.95509905</v>
      </c>
      <c r="EG115" s="138">
        <f t="shared" ca="1" si="207"/>
        <v>142559564.46818715</v>
      </c>
      <c r="EH115" s="138">
        <f t="shared" ca="1" si="207"/>
        <v>142854552.65670955</v>
      </c>
      <c r="EI115" s="138">
        <f t="shared" ca="1" si="207"/>
        <v>143150496.60733595</v>
      </c>
      <c r="EJ115" s="138">
        <f t="shared" ca="1" si="207"/>
        <v>143447399.41673669</v>
      </c>
      <c r="EK115" s="138">
        <f t="shared" ca="1" si="207"/>
        <v>143745264.19161546</v>
      </c>
      <c r="EL115" s="138">
        <f t="shared" ca="1" si="207"/>
        <v>144044094.04874164</v>
      </c>
      <c r="EM115" s="138">
        <f t="shared" ca="1" si="207"/>
        <v>144343892.11498284</v>
      </c>
      <c r="EN115" s="138">
        <f t="shared" ca="1" si="207"/>
        <v>144644661.52733794</v>
      </c>
      <c r="EO115" s="138">
        <f t="shared" ca="1" si="207"/>
        <v>144946405.43296948</v>
      </c>
      <c r="EP115" s="138">
        <f t="shared" ca="1" si="207"/>
        <v>145249126.98923695</v>
      </c>
      <c r="EQ115" s="138">
        <f t="shared" ca="1" si="207"/>
        <v>145552829.36372969</v>
      </c>
      <c r="ER115" s="138">
        <f t="shared" ca="1" si="207"/>
        <v>145857515.7342999</v>
      </c>
      <c r="ES115" s="138">
        <f t="shared" ca="1" si="207"/>
        <v>146163189.28909618</v>
      </c>
      <c r="ET115" s="138">
        <f t="shared" ca="1" si="207"/>
        <v>146469853.22659665</v>
      </c>
      <c r="EU115" s="138">
        <f t="shared" ca="1" si="207"/>
        <v>146777510.75564253</v>
      </c>
      <c r="EV115" s="138">
        <f t="shared" ca="1" si="207"/>
        <v>147086165.09547168</v>
      </c>
      <c r="EW115" s="138">
        <f t="shared" ca="1" si="207"/>
        <v>147395819.47575229</v>
      </c>
      <c r="EX115" s="138">
        <f t="shared" ca="1" si="207"/>
        <v>147706477.13661671</v>
      </c>
      <c r="EY115" s="138">
        <f t="shared" ca="1" si="207"/>
        <v>148018141.32869524</v>
      </c>
      <c r="EZ115" s="138">
        <f t="shared" ca="1" si="207"/>
        <v>148330815.31315041</v>
      </c>
      <c r="FA115" s="138">
        <f t="shared" ca="1" si="207"/>
        <v>148644502.36171067</v>
      </c>
      <c r="FB115" s="138">
        <f t="shared" ca="1" si="207"/>
        <v>148959205.75670505</v>
      </c>
      <c r="FC115" s="138">
        <f t="shared" ca="1" si="207"/>
        <v>149274928.79109731</v>
      </c>
      <c r="FD115" s="138">
        <f t="shared" ca="1" si="207"/>
        <v>149591674.76852036</v>
      </c>
      <c r="FE115" s="138">
        <f t="shared" ca="1" si="207"/>
        <v>149909447.00331092</v>
      </c>
      <c r="FF115" s="138">
        <f t="shared" ca="1" si="207"/>
        <v>150228248.82054412</v>
      </c>
      <c r="FG115" s="138">
        <f t="shared" ca="1" si="207"/>
        <v>150548083.55606845</v>
      </c>
      <c r="FH115" s="138">
        <f t="shared" ca="1" si="207"/>
        <v>150868954.55654043</v>
      </c>
      <c r="FI115" s="138">
        <f t="shared" ca="1" si="207"/>
        <v>151190865.17945981</v>
      </c>
      <c r="FJ115" s="138">
        <f t="shared" ca="1" si="207"/>
        <v>151513818.79320467</v>
      </c>
      <c r="FK115" s="138">
        <f t="shared" ca="1" si="207"/>
        <v>151837818.77706656</v>
      </c>
      <c r="FL115" s="138">
        <f t="shared" ca="1" si="207"/>
        <v>152162868.52128601</v>
      </c>
      <c r="FM115" s="138">
        <f t="shared" ca="1" si="207"/>
        <v>152488971.42708787</v>
      </c>
      <c r="FN115" s="138">
        <f t="shared" ca="1" si="207"/>
        <v>152816130.90671703</v>
      </c>
      <c r="FO115" s="138">
        <f t="shared" ca="1" si="207"/>
        <v>153144350.38347402</v>
      </c>
      <c r="FP115" s="138">
        <f t="shared" ca="1" si="207"/>
        <v>153473633.29175085</v>
      </c>
      <c r="FQ115" s="138">
        <f t="shared" ca="1" si="207"/>
        <v>153803983.07706705</v>
      </c>
      <c r="FR115" s="138">
        <f t="shared" ca="1" si="207"/>
        <v>154135403.19610551</v>
      </c>
      <c r="FS115" s="138">
        <f t="shared" ca="1" si="207"/>
        <v>154467897.11674887</v>
      </c>
      <c r="FT115" s="138">
        <f t="shared" ca="1" si="207"/>
        <v>154801468.31811574</v>
      </c>
      <c r="FU115" s="138">
        <f t="shared" ca="1" si="207"/>
        <v>155136120.29059696</v>
      </c>
      <c r="FV115" s="138">
        <f t="shared" ca="1" si="207"/>
        <v>155471856.53589231</v>
      </c>
      <c r="FW115" s="138">
        <f t="shared" ca="1" si="207"/>
        <v>155808680.56704709</v>
      </c>
      <c r="FX115" s="138">
        <f t="shared" ca="1" si="207"/>
        <v>156146595.90848887</v>
      </c>
      <c r="FY115" s="138">
        <f t="shared" ca="1" si="207"/>
        <v>156485606.09606439</v>
      </c>
      <c r="FZ115" s="138">
        <f t="shared" ca="1" si="207"/>
        <v>156825714.67707643</v>
      </c>
      <c r="GA115" s="138">
        <f t="shared" ca="1" si="207"/>
        <v>157166925.21032119</v>
      </c>
      <c r="GB115" s="138">
        <f t="shared" ca="1" si="207"/>
        <v>157509241.26612526</v>
      </c>
      <c r="GC115" s="138">
        <f t="shared" ca="1" si="207"/>
        <v>157852666.42638314</v>
      </c>
      <c r="GD115" s="138">
        <f t="shared" ca="1" si="207"/>
        <v>158197204.28459463</v>
      </c>
      <c r="GE115" s="138">
        <f t="shared" ca="1" si="207"/>
        <v>158542858.44590256</v>
      </c>
      <c r="GF115" s="138">
        <f t="shared" ca="1" si="207"/>
        <v>158889632.52713034</v>
      </c>
      <c r="GG115" s="138">
        <f t="shared" ca="1" si="207"/>
        <v>159237530.15681994</v>
      </c>
      <c r="GH115" s="138">
        <f t="shared" ca="1" si="207"/>
        <v>159586554.97526979</v>
      </c>
      <c r="GI115" s="138">
        <f t="shared" ca="1" si="207"/>
        <v>159936710.63457292</v>
      </c>
      <c r="GJ115" s="138">
        <f t="shared" ca="1" si="207"/>
        <v>160288000.79865515</v>
      </c>
      <c r="GK115" s="138">
        <f t="shared" ca="1" si="207"/>
        <v>160640429.14331329</v>
      </c>
      <c r="GL115" s="138">
        <f t="shared" ca="1" si="207"/>
        <v>160993999.35625398</v>
      </c>
      <c r="GM115" s="138">
        <f t="shared" ca="1" si="207"/>
        <v>161348715.13713181</v>
      </c>
      <c r="GN115" s="138">
        <f t="shared" ca="1" si="207"/>
        <v>161704580.19758835</v>
      </c>
      <c r="GO115" s="138">
        <f t="shared" ca="1" si="207"/>
        <v>162061598.26129091</v>
      </c>
      <c r="GP115" s="138">
        <f t="shared" ref="GP115:JA115" ca="1" si="208">GP113+GP114</f>
        <v>162419773.06397149</v>
      </c>
      <c r="GQ115" s="138">
        <f t="shared" ca="1" si="208"/>
        <v>162779108.3534658</v>
      </c>
      <c r="GR115" s="138">
        <f t="shared" ca="1" si="208"/>
        <v>163139607.88975263</v>
      </c>
      <c r="GS115" s="138">
        <f t="shared" ca="1" si="208"/>
        <v>163501275.44499299</v>
      </c>
      <c r="GT115" s="138">
        <f t="shared" ca="1" si="208"/>
        <v>163864114.80356982</v>
      </c>
      <c r="GU115" s="138">
        <f t="shared" ca="1" si="208"/>
        <v>164228129.76212743</v>
      </c>
      <c r="GV115" s="138">
        <f t="shared" ca="1" si="208"/>
        <v>164593324.12961119</v>
      </c>
      <c r="GW115" s="138">
        <f t="shared" ca="1" si="208"/>
        <v>164959701.72730756</v>
      </c>
      <c r="GX115" s="138">
        <f t="shared" ca="1" si="208"/>
        <v>165327266.38888386</v>
      </c>
      <c r="GY115" s="138">
        <f t="shared" ca="1" si="208"/>
        <v>165696021.96042863</v>
      </c>
      <c r="GZ115" s="138">
        <f t="shared" ca="1" si="208"/>
        <v>166065972.30049166</v>
      </c>
      <c r="HA115" s="138">
        <f t="shared" ca="1" si="208"/>
        <v>166437121.28012443</v>
      </c>
      <c r="HB115" s="138">
        <f t="shared" ca="1" si="208"/>
        <v>166809472.78292072</v>
      </c>
      <c r="HC115" s="138">
        <f t="shared" ca="1" si="208"/>
        <v>167183030.70505702</v>
      </c>
      <c r="HD115" s="138">
        <f t="shared" ca="1" si="208"/>
        <v>167557798.95533359</v>
      </c>
      <c r="HE115" s="138">
        <f t="shared" ca="1" si="208"/>
        <v>167933781.4552151</v>
      </c>
      <c r="HF115" s="138">
        <f t="shared" ca="1" si="208"/>
        <v>168310982.13887179</v>
      </c>
      <c r="HG115" s="138">
        <f t="shared" ca="1" si="208"/>
        <v>168689404.95322067</v>
      </c>
      <c r="HH115" s="138">
        <f t="shared" ca="1" si="208"/>
        <v>169069053.85796672</v>
      </c>
      <c r="HI115" s="138">
        <f t="shared" ca="1" si="208"/>
        <v>169449932.82564437</v>
      </c>
      <c r="HJ115" s="138">
        <f t="shared" ca="1" si="208"/>
        <v>169832045.84165907</v>
      </c>
      <c r="HK115" s="138">
        <f t="shared" ca="1" si="208"/>
        <v>170215396.904329</v>
      </c>
      <c r="HL115" s="138">
        <f t="shared" ca="1" si="208"/>
        <v>170599990.0249269</v>
      </c>
      <c r="HM115" s="138">
        <f t="shared" ca="1" si="208"/>
        <v>170985829.22772202</v>
      </c>
      <c r="HN115" s="138">
        <f t="shared" ca="1" si="208"/>
        <v>171372918.55002224</v>
      </c>
      <c r="HO115" s="138">
        <f t="shared" ca="1" si="208"/>
        <v>171761262.04221636</v>
      </c>
      <c r="HP115" s="138">
        <f t="shared" ca="1" si="208"/>
        <v>172150863.76781642</v>
      </c>
      <c r="HQ115" s="138">
        <f t="shared" ca="1" si="208"/>
        <v>172541727.80350024</v>
      </c>
      <c r="HR115" s="138">
        <f t="shared" ca="1" si="208"/>
        <v>172933858.23915404</v>
      </c>
      <c r="HS115" s="138">
        <f t="shared" ca="1" si="208"/>
        <v>173327259.17791539</v>
      </c>
      <c r="HT115" s="138">
        <f t="shared" ca="1" si="208"/>
        <v>173721934.73621595</v>
      </c>
      <c r="HU115" s="138">
        <f t="shared" ca="1" si="208"/>
        <v>174117889.04382467</v>
      </c>
      <c r="HV115" s="138">
        <f t="shared" ca="1" si="208"/>
        <v>174515126.24389088</v>
      </c>
      <c r="HW115" s="138">
        <f t="shared" ca="1" si="208"/>
        <v>174913650.49298775</v>
      </c>
      <c r="HX115" s="138">
        <f t="shared" ca="1" si="208"/>
        <v>175313465.96115583</v>
      </c>
      <c r="HY115" s="138">
        <f t="shared" ca="1" si="208"/>
        <v>175714576.83194649</v>
      </c>
      <c r="HZ115" s="138">
        <f t="shared" ca="1" si="208"/>
        <v>176116987.30246586</v>
      </c>
      <c r="IA115" s="138">
        <f t="shared" ca="1" si="208"/>
        <v>176520701.58341876</v>
      </c>
      <c r="IB115" s="138">
        <f t="shared" ca="1" si="208"/>
        <v>176925723.89915258</v>
      </c>
      <c r="IC115" s="138">
        <f t="shared" ca="1" si="208"/>
        <v>177332058.48770171</v>
      </c>
      <c r="ID115" s="138">
        <f t="shared" ca="1" si="208"/>
        <v>177739709.60083175</v>
      </c>
      <c r="IE115" s="138">
        <f t="shared" ca="1" si="208"/>
        <v>178148681.50408396</v>
      </c>
      <c r="IF115" s="138">
        <f t="shared" ca="1" si="208"/>
        <v>178558978.47681999</v>
      </c>
      <c r="IG115" s="138">
        <f t="shared" ca="1" si="208"/>
        <v>178970604.81226671</v>
      </c>
      <c r="IH115" s="138">
        <f t="shared" ca="1" si="208"/>
        <v>179383564.81756097</v>
      </c>
      <c r="II115" s="138">
        <f t="shared" ca="1" si="208"/>
        <v>179797862.81379473</v>
      </c>
      <c r="IJ115" s="138">
        <f t="shared" ca="1" si="208"/>
        <v>180213503.1360603</v>
      </c>
      <c r="IK115" s="138">
        <f t="shared" ca="1" si="208"/>
        <v>0</v>
      </c>
      <c r="IL115" s="138">
        <f t="shared" ca="1" si="208"/>
        <v>0</v>
      </c>
      <c r="IM115" s="138">
        <f t="shared" ca="1" si="208"/>
        <v>0</v>
      </c>
      <c r="IN115" s="138">
        <f t="shared" ca="1" si="208"/>
        <v>0</v>
      </c>
      <c r="IO115" s="138">
        <f t="shared" ca="1" si="208"/>
        <v>0</v>
      </c>
      <c r="IP115" s="138">
        <f t="shared" ca="1" si="208"/>
        <v>0</v>
      </c>
      <c r="IQ115" s="138">
        <f t="shared" ca="1" si="208"/>
        <v>0</v>
      </c>
      <c r="IR115" s="138">
        <f t="shared" ca="1" si="208"/>
        <v>0</v>
      </c>
      <c r="IS115" s="138">
        <f t="shared" ca="1" si="208"/>
        <v>0</v>
      </c>
      <c r="IT115" s="138">
        <f t="shared" ca="1" si="208"/>
        <v>0</v>
      </c>
      <c r="IU115" s="138">
        <f t="shared" ca="1" si="208"/>
        <v>0</v>
      </c>
      <c r="IV115" s="138">
        <f t="shared" ca="1" si="208"/>
        <v>0</v>
      </c>
      <c r="IW115" s="138">
        <f t="shared" ca="1" si="208"/>
        <v>0</v>
      </c>
      <c r="IX115" s="138">
        <f t="shared" ca="1" si="208"/>
        <v>0</v>
      </c>
      <c r="IY115" s="138">
        <f t="shared" ca="1" si="208"/>
        <v>0</v>
      </c>
      <c r="IZ115" s="138">
        <f t="shared" ca="1" si="208"/>
        <v>0</v>
      </c>
      <c r="JA115" s="138">
        <f t="shared" ca="1" si="208"/>
        <v>0</v>
      </c>
      <c r="JB115" s="138">
        <f t="shared" ref="JB115:LM115" ca="1" si="209">JB113+JB114</f>
        <v>0</v>
      </c>
      <c r="JC115" s="138">
        <f t="shared" ca="1" si="209"/>
        <v>0</v>
      </c>
      <c r="JD115" s="138">
        <f t="shared" ca="1" si="209"/>
        <v>0</v>
      </c>
      <c r="JE115" s="138">
        <f t="shared" ca="1" si="209"/>
        <v>0</v>
      </c>
      <c r="JF115" s="138">
        <f t="shared" ca="1" si="209"/>
        <v>0</v>
      </c>
      <c r="JG115" s="138">
        <f t="shared" ca="1" si="209"/>
        <v>0</v>
      </c>
      <c r="JH115" s="138">
        <f t="shared" ca="1" si="209"/>
        <v>0</v>
      </c>
      <c r="JI115" s="138">
        <f t="shared" ca="1" si="209"/>
        <v>0</v>
      </c>
      <c r="JJ115" s="138">
        <f t="shared" ca="1" si="209"/>
        <v>0</v>
      </c>
      <c r="JK115" s="138">
        <f t="shared" ca="1" si="209"/>
        <v>0</v>
      </c>
      <c r="JL115" s="138">
        <f t="shared" ca="1" si="209"/>
        <v>0</v>
      </c>
      <c r="JM115" s="138">
        <f t="shared" ca="1" si="209"/>
        <v>0</v>
      </c>
      <c r="JN115" s="138">
        <f t="shared" ca="1" si="209"/>
        <v>0</v>
      </c>
      <c r="JO115" s="138">
        <f t="shared" ca="1" si="209"/>
        <v>0</v>
      </c>
      <c r="JP115" s="138">
        <f t="shared" ca="1" si="209"/>
        <v>0</v>
      </c>
      <c r="JQ115" s="138">
        <f t="shared" ca="1" si="209"/>
        <v>0</v>
      </c>
      <c r="JR115" s="138">
        <f t="shared" ca="1" si="209"/>
        <v>0</v>
      </c>
      <c r="JS115" s="138">
        <f t="shared" ca="1" si="209"/>
        <v>0</v>
      </c>
      <c r="JT115" s="138">
        <f t="shared" ca="1" si="209"/>
        <v>0</v>
      </c>
      <c r="JU115" s="138">
        <f t="shared" ca="1" si="209"/>
        <v>0</v>
      </c>
      <c r="JV115" s="138">
        <f t="shared" ca="1" si="209"/>
        <v>0</v>
      </c>
      <c r="JW115" s="138">
        <f t="shared" ca="1" si="209"/>
        <v>0</v>
      </c>
      <c r="JX115" s="138">
        <f t="shared" ca="1" si="209"/>
        <v>0</v>
      </c>
      <c r="JY115" s="138">
        <f t="shared" ca="1" si="209"/>
        <v>0</v>
      </c>
      <c r="JZ115" s="138">
        <f t="shared" ca="1" si="209"/>
        <v>0</v>
      </c>
      <c r="KA115" s="138">
        <f t="shared" ca="1" si="209"/>
        <v>0</v>
      </c>
      <c r="KB115" s="138">
        <f t="shared" ca="1" si="209"/>
        <v>0</v>
      </c>
      <c r="KC115" s="138">
        <f t="shared" ca="1" si="209"/>
        <v>0</v>
      </c>
      <c r="KD115" s="138">
        <f t="shared" ca="1" si="209"/>
        <v>0</v>
      </c>
      <c r="KE115" s="138">
        <f t="shared" ca="1" si="209"/>
        <v>0</v>
      </c>
      <c r="KF115" s="138">
        <f t="shared" ca="1" si="209"/>
        <v>0</v>
      </c>
      <c r="KG115" s="138">
        <f t="shared" ca="1" si="209"/>
        <v>0</v>
      </c>
      <c r="KH115" s="138">
        <f t="shared" ca="1" si="209"/>
        <v>0</v>
      </c>
      <c r="KI115" s="138">
        <f t="shared" ca="1" si="209"/>
        <v>0</v>
      </c>
      <c r="KJ115" s="138">
        <f t="shared" ca="1" si="209"/>
        <v>0</v>
      </c>
      <c r="KK115" s="138">
        <f t="shared" ca="1" si="209"/>
        <v>0</v>
      </c>
      <c r="KL115" s="138">
        <f t="shared" ca="1" si="209"/>
        <v>0</v>
      </c>
      <c r="KM115" s="138">
        <f t="shared" ca="1" si="209"/>
        <v>0</v>
      </c>
      <c r="KN115" s="138">
        <f t="shared" ca="1" si="209"/>
        <v>0</v>
      </c>
      <c r="KO115" s="138">
        <f t="shared" ca="1" si="209"/>
        <v>0</v>
      </c>
      <c r="KP115" s="138">
        <f t="shared" ca="1" si="209"/>
        <v>0</v>
      </c>
      <c r="KQ115" s="138">
        <f t="shared" ca="1" si="209"/>
        <v>0</v>
      </c>
      <c r="KR115" s="138">
        <f t="shared" ca="1" si="209"/>
        <v>0</v>
      </c>
      <c r="KS115" s="138">
        <f t="shared" ca="1" si="209"/>
        <v>0</v>
      </c>
      <c r="KT115" s="138">
        <f t="shared" ca="1" si="209"/>
        <v>0</v>
      </c>
      <c r="KU115" s="138">
        <f t="shared" ca="1" si="209"/>
        <v>0</v>
      </c>
      <c r="KV115" s="138">
        <f t="shared" ca="1" si="209"/>
        <v>0</v>
      </c>
      <c r="KW115" s="138">
        <f t="shared" ca="1" si="209"/>
        <v>0</v>
      </c>
      <c r="KX115" s="138">
        <f t="shared" ca="1" si="209"/>
        <v>0</v>
      </c>
      <c r="KY115" s="138">
        <f t="shared" ca="1" si="209"/>
        <v>0</v>
      </c>
      <c r="KZ115" s="138">
        <f t="shared" ca="1" si="209"/>
        <v>0</v>
      </c>
      <c r="LA115" s="138">
        <f t="shared" ca="1" si="209"/>
        <v>0</v>
      </c>
      <c r="LB115" s="138">
        <f t="shared" ca="1" si="209"/>
        <v>0</v>
      </c>
      <c r="LC115" s="138">
        <f t="shared" ca="1" si="209"/>
        <v>0</v>
      </c>
      <c r="LD115" s="138">
        <f t="shared" ca="1" si="209"/>
        <v>0</v>
      </c>
      <c r="LE115" s="138">
        <f t="shared" ca="1" si="209"/>
        <v>0</v>
      </c>
      <c r="LF115" s="138">
        <f t="shared" ca="1" si="209"/>
        <v>0</v>
      </c>
      <c r="LG115" s="138">
        <f t="shared" ca="1" si="209"/>
        <v>0</v>
      </c>
      <c r="LH115" s="138">
        <f t="shared" ca="1" si="209"/>
        <v>0</v>
      </c>
      <c r="LI115" s="138">
        <f t="shared" ca="1" si="209"/>
        <v>0</v>
      </c>
      <c r="LJ115" s="138">
        <f t="shared" ca="1" si="209"/>
        <v>0</v>
      </c>
      <c r="LK115" s="138">
        <f t="shared" ca="1" si="209"/>
        <v>0</v>
      </c>
      <c r="LL115" s="138">
        <f t="shared" ca="1" si="209"/>
        <v>0</v>
      </c>
      <c r="LM115" s="138">
        <f t="shared" ca="1" si="209"/>
        <v>0</v>
      </c>
      <c r="LN115" s="138">
        <f t="shared" ref="LN115:NY115" ca="1" si="210">LN113+LN114</f>
        <v>0</v>
      </c>
      <c r="LO115" s="138">
        <f t="shared" ca="1" si="210"/>
        <v>0</v>
      </c>
      <c r="LP115" s="138">
        <f t="shared" ca="1" si="210"/>
        <v>0</v>
      </c>
      <c r="LQ115" s="138">
        <f t="shared" ca="1" si="210"/>
        <v>0</v>
      </c>
      <c r="LR115" s="138">
        <f t="shared" ca="1" si="210"/>
        <v>0</v>
      </c>
      <c r="LS115" s="138">
        <f t="shared" ca="1" si="210"/>
        <v>0</v>
      </c>
      <c r="LT115" s="138">
        <f t="shared" ca="1" si="210"/>
        <v>0</v>
      </c>
      <c r="LU115" s="138">
        <f t="shared" ca="1" si="210"/>
        <v>0</v>
      </c>
      <c r="LV115" s="138">
        <f t="shared" ca="1" si="210"/>
        <v>0</v>
      </c>
      <c r="LW115" s="138">
        <f t="shared" ca="1" si="210"/>
        <v>0</v>
      </c>
      <c r="LX115" s="138">
        <f t="shared" ca="1" si="210"/>
        <v>0</v>
      </c>
      <c r="LY115" s="138">
        <f t="shared" ca="1" si="210"/>
        <v>0</v>
      </c>
      <c r="LZ115" s="138">
        <f t="shared" ca="1" si="210"/>
        <v>0</v>
      </c>
      <c r="MA115" s="138">
        <f t="shared" ca="1" si="210"/>
        <v>0</v>
      </c>
      <c r="MB115" s="138">
        <f t="shared" ca="1" si="210"/>
        <v>0</v>
      </c>
      <c r="MC115" s="138">
        <f t="shared" ca="1" si="210"/>
        <v>0</v>
      </c>
      <c r="MD115" s="138">
        <f t="shared" ca="1" si="210"/>
        <v>0</v>
      </c>
      <c r="ME115" s="138">
        <f t="shared" ca="1" si="210"/>
        <v>0</v>
      </c>
      <c r="MF115" s="138">
        <f t="shared" ca="1" si="210"/>
        <v>0</v>
      </c>
      <c r="MG115" s="138">
        <f t="shared" ca="1" si="210"/>
        <v>0</v>
      </c>
      <c r="MH115" s="138">
        <f t="shared" ca="1" si="210"/>
        <v>0</v>
      </c>
      <c r="MI115" s="138">
        <f t="shared" ca="1" si="210"/>
        <v>0</v>
      </c>
      <c r="MJ115" s="138">
        <f t="shared" ca="1" si="210"/>
        <v>0</v>
      </c>
      <c r="MK115" s="138">
        <f t="shared" ca="1" si="210"/>
        <v>0</v>
      </c>
      <c r="ML115" s="138">
        <f t="shared" ca="1" si="210"/>
        <v>0</v>
      </c>
      <c r="MM115" s="138">
        <f t="shared" ca="1" si="210"/>
        <v>0</v>
      </c>
      <c r="MN115" s="138">
        <f t="shared" ca="1" si="210"/>
        <v>0</v>
      </c>
      <c r="MO115" s="138">
        <f t="shared" ca="1" si="210"/>
        <v>0</v>
      </c>
      <c r="MP115" s="138">
        <f t="shared" ca="1" si="210"/>
        <v>0</v>
      </c>
      <c r="MQ115" s="138">
        <f t="shared" ca="1" si="210"/>
        <v>0</v>
      </c>
      <c r="MR115" s="138">
        <f t="shared" ca="1" si="210"/>
        <v>0</v>
      </c>
      <c r="MS115" s="138">
        <f t="shared" ca="1" si="210"/>
        <v>0</v>
      </c>
      <c r="MT115" s="138">
        <f t="shared" ca="1" si="210"/>
        <v>0</v>
      </c>
      <c r="MU115" s="138">
        <f t="shared" ca="1" si="210"/>
        <v>0</v>
      </c>
      <c r="MV115" s="138">
        <f t="shared" ca="1" si="210"/>
        <v>0</v>
      </c>
      <c r="MW115" s="138">
        <f t="shared" ca="1" si="210"/>
        <v>0</v>
      </c>
      <c r="MX115" s="138">
        <f t="shared" ca="1" si="210"/>
        <v>0</v>
      </c>
      <c r="MY115" s="138">
        <f t="shared" ca="1" si="210"/>
        <v>0</v>
      </c>
      <c r="MZ115" s="138">
        <f t="shared" ca="1" si="210"/>
        <v>0</v>
      </c>
      <c r="NA115" s="138">
        <f t="shared" ca="1" si="210"/>
        <v>0</v>
      </c>
      <c r="NB115" s="138">
        <f t="shared" ca="1" si="210"/>
        <v>0</v>
      </c>
      <c r="NC115" s="138">
        <f t="shared" ca="1" si="210"/>
        <v>0</v>
      </c>
      <c r="ND115" s="138">
        <f t="shared" ca="1" si="210"/>
        <v>0</v>
      </c>
      <c r="NE115" s="138">
        <f t="shared" ca="1" si="210"/>
        <v>0</v>
      </c>
      <c r="NF115" s="138">
        <f t="shared" ca="1" si="210"/>
        <v>0</v>
      </c>
      <c r="NG115" s="138">
        <f t="shared" ca="1" si="210"/>
        <v>0</v>
      </c>
      <c r="NH115" s="138">
        <f t="shared" ca="1" si="210"/>
        <v>0</v>
      </c>
      <c r="NI115" s="138">
        <f t="shared" ca="1" si="210"/>
        <v>0</v>
      </c>
      <c r="NJ115" s="138">
        <f t="shared" ca="1" si="210"/>
        <v>0</v>
      </c>
      <c r="NK115" s="138">
        <f t="shared" ca="1" si="210"/>
        <v>0</v>
      </c>
      <c r="NL115" s="138">
        <f t="shared" ca="1" si="210"/>
        <v>0</v>
      </c>
      <c r="NM115" s="138">
        <f t="shared" ca="1" si="210"/>
        <v>0</v>
      </c>
      <c r="NN115" s="138">
        <f t="shared" ca="1" si="210"/>
        <v>0</v>
      </c>
      <c r="NO115" s="138">
        <f t="shared" ca="1" si="210"/>
        <v>0</v>
      </c>
      <c r="NP115" s="138">
        <f t="shared" ca="1" si="210"/>
        <v>0</v>
      </c>
      <c r="NQ115" s="138">
        <f t="shared" ca="1" si="210"/>
        <v>0</v>
      </c>
      <c r="NR115" s="138">
        <f t="shared" ca="1" si="210"/>
        <v>0</v>
      </c>
      <c r="NS115" s="138">
        <f t="shared" ca="1" si="210"/>
        <v>0</v>
      </c>
      <c r="NT115" s="138">
        <f t="shared" ca="1" si="210"/>
        <v>0</v>
      </c>
      <c r="NU115" s="138">
        <f t="shared" ca="1" si="210"/>
        <v>0</v>
      </c>
      <c r="NV115" s="138">
        <f t="shared" ca="1" si="210"/>
        <v>0</v>
      </c>
      <c r="NW115" s="138">
        <f t="shared" ca="1" si="210"/>
        <v>0</v>
      </c>
      <c r="NX115" s="138">
        <f t="shared" ca="1" si="210"/>
        <v>0</v>
      </c>
      <c r="NY115" s="138">
        <f t="shared" ca="1" si="210"/>
        <v>0</v>
      </c>
      <c r="NZ115" s="138">
        <f t="shared" ref="NZ115:QK115" ca="1" si="211">NZ113+NZ114</f>
        <v>0</v>
      </c>
      <c r="OA115" s="138">
        <f t="shared" ca="1" si="211"/>
        <v>0</v>
      </c>
      <c r="OB115" s="138">
        <f t="shared" ca="1" si="211"/>
        <v>0</v>
      </c>
      <c r="OC115" s="138">
        <f t="shared" ca="1" si="211"/>
        <v>0</v>
      </c>
      <c r="OD115" s="138">
        <f t="shared" ca="1" si="211"/>
        <v>0</v>
      </c>
      <c r="OE115" s="138">
        <f t="shared" ca="1" si="211"/>
        <v>0</v>
      </c>
      <c r="OF115" s="138">
        <f t="shared" ca="1" si="211"/>
        <v>0</v>
      </c>
      <c r="OG115" s="138">
        <f t="shared" ca="1" si="211"/>
        <v>0</v>
      </c>
      <c r="OH115" s="138">
        <f t="shared" ca="1" si="211"/>
        <v>0</v>
      </c>
      <c r="OI115" s="138">
        <f t="shared" ca="1" si="211"/>
        <v>0</v>
      </c>
      <c r="OJ115" s="138">
        <f t="shared" ca="1" si="211"/>
        <v>0</v>
      </c>
      <c r="OK115" s="138">
        <f t="shared" ca="1" si="211"/>
        <v>0</v>
      </c>
      <c r="OL115" s="138">
        <f t="shared" ca="1" si="211"/>
        <v>0</v>
      </c>
      <c r="OM115" s="138">
        <f t="shared" ca="1" si="211"/>
        <v>0</v>
      </c>
      <c r="ON115" s="138">
        <f t="shared" ca="1" si="211"/>
        <v>0</v>
      </c>
      <c r="OO115" s="138">
        <f t="shared" ca="1" si="211"/>
        <v>0</v>
      </c>
      <c r="OP115" s="138">
        <f t="shared" ca="1" si="211"/>
        <v>0</v>
      </c>
      <c r="OQ115" s="138">
        <f t="shared" ca="1" si="211"/>
        <v>0</v>
      </c>
      <c r="OR115" s="138">
        <f t="shared" ca="1" si="211"/>
        <v>0</v>
      </c>
      <c r="OS115" s="138">
        <f t="shared" ca="1" si="211"/>
        <v>0</v>
      </c>
      <c r="OT115" s="138">
        <f t="shared" ca="1" si="211"/>
        <v>0</v>
      </c>
      <c r="OU115" s="138">
        <f t="shared" ca="1" si="211"/>
        <v>0</v>
      </c>
      <c r="OV115" s="138">
        <f t="shared" ca="1" si="211"/>
        <v>0</v>
      </c>
      <c r="OW115" s="138">
        <f t="shared" ca="1" si="211"/>
        <v>0</v>
      </c>
      <c r="OX115" s="138">
        <f t="shared" ca="1" si="211"/>
        <v>0</v>
      </c>
      <c r="OY115" s="138">
        <f t="shared" ca="1" si="211"/>
        <v>0</v>
      </c>
      <c r="OZ115" s="138">
        <f t="shared" ca="1" si="211"/>
        <v>0</v>
      </c>
      <c r="PA115" s="138">
        <f t="shared" ca="1" si="211"/>
        <v>0</v>
      </c>
      <c r="PB115" s="138">
        <f t="shared" ca="1" si="211"/>
        <v>0</v>
      </c>
      <c r="PC115" s="138">
        <f t="shared" ca="1" si="211"/>
        <v>0</v>
      </c>
      <c r="PD115" s="138">
        <f t="shared" ca="1" si="211"/>
        <v>0</v>
      </c>
      <c r="PE115" s="138">
        <f t="shared" ca="1" si="211"/>
        <v>0</v>
      </c>
      <c r="PF115" s="138">
        <f t="shared" ca="1" si="211"/>
        <v>0</v>
      </c>
      <c r="PG115" s="138">
        <f t="shared" ca="1" si="211"/>
        <v>0</v>
      </c>
      <c r="PH115" s="138">
        <f t="shared" ca="1" si="211"/>
        <v>0</v>
      </c>
      <c r="PI115" s="138">
        <f t="shared" ca="1" si="211"/>
        <v>0</v>
      </c>
      <c r="PJ115" s="138">
        <f t="shared" ca="1" si="211"/>
        <v>0</v>
      </c>
      <c r="PK115" s="138">
        <f t="shared" ca="1" si="211"/>
        <v>0</v>
      </c>
      <c r="PL115" s="138">
        <f t="shared" ca="1" si="211"/>
        <v>0</v>
      </c>
      <c r="PM115" s="138">
        <f t="shared" ca="1" si="211"/>
        <v>0</v>
      </c>
      <c r="PN115" s="138">
        <f t="shared" ca="1" si="211"/>
        <v>0</v>
      </c>
      <c r="PO115" s="138">
        <f t="shared" ca="1" si="211"/>
        <v>0</v>
      </c>
      <c r="PP115" s="138">
        <f t="shared" ca="1" si="211"/>
        <v>0</v>
      </c>
      <c r="PQ115" s="138">
        <f t="shared" ca="1" si="211"/>
        <v>0</v>
      </c>
      <c r="PR115" s="138">
        <f t="shared" ca="1" si="211"/>
        <v>0</v>
      </c>
      <c r="PS115" s="138">
        <f t="shared" ca="1" si="211"/>
        <v>0</v>
      </c>
      <c r="PT115" s="138">
        <f t="shared" ca="1" si="211"/>
        <v>0</v>
      </c>
      <c r="PU115" s="138">
        <f t="shared" ca="1" si="211"/>
        <v>0</v>
      </c>
      <c r="PV115" s="138">
        <f t="shared" ca="1" si="211"/>
        <v>0</v>
      </c>
      <c r="PW115" s="138">
        <f t="shared" ca="1" si="211"/>
        <v>0</v>
      </c>
      <c r="PX115" s="138">
        <f t="shared" ca="1" si="211"/>
        <v>0</v>
      </c>
      <c r="PY115" s="138">
        <f t="shared" ca="1" si="211"/>
        <v>0</v>
      </c>
      <c r="PZ115" s="138">
        <f t="shared" ca="1" si="211"/>
        <v>0</v>
      </c>
      <c r="QA115" s="138">
        <f t="shared" ca="1" si="211"/>
        <v>0</v>
      </c>
      <c r="QB115" s="138">
        <f t="shared" ca="1" si="211"/>
        <v>0</v>
      </c>
      <c r="QC115" s="138">
        <f t="shared" ca="1" si="211"/>
        <v>0</v>
      </c>
      <c r="QD115" s="138">
        <f t="shared" ca="1" si="211"/>
        <v>0</v>
      </c>
      <c r="QE115" s="138">
        <f t="shared" ca="1" si="211"/>
        <v>0</v>
      </c>
      <c r="QF115" s="138">
        <f t="shared" ca="1" si="211"/>
        <v>0</v>
      </c>
      <c r="QG115" s="138">
        <f t="shared" ca="1" si="211"/>
        <v>0</v>
      </c>
      <c r="QH115" s="138">
        <f t="shared" ca="1" si="211"/>
        <v>0</v>
      </c>
      <c r="QI115" s="138">
        <f t="shared" ca="1" si="211"/>
        <v>0</v>
      </c>
      <c r="QJ115" s="138">
        <f t="shared" ca="1" si="211"/>
        <v>0</v>
      </c>
      <c r="QK115" s="138">
        <f t="shared" ca="1" si="211"/>
        <v>0</v>
      </c>
      <c r="QL115" s="138">
        <f t="shared" ref="QL115:RR115" ca="1" si="212">QL113+QL114</f>
        <v>0</v>
      </c>
      <c r="QM115" s="138">
        <f t="shared" ca="1" si="212"/>
        <v>0</v>
      </c>
      <c r="QN115" s="138">
        <f t="shared" ca="1" si="212"/>
        <v>0</v>
      </c>
      <c r="QO115" s="138">
        <f t="shared" ca="1" si="212"/>
        <v>0</v>
      </c>
      <c r="QP115" s="138">
        <f t="shared" ca="1" si="212"/>
        <v>0</v>
      </c>
      <c r="QQ115" s="138">
        <f t="shared" ca="1" si="212"/>
        <v>0</v>
      </c>
      <c r="QR115" s="138">
        <f t="shared" ca="1" si="212"/>
        <v>0</v>
      </c>
      <c r="QS115" s="138">
        <f t="shared" ca="1" si="212"/>
        <v>0</v>
      </c>
      <c r="QT115" s="138">
        <f t="shared" ca="1" si="212"/>
        <v>0</v>
      </c>
      <c r="QU115" s="138">
        <f t="shared" ca="1" si="212"/>
        <v>0</v>
      </c>
      <c r="QV115" s="138">
        <f t="shared" ca="1" si="212"/>
        <v>0</v>
      </c>
      <c r="QW115" s="138">
        <f t="shared" ca="1" si="212"/>
        <v>0</v>
      </c>
      <c r="QX115" s="138">
        <f t="shared" ca="1" si="212"/>
        <v>0</v>
      </c>
      <c r="QY115" s="138">
        <f t="shared" ca="1" si="212"/>
        <v>0</v>
      </c>
      <c r="QZ115" s="138">
        <f t="shared" ca="1" si="212"/>
        <v>0</v>
      </c>
      <c r="RA115" s="138">
        <f t="shared" ca="1" si="212"/>
        <v>0</v>
      </c>
      <c r="RB115" s="138">
        <f t="shared" ca="1" si="212"/>
        <v>0</v>
      </c>
      <c r="RC115" s="138">
        <f t="shared" ca="1" si="212"/>
        <v>0</v>
      </c>
      <c r="RD115" s="138">
        <f t="shared" ca="1" si="212"/>
        <v>0</v>
      </c>
      <c r="RE115" s="138">
        <f t="shared" ca="1" si="212"/>
        <v>0</v>
      </c>
      <c r="RF115" s="138">
        <f t="shared" ca="1" si="212"/>
        <v>0</v>
      </c>
      <c r="RG115" s="138">
        <f t="shared" ca="1" si="212"/>
        <v>0</v>
      </c>
      <c r="RH115" s="138">
        <f t="shared" ca="1" si="212"/>
        <v>0</v>
      </c>
      <c r="RI115" s="138">
        <f t="shared" ca="1" si="212"/>
        <v>0</v>
      </c>
      <c r="RJ115" s="138">
        <f t="shared" ca="1" si="212"/>
        <v>0</v>
      </c>
      <c r="RK115" s="138">
        <f t="shared" ca="1" si="212"/>
        <v>0</v>
      </c>
      <c r="RL115" s="138">
        <f t="shared" ca="1" si="212"/>
        <v>0</v>
      </c>
      <c r="RM115" s="138">
        <f t="shared" ca="1" si="212"/>
        <v>0</v>
      </c>
      <c r="RN115" s="138">
        <f t="shared" ca="1" si="212"/>
        <v>0</v>
      </c>
      <c r="RO115" s="138">
        <f t="shared" ca="1" si="212"/>
        <v>0</v>
      </c>
      <c r="RP115" s="138">
        <f t="shared" ca="1" si="212"/>
        <v>0</v>
      </c>
      <c r="RQ115" s="138">
        <f t="shared" ca="1" si="212"/>
        <v>0</v>
      </c>
      <c r="RR115" s="138">
        <f t="shared" ca="1" si="212"/>
        <v>0</v>
      </c>
    </row>
    <row r="116" spans="1:486" s="9" customFormat="1">
      <c r="A116" s="132"/>
      <c r="B116" s="91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</row>
    <row r="117" spans="1:486" s="9" customFormat="1" ht="43.2">
      <c r="A117" s="132" t="s">
        <v>275</v>
      </c>
      <c r="B117" s="139"/>
      <c r="E117" s="138">
        <f>SUM(E100:E105)</f>
        <v>22101038.321558826</v>
      </c>
      <c r="F117" s="138">
        <f t="shared" ref="F117:BQ117" si="213">SUM(F100:F105)</f>
        <v>22101038.321558826</v>
      </c>
      <c r="G117" s="138">
        <f t="shared" si="213"/>
        <v>22101038.321558826</v>
      </c>
      <c r="H117" s="138">
        <f t="shared" si="213"/>
        <v>22101038.321558826</v>
      </c>
      <c r="I117" s="138">
        <f t="shared" si="213"/>
        <v>22101038.321558826</v>
      </c>
      <c r="J117" s="138">
        <f t="shared" si="213"/>
        <v>22101038.321558826</v>
      </c>
      <c r="K117" s="138">
        <f t="shared" si="213"/>
        <v>22101038.321558826</v>
      </c>
      <c r="L117" s="138">
        <f t="shared" si="213"/>
        <v>22101038.321558826</v>
      </c>
      <c r="M117" s="138">
        <f t="shared" si="213"/>
        <v>22101038.321558826</v>
      </c>
      <c r="N117" s="138">
        <f t="shared" si="213"/>
        <v>22101038.321558826</v>
      </c>
      <c r="O117" s="138">
        <f t="shared" si="213"/>
        <v>22101038.321558826</v>
      </c>
      <c r="P117" s="138">
        <f t="shared" si="213"/>
        <v>22101038.321558826</v>
      </c>
      <c r="Q117" s="138">
        <f t="shared" si="213"/>
        <v>22101038.321558826</v>
      </c>
      <c r="R117" s="138">
        <f t="shared" si="213"/>
        <v>22101038.321558826</v>
      </c>
      <c r="S117" s="138">
        <f t="shared" si="213"/>
        <v>22101038.321558826</v>
      </c>
      <c r="T117" s="138">
        <f t="shared" si="213"/>
        <v>22101038.321558826</v>
      </c>
      <c r="U117" s="138">
        <f t="shared" si="213"/>
        <v>22101038.321558826</v>
      </c>
      <c r="V117" s="138">
        <f t="shared" si="213"/>
        <v>22101038.321558826</v>
      </c>
      <c r="W117" s="138">
        <f t="shared" si="213"/>
        <v>22101038.321558826</v>
      </c>
      <c r="X117" s="138">
        <f t="shared" si="213"/>
        <v>22101038.321558826</v>
      </c>
      <c r="Y117" s="138">
        <f t="shared" si="213"/>
        <v>22101038.321558826</v>
      </c>
      <c r="Z117" s="138">
        <f t="shared" si="213"/>
        <v>22101038.321558826</v>
      </c>
      <c r="AA117" s="138">
        <f t="shared" si="213"/>
        <v>22101038.321558826</v>
      </c>
      <c r="AB117" s="138">
        <f t="shared" si="213"/>
        <v>22101038.321558826</v>
      </c>
      <c r="AC117" s="138">
        <f t="shared" si="213"/>
        <v>22101038.321558826</v>
      </c>
      <c r="AD117" s="138">
        <f t="shared" si="213"/>
        <v>22101038.321558826</v>
      </c>
      <c r="AE117" s="138">
        <f t="shared" si="213"/>
        <v>22101038.321558826</v>
      </c>
      <c r="AF117" s="138">
        <f t="shared" si="213"/>
        <v>22101038.321558826</v>
      </c>
      <c r="AG117" s="138">
        <f t="shared" si="213"/>
        <v>22101038.321558826</v>
      </c>
      <c r="AH117" s="138">
        <f t="shared" si="213"/>
        <v>22101038.321558826</v>
      </c>
      <c r="AI117" s="138">
        <f t="shared" si="213"/>
        <v>22101038.321558826</v>
      </c>
      <c r="AJ117" s="138">
        <f t="shared" si="213"/>
        <v>22101038.321558826</v>
      </c>
      <c r="AK117" s="138">
        <f t="shared" si="213"/>
        <v>22101038.321558826</v>
      </c>
      <c r="AL117" s="138">
        <f t="shared" si="213"/>
        <v>22101038.321558826</v>
      </c>
      <c r="AM117" s="138">
        <f t="shared" si="213"/>
        <v>22101038.321558826</v>
      </c>
      <c r="AN117" s="138">
        <f t="shared" si="213"/>
        <v>22101038.321558826</v>
      </c>
      <c r="AO117" s="138">
        <f t="shared" si="213"/>
        <v>22101038.321558826</v>
      </c>
      <c r="AP117" s="138">
        <f t="shared" si="213"/>
        <v>22101038.321558826</v>
      </c>
      <c r="AQ117" s="138">
        <f t="shared" si="213"/>
        <v>22101038.321558826</v>
      </c>
      <c r="AR117" s="138">
        <f t="shared" si="213"/>
        <v>22101038.321558826</v>
      </c>
      <c r="AS117" s="138">
        <f t="shared" si="213"/>
        <v>22101038.321558826</v>
      </c>
      <c r="AT117" s="138">
        <f t="shared" si="213"/>
        <v>22101038.321558826</v>
      </c>
      <c r="AU117" s="138">
        <f t="shared" si="213"/>
        <v>22101038.321558826</v>
      </c>
      <c r="AV117" s="138">
        <f t="shared" si="213"/>
        <v>22101038.321558826</v>
      </c>
      <c r="AW117" s="138">
        <f t="shared" si="213"/>
        <v>22101038.321558826</v>
      </c>
      <c r="AX117" s="138">
        <f t="shared" si="213"/>
        <v>22101038.321558826</v>
      </c>
      <c r="AY117" s="138">
        <f t="shared" si="213"/>
        <v>22101038.321558826</v>
      </c>
      <c r="AZ117" s="138">
        <f t="shared" si="213"/>
        <v>22101038.321558826</v>
      </c>
      <c r="BA117" s="138">
        <f t="shared" si="213"/>
        <v>22101038.321558826</v>
      </c>
      <c r="BB117" s="138">
        <f t="shared" si="213"/>
        <v>22101038.321558826</v>
      </c>
      <c r="BC117" s="138">
        <f t="shared" si="213"/>
        <v>22101038.321558826</v>
      </c>
      <c r="BD117" s="138">
        <f t="shared" si="213"/>
        <v>22101038.321558826</v>
      </c>
      <c r="BE117" s="138">
        <f t="shared" si="213"/>
        <v>22101038.321558826</v>
      </c>
      <c r="BF117" s="138">
        <f t="shared" si="213"/>
        <v>22101038.321558826</v>
      </c>
      <c r="BG117" s="138">
        <f t="shared" si="213"/>
        <v>22101038.321558826</v>
      </c>
      <c r="BH117" s="138">
        <f t="shared" si="213"/>
        <v>22101038.321558826</v>
      </c>
      <c r="BI117" s="138">
        <f t="shared" si="213"/>
        <v>22101038.321558826</v>
      </c>
      <c r="BJ117" s="138">
        <f t="shared" si="213"/>
        <v>22101038.321558826</v>
      </c>
      <c r="BK117" s="138">
        <f t="shared" si="213"/>
        <v>22101038.321558826</v>
      </c>
      <c r="BL117" s="138">
        <f t="shared" si="213"/>
        <v>22101038.321558826</v>
      </c>
      <c r="BM117" s="138">
        <f t="shared" si="213"/>
        <v>51513862.814774722</v>
      </c>
      <c r="BN117" s="138">
        <f t="shared" si="213"/>
        <v>51513862.814774722</v>
      </c>
      <c r="BO117" s="138">
        <f t="shared" si="213"/>
        <v>51513862.814774722</v>
      </c>
      <c r="BP117" s="138">
        <f t="shared" si="213"/>
        <v>51513862.814774722</v>
      </c>
      <c r="BQ117" s="138">
        <f t="shared" si="213"/>
        <v>51513862.814774722</v>
      </c>
      <c r="BR117" s="138">
        <f t="shared" ref="BR117:EC117" si="214">SUM(BR100:BR105)</f>
        <v>51513862.814774722</v>
      </c>
      <c r="BS117" s="138">
        <f t="shared" si="214"/>
        <v>51513862.814774722</v>
      </c>
      <c r="BT117" s="138">
        <f t="shared" si="214"/>
        <v>51513862.814774722</v>
      </c>
      <c r="BU117" s="138">
        <f t="shared" si="214"/>
        <v>51513862.814774722</v>
      </c>
      <c r="BV117" s="138">
        <f t="shared" si="214"/>
        <v>51513862.814774722</v>
      </c>
      <c r="BW117" s="138">
        <f t="shared" si="214"/>
        <v>51513862.814774722</v>
      </c>
      <c r="BX117" s="138">
        <f t="shared" si="214"/>
        <v>51513862.814774722</v>
      </c>
      <c r="BY117" s="138">
        <f t="shared" si="214"/>
        <v>51513862.814774722</v>
      </c>
      <c r="BZ117" s="138">
        <f t="shared" si="214"/>
        <v>51513862.814774722</v>
      </c>
      <c r="CA117" s="138">
        <f t="shared" si="214"/>
        <v>51513862.814774722</v>
      </c>
      <c r="CB117" s="138">
        <f t="shared" si="214"/>
        <v>51513862.814774722</v>
      </c>
      <c r="CC117" s="138">
        <f t="shared" si="214"/>
        <v>51513862.814774722</v>
      </c>
      <c r="CD117" s="138">
        <f t="shared" si="214"/>
        <v>51513862.814774722</v>
      </c>
      <c r="CE117" s="138">
        <f t="shared" si="214"/>
        <v>51513862.814774722</v>
      </c>
      <c r="CF117" s="138">
        <f t="shared" si="214"/>
        <v>51513862.814774722</v>
      </c>
      <c r="CG117" s="138">
        <f t="shared" si="214"/>
        <v>51513862.814774722</v>
      </c>
      <c r="CH117" s="138">
        <f t="shared" si="214"/>
        <v>51513862.814774722</v>
      </c>
      <c r="CI117" s="138">
        <f t="shared" si="214"/>
        <v>51513862.814774722</v>
      </c>
      <c r="CJ117" s="138">
        <f t="shared" si="214"/>
        <v>51513862.814774722</v>
      </c>
      <c r="CK117" s="138">
        <f t="shared" si="214"/>
        <v>51513862.814774722</v>
      </c>
      <c r="CL117" s="138">
        <f t="shared" si="214"/>
        <v>51513862.814774722</v>
      </c>
      <c r="CM117" s="138">
        <f t="shared" si="214"/>
        <v>51513862.814774722</v>
      </c>
      <c r="CN117" s="138">
        <f t="shared" si="214"/>
        <v>51513862.814774722</v>
      </c>
      <c r="CO117" s="138">
        <f t="shared" si="214"/>
        <v>51513862.814774722</v>
      </c>
      <c r="CP117" s="138">
        <f t="shared" si="214"/>
        <v>51513862.814774722</v>
      </c>
      <c r="CQ117" s="138">
        <f t="shared" si="214"/>
        <v>51513862.814774722</v>
      </c>
      <c r="CR117" s="138">
        <f t="shared" si="214"/>
        <v>51513862.814774722</v>
      </c>
      <c r="CS117" s="138">
        <f t="shared" si="214"/>
        <v>51513862.814774722</v>
      </c>
      <c r="CT117" s="138">
        <f t="shared" si="214"/>
        <v>51513862.814774722</v>
      </c>
      <c r="CU117" s="138">
        <f t="shared" si="214"/>
        <v>51513862.814774722</v>
      </c>
      <c r="CV117" s="138">
        <f t="shared" si="214"/>
        <v>51513862.814774722</v>
      </c>
      <c r="CW117" s="138">
        <f t="shared" si="214"/>
        <v>51513862.814774722</v>
      </c>
      <c r="CX117" s="138">
        <f t="shared" si="214"/>
        <v>51513862.814774722</v>
      </c>
      <c r="CY117" s="138">
        <f t="shared" si="214"/>
        <v>51513862.814774722</v>
      </c>
      <c r="CZ117" s="138">
        <f t="shared" si="214"/>
        <v>51513862.814774722</v>
      </c>
      <c r="DA117" s="138">
        <f t="shared" si="214"/>
        <v>51513862.814774722</v>
      </c>
      <c r="DB117" s="138">
        <f t="shared" si="214"/>
        <v>51513862.814774722</v>
      </c>
      <c r="DC117" s="138">
        <f t="shared" si="214"/>
        <v>51513862.814774722</v>
      </c>
      <c r="DD117" s="138">
        <f t="shared" si="214"/>
        <v>51513862.814774722</v>
      </c>
      <c r="DE117" s="138">
        <f t="shared" si="214"/>
        <v>51513862.814774722</v>
      </c>
      <c r="DF117" s="138">
        <f t="shared" si="214"/>
        <v>51513862.814774722</v>
      </c>
      <c r="DG117" s="138">
        <f t="shared" si="214"/>
        <v>51513862.814774722</v>
      </c>
      <c r="DH117" s="138">
        <f t="shared" si="214"/>
        <v>51513862.814774722</v>
      </c>
      <c r="DI117" s="138">
        <f t="shared" si="214"/>
        <v>51513862.814774722</v>
      </c>
      <c r="DJ117" s="138">
        <f t="shared" si="214"/>
        <v>51513862.814774722</v>
      </c>
      <c r="DK117" s="138">
        <f t="shared" si="214"/>
        <v>51513862.814774722</v>
      </c>
      <c r="DL117" s="138">
        <f t="shared" si="214"/>
        <v>51513862.814774722</v>
      </c>
      <c r="DM117" s="138">
        <f t="shared" si="214"/>
        <v>51513862.814774722</v>
      </c>
      <c r="DN117" s="138">
        <f t="shared" si="214"/>
        <v>51513862.814774722</v>
      </c>
      <c r="DO117" s="138">
        <f t="shared" si="214"/>
        <v>51513862.814774722</v>
      </c>
      <c r="DP117" s="138">
        <f t="shared" si="214"/>
        <v>51513862.814774722</v>
      </c>
      <c r="DQ117" s="138">
        <f t="shared" si="214"/>
        <v>51513862.814774722</v>
      </c>
      <c r="DR117" s="138">
        <f t="shared" si="214"/>
        <v>51513862.814774722</v>
      </c>
      <c r="DS117" s="138">
        <f t="shared" si="214"/>
        <v>51513862.814774722</v>
      </c>
      <c r="DT117" s="138">
        <f t="shared" si="214"/>
        <v>51513862.814774722</v>
      </c>
      <c r="DU117" s="138">
        <f t="shared" si="214"/>
        <v>51513862.814774722</v>
      </c>
      <c r="DV117" s="138">
        <f t="shared" si="214"/>
        <v>51513862.814774722</v>
      </c>
      <c r="DW117" s="138">
        <f t="shared" si="214"/>
        <v>51513862.814774722</v>
      </c>
      <c r="DX117" s="138">
        <f t="shared" si="214"/>
        <v>51513862.814774722</v>
      </c>
      <c r="DY117" s="138">
        <f t="shared" si="214"/>
        <v>51513862.814774722</v>
      </c>
      <c r="DZ117" s="138">
        <f t="shared" si="214"/>
        <v>51513862.814774722</v>
      </c>
      <c r="EA117" s="138">
        <f t="shared" si="214"/>
        <v>51513862.814774722</v>
      </c>
      <c r="EB117" s="138">
        <f t="shared" si="214"/>
        <v>51513862.814774722</v>
      </c>
      <c r="EC117" s="138">
        <f t="shared" si="214"/>
        <v>51513862.814774722</v>
      </c>
      <c r="ED117" s="138">
        <f t="shared" ref="ED117:GO117" si="215">SUM(ED100:ED105)</f>
        <v>51513862.814774722</v>
      </c>
      <c r="EE117" s="138">
        <f t="shared" si="215"/>
        <v>51513862.814774722</v>
      </c>
      <c r="EF117" s="138">
        <f t="shared" si="215"/>
        <v>51513862.814774722</v>
      </c>
      <c r="EG117" s="138">
        <f t="shared" si="215"/>
        <v>51513862.814774722</v>
      </c>
      <c r="EH117" s="138">
        <f t="shared" si="215"/>
        <v>51513862.814774722</v>
      </c>
      <c r="EI117" s="138">
        <f t="shared" si="215"/>
        <v>51513862.814774722</v>
      </c>
      <c r="EJ117" s="138">
        <f t="shared" si="215"/>
        <v>51513862.814774722</v>
      </c>
      <c r="EK117" s="138">
        <f t="shared" si="215"/>
        <v>51513862.814774722</v>
      </c>
      <c r="EL117" s="138">
        <f t="shared" si="215"/>
        <v>51513862.814774722</v>
      </c>
      <c r="EM117" s="138">
        <f t="shared" si="215"/>
        <v>51513862.814774722</v>
      </c>
      <c r="EN117" s="138">
        <f t="shared" si="215"/>
        <v>51513862.814774722</v>
      </c>
      <c r="EO117" s="138">
        <f t="shared" si="215"/>
        <v>51513862.814774722</v>
      </c>
      <c r="EP117" s="138">
        <f t="shared" si="215"/>
        <v>51513862.814774722</v>
      </c>
      <c r="EQ117" s="138">
        <f t="shared" si="215"/>
        <v>51513862.814774722</v>
      </c>
      <c r="ER117" s="138">
        <f t="shared" si="215"/>
        <v>51513862.814774722</v>
      </c>
      <c r="ES117" s="138">
        <f t="shared" si="215"/>
        <v>51513862.814774722</v>
      </c>
      <c r="ET117" s="138">
        <f t="shared" si="215"/>
        <v>51513862.814774722</v>
      </c>
      <c r="EU117" s="138">
        <f t="shared" si="215"/>
        <v>51513862.814774722</v>
      </c>
      <c r="EV117" s="138">
        <f t="shared" si="215"/>
        <v>51513862.814774722</v>
      </c>
      <c r="EW117" s="138">
        <f t="shared" si="215"/>
        <v>51513862.814774722</v>
      </c>
      <c r="EX117" s="138">
        <f t="shared" si="215"/>
        <v>51513862.814774722</v>
      </c>
      <c r="EY117" s="138">
        <f t="shared" si="215"/>
        <v>51513862.814774722</v>
      </c>
      <c r="EZ117" s="138">
        <f t="shared" si="215"/>
        <v>51513862.814774722</v>
      </c>
      <c r="FA117" s="138">
        <f t="shared" si="215"/>
        <v>51513862.814774722</v>
      </c>
      <c r="FB117" s="138">
        <f t="shared" si="215"/>
        <v>51513862.814774722</v>
      </c>
      <c r="FC117" s="138">
        <f t="shared" si="215"/>
        <v>51513862.814774722</v>
      </c>
      <c r="FD117" s="138">
        <f t="shared" si="215"/>
        <v>51513862.814774722</v>
      </c>
      <c r="FE117" s="138">
        <f t="shared" si="215"/>
        <v>51513862.814774722</v>
      </c>
      <c r="FF117" s="138">
        <f t="shared" si="215"/>
        <v>51513862.814774722</v>
      </c>
      <c r="FG117" s="138">
        <f t="shared" si="215"/>
        <v>51513862.814774722</v>
      </c>
      <c r="FH117" s="138">
        <f t="shared" si="215"/>
        <v>51513862.814774722</v>
      </c>
      <c r="FI117" s="138">
        <f t="shared" si="215"/>
        <v>51513862.814774722</v>
      </c>
      <c r="FJ117" s="138">
        <f t="shared" si="215"/>
        <v>51513862.814774722</v>
      </c>
      <c r="FK117" s="138">
        <f t="shared" si="215"/>
        <v>51513862.814774722</v>
      </c>
      <c r="FL117" s="138">
        <f t="shared" si="215"/>
        <v>51513862.814774722</v>
      </c>
      <c r="FM117" s="138">
        <f t="shared" si="215"/>
        <v>51513862.814774722</v>
      </c>
      <c r="FN117" s="138">
        <f t="shared" si="215"/>
        <v>51513862.814774722</v>
      </c>
      <c r="FO117" s="138">
        <f t="shared" si="215"/>
        <v>51513862.814774722</v>
      </c>
      <c r="FP117" s="138">
        <f t="shared" si="215"/>
        <v>51513862.814774722</v>
      </c>
      <c r="FQ117" s="138">
        <f t="shared" si="215"/>
        <v>51513862.814774722</v>
      </c>
      <c r="FR117" s="138">
        <f t="shared" si="215"/>
        <v>51513862.814774722</v>
      </c>
      <c r="FS117" s="138">
        <f t="shared" si="215"/>
        <v>51513862.814774722</v>
      </c>
      <c r="FT117" s="138">
        <f t="shared" si="215"/>
        <v>51513862.814774722</v>
      </c>
      <c r="FU117" s="138">
        <f t="shared" si="215"/>
        <v>51513862.814774722</v>
      </c>
      <c r="FV117" s="138">
        <f t="shared" si="215"/>
        <v>51513862.814774722</v>
      </c>
      <c r="FW117" s="138">
        <f t="shared" si="215"/>
        <v>51513862.814774722</v>
      </c>
      <c r="FX117" s="138">
        <f t="shared" si="215"/>
        <v>51513862.814774722</v>
      </c>
      <c r="FY117" s="138">
        <f t="shared" si="215"/>
        <v>51513862.814774722</v>
      </c>
      <c r="FZ117" s="138">
        <f t="shared" si="215"/>
        <v>51513862.814774722</v>
      </c>
      <c r="GA117" s="138">
        <f t="shared" si="215"/>
        <v>51513862.814774722</v>
      </c>
      <c r="GB117" s="138">
        <f t="shared" si="215"/>
        <v>51513862.814774722</v>
      </c>
      <c r="GC117" s="138">
        <f t="shared" si="215"/>
        <v>51513862.814774722</v>
      </c>
      <c r="GD117" s="138">
        <f t="shared" si="215"/>
        <v>51513862.814774722</v>
      </c>
      <c r="GE117" s="138">
        <f t="shared" si="215"/>
        <v>51513862.814774722</v>
      </c>
      <c r="GF117" s="138">
        <f t="shared" si="215"/>
        <v>51513862.814774722</v>
      </c>
      <c r="GG117" s="138">
        <f t="shared" si="215"/>
        <v>51513862.814774722</v>
      </c>
      <c r="GH117" s="138">
        <f t="shared" si="215"/>
        <v>51513862.814774722</v>
      </c>
      <c r="GI117" s="138">
        <f t="shared" si="215"/>
        <v>51513862.814774722</v>
      </c>
      <c r="GJ117" s="138">
        <f t="shared" si="215"/>
        <v>51513862.814774722</v>
      </c>
      <c r="GK117" s="138">
        <f t="shared" si="215"/>
        <v>51513862.814774722</v>
      </c>
      <c r="GL117" s="138">
        <f t="shared" si="215"/>
        <v>51513862.814774722</v>
      </c>
      <c r="GM117" s="138">
        <f t="shared" si="215"/>
        <v>51513862.814774722</v>
      </c>
      <c r="GN117" s="138">
        <f t="shared" si="215"/>
        <v>51513862.814774722</v>
      </c>
      <c r="GO117" s="138">
        <f t="shared" si="215"/>
        <v>51513862.814774722</v>
      </c>
      <c r="GP117" s="138">
        <f t="shared" ref="GP117:JA117" si="216">SUM(GP100:GP105)</f>
        <v>51513862.814774722</v>
      </c>
      <c r="GQ117" s="138">
        <f t="shared" si="216"/>
        <v>51513862.814774722</v>
      </c>
      <c r="GR117" s="138">
        <f t="shared" si="216"/>
        <v>51513862.814774722</v>
      </c>
      <c r="GS117" s="138">
        <f t="shared" si="216"/>
        <v>51513862.814774722</v>
      </c>
      <c r="GT117" s="138">
        <f t="shared" si="216"/>
        <v>51513862.814774722</v>
      </c>
      <c r="GU117" s="138">
        <f t="shared" si="216"/>
        <v>51513862.814774722</v>
      </c>
      <c r="GV117" s="138">
        <f t="shared" si="216"/>
        <v>51513862.814774722</v>
      </c>
      <c r="GW117" s="138">
        <f t="shared" si="216"/>
        <v>51513862.814774722</v>
      </c>
      <c r="GX117" s="138">
        <f t="shared" si="216"/>
        <v>51513862.814774722</v>
      </c>
      <c r="GY117" s="138">
        <f t="shared" si="216"/>
        <v>51513862.814774722</v>
      </c>
      <c r="GZ117" s="138">
        <f t="shared" si="216"/>
        <v>51513862.814774722</v>
      </c>
      <c r="HA117" s="138">
        <f t="shared" si="216"/>
        <v>51513862.814774722</v>
      </c>
      <c r="HB117" s="138">
        <f t="shared" si="216"/>
        <v>51513862.814774722</v>
      </c>
      <c r="HC117" s="138">
        <f t="shared" si="216"/>
        <v>51513862.814774722</v>
      </c>
      <c r="HD117" s="138">
        <f t="shared" si="216"/>
        <v>51513862.814774722</v>
      </c>
      <c r="HE117" s="138">
        <f t="shared" si="216"/>
        <v>51513862.814774722</v>
      </c>
      <c r="HF117" s="138">
        <f t="shared" si="216"/>
        <v>51513862.814774722</v>
      </c>
      <c r="HG117" s="138">
        <f t="shared" si="216"/>
        <v>51513862.814774722</v>
      </c>
      <c r="HH117" s="138">
        <f t="shared" si="216"/>
        <v>51513862.814774722</v>
      </c>
      <c r="HI117" s="138">
        <f t="shared" si="216"/>
        <v>51513862.814774722</v>
      </c>
      <c r="HJ117" s="138">
        <f t="shared" si="216"/>
        <v>51513862.814774722</v>
      </c>
      <c r="HK117" s="138">
        <f t="shared" si="216"/>
        <v>51513862.814774722</v>
      </c>
      <c r="HL117" s="138">
        <f t="shared" si="216"/>
        <v>51513862.814774722</v>
      </c>
      <c r="HM117" s="138">
        <f t="shared" si="216"/>
        <v>51513862.814774722</v>
      </c>
      <c r="HN117" s="138">
        <f t="shared" si="216"/>
        <v>51513862.814774722</v>
      </c>
      <c r="HO117" s="138">
        <f t="shared" si="216"/>
        <v>51513862.814774722</v>
      </c>
      <c r="HP117" s="138">
        <f t="shared" si="216"/>
        <v>51513862.814774722</v>
      </c>
      <c r="HQ117" s="138">
        <f t="shared" si="216"/>
        <v>51513862.814774722</v>
      </c>
      <c r="HR117" s="138">
        <f t="shared" si="216"/>
        <v>51513862.814774722</v>
      </c>
      <c r="HS117" s="138">
        <f t="shared" si="216"/>
        <v>51513862.814774722</v>
      </c>
      <c r="HT117" s="138">
        <f t="shared" si="216"/>
        <v>51513862.814774722</v>
      </c>
      <c r="HU117" s="138">
        <f t="shared" si="216"/>
        <v>51513862.814774722</v>
      </c>
      <c r="HV117" s="138">
        <f t="shared" si="216"/>
        <v>51513862.814774722</v>
      </c>
      <c r="HW117" s="138">
        <f t="shared" si="216"/>
        <v>51513862.814774722</v>
      </c>
      <c r="HX117" s="138">
        <f t="shared" si="216"/>
        <v>51513862.814774722</v>
      </c>
      <c r="HY117" s="138">
        <f t="shared" si="216"/>
        <v>51513862.814774722</v>
      </c>
      <c r="HZ117" s="138">
        <f t="shared" si="216"/>
        <v>51513862.814774722</v>
      </c>
      <c r="IA117" s="138">
        <f t="shared" si="216"/>
        <v>51513862.814774722</v>
      </c>
      <c r="IB117" s="138">
        <f t="shared" si="216"/>
        <v>51513862.814774722</v>
      </c>
      <c r="IC117" s="138">
        <f t="shared" si="216"/>
        <v>51513862.814774722</v>
      </c>
      <c r="ID117" s="138">
        <f t="shared" si="216"/>
        <v>51513862.814774722</v>
      </c>
      <c r="IE117" s="138">
        <f t="shared" si="216"/>
        <v>51513862.814774722</v>
      </c>
      <c r="IF117" s="138">
        <f t="shared" si="216"/>
        <v>51513862.814774722</v>
      </c>
      <c r="IG117" s="138">
        <f t="shared" si="216"/>
        <v>51513862.814774722</v>
      </c>
      <c r="IH117" s="138">
        <f t="shared" si="216"/>
        <v>51513862.814774722</v>
      </c>
      <c r="II117" s="138">
        <f t="shared" si="216"/>
        <v>51513862.814774722</v>
      </c>
      <c r="IJ117" s="138">
        <f t="shared" si="216"/>
        <v>51513862.814774722</v>
      </c>
      <c r="IK117" s="138">
        <f t="shared" si="216"/>
        <v>0</v>
      </c>
      <c r="IL117" s="138">
        <f t="shared" si="216"/>
        <v>0</v>
      </c>
      <c r="IM117" s="138">
        <f t="shared" si="216"/>
        <v>0</v>
      </c>
      <c r="IN117" s="138">
        <f t="shared" si="216"/>
        <v>0</v>
      </c>
      <c r="IO117" s="138">
        <f t="shared" si="216"/>
        <v>0</v>
      </c>
      <c r="IP117" s="138">
        <f t="shared" si="216"/>
        <v>0</v>
      </c>
      <c r="IQ117" s="138">
        <f t="shared" si="216"/>
        <v>0</v>
      </c>
      <c r="IR117" s="138">
        <f t="shared" si="216"/>
        <v>0</v>
      </c>
      <c r="IS117" s="138">
        <f t="shared" si="216"/>
        <v>0</v>
      </c>
      <c r="IT117" s="138">
        <f t="shared" si="216"/>
        <v>0</v>
      </c>
      <c r="IU117" s="138">
        <f t="shared" si="216"/>
        <v>0</v>
      </c>
      <c r="IV117" s="138">
        <f t="shared" si="216"/>
        <v>0</v>
      </c>
      <c r="IW117" s="138">
        <f t="shared" si="216"/>
        <v>0</v>
      </c>
      <c r="IX117" s="138">
        <f t="shared" si="216"/>
        <v>0</v>
      </c>
      <c r="IY117" s="138">
        <f t="shared" si="216"/>
        <v>0</v>
      </c>
      <c r="IZ117" s="138">
        <f t="shared" si="216"/>
        <v>0</v>
      </c>
      <c r="JA117" s="138">
        <f t="shared" si="216"/>
        <v>0</v>
      </c>
      <c r="JB117" s="138">
        <f t="shared" ref="JB117:LM117" si="217">SUM(JB100:JB105)</f>
        <v>0</v>
      </c>
      <c r="JC117" s="138">
        <f t="shared" si="217"/>
        <v>0</v>
      </c>
      <c r="JD117" s="138">
        <f t="shared" si="217"/>
        <v>0</v>
      </c>
      <c r="JE117" s="138">
        <f t="shared" si="217"/>
        <v>0</v>
      </c>
      <c r="JF117" s="138">
        <f t="shared" si="217"/>
        <v>0</v>
      </c>
      <c r="JG117" s="138">
        <f t="shared" si="217"/>
        <v>0</v>
      </c>
      <c r="JH117" s="138">
        <f t="shared" si="217"/>
        <v>0</v>
      </c>
      <c r="JI117" s="138">
        <f t="shared" si="217"/>
        <v>0</v>
      </c>
      <c r="JJ117" s="138">
        <f t="shared" si="217"/>
        <v>0</v>
      </c>
      <c r="JK117" s="138">
        <f t="shared" si="217"/>
        <v>0</v>
      </c>
      <c r="JL117" s="138">
        <f t="shared" si="217"/>
        <v>0</v>
      </c>
      <c r="JM117" s="138">
        <f t="shared" si="217"/>
        <v>0</v>
      </c>
      <c r="JN117" s="138">
        <f t="shared" si="217"/>
        <v>0</v>
      </c>
      <c r="JO117" s="138">
        <f t="shared" si="217"/>
        <v>0</v>
      </c>
      <c r="JP117" s="138">
        <f t="shared" si="217"/>
        <v>0</v>
      </c>
      <c r="JQ117" s="138">
        <f t="shared" si="217"/>
        <v>0</v>
      </c>
      <c r="JR117" s="138">
        <f t="shared" si="217"/>
        <v>0</v>
      </c>
      <c r="JS117" s="138">
        <f t="shared" si="217"/>
        <v>0</v>
      </c>
      <c r="JT117" s="138">
        <f t="shared" si="217"/>
        <v>0</v>
      </c>
      <c r="JU117" s="138">
        <f t="shared" si="217"/>
        <v>0</v>
      </c>
      <c r="JV117" s="138">
        <f t="shared" si="217"/>
        <v>0</v>
      </c>
      <c r="JW117" s="138">
        <f t="shared" si="217"/>
        <v>0</v>
      </c>
      <c r="JX117" s="138">
        <f t="shared" si="217"/>
        <v>0</v>
      </c>
      <c r="JY117" s="138">
        <f t="shared" si="217"/>
        <v>0</v>
      </c>
      <c r="JZ117" s="138">
        <f t="shared" si="217"/>
        <v>0</v>
      </c>
      <c r="KA117" s="138">
        <f t="shared" si="217"/>
        <v>0</v>
      </c>
      <c r="KB117" s="138">
        <f t="shared" si="217"/>
        <v>0</v>
      </c>
      <c r="KC117" s="138">
        <f t="shared" si="217"/>
        <v>0</v>
      </c>
      <c r="KD117" s="138">
        <f t="shared" si="217"/>
        <v>0</v>
      </c>
      <c r="KE117" s="138">
        <f t="shared" si="217"/>
        <v>0</v>
      </c>
      <c r="KF117" s="138">
        <f t="shared" si="217"/>
        <v>0</v>
      </c>
      <c r="KG117" s="138">
        <f t="shared" si="217"/>
        <v>0</v>
      </c>
      <c r="KH117" s="138">
        <f t="shared" si="217"/>
        <v>0</v>
      </c>
      <c r="KI117" s="138">
        <f t="shared" si="217"/>
        <v>0</v>
      </c>
      <c r="KJ117" s="138">
        <f t="shared" si="217"/>
        <v>0</v>
      </c>
      <c r="KK117" s="138">
        <f t="shared" si="217"/>
        <v>0</v>
      </c>
      <c r="KL117" s="138">
        <f t="shared" si="217"/>
        <v>0</v>
      </c>
      <c r="KM117" s="138">
        <f t="shared" si="217"/>
        <v>0</v>
      </c>
      <c r="KN117" s="138">
        <f t="shared" si="217"/>
        <v>0</v>
      </c>
      <c r="KO117" s="138">
        <f t="shared" si="217"/>
        <v>0</v>
      </c>
      <c r="KP117" s="138">
        <f t="shared" si="217"/>
        <v>0</v>
      </c>
      <c r="KQ117" s="138">
        <f t="shared" si="217"/>
        <v>0</v>
      </c>
      <c r="KR117" s="138">
        <f t="shared" si="217"/>
        <v>0</v>
      </c>
      <c r="KS117" s="138">
        <f t="shared" si="217"/>
        <v>0</v>
      </c>
      <c r="KT117" s="138">
        <f t="shared" si="217"/>
        <v>0</v>
      </c>
      <c r="KU117" s="138">
        <f t="shared" si="217"/>
        <v>0</v>
      </c>
      <c r="KV117" s="138">
        <f t="shared" si="217"/>
        <v>0</v>
      </c>
      <c r="KW117" s="138">
        <f t="shared" si="217"/>
        <v>0</v>
      </c>
      <c r="KX117" s="138">
        <f t="shared" si="217"/>
        <v>0</v>
      </c>
      <c r="KY117" s="138">
        <f t="shared" si="217"/>
        <v>0</v>
      </c>
      <c r="KZ117" s="138">
        <f t="shared" si="217"/>
        <v>0</v>
      </c>
      <c r="LA117" s="138">
        <f t="shared" si="217"/>
        <v>0</v>
      </c>
      <c r="LB117" s="138">
        <f t="shared" si="217"/>
        <v>0</v>
      </c>
      <c r="LC117" s="138">
        <f t="shared" si="217"/>
        <v>0</v>
      </c>
      <c r="LD117" s="138">
        <f t="shared" si="217"/>
        <v>0</v>
      </c>
      <c r="LE117" s="138">
        <f t="shared" si="217"/>
        <v>0</v>
      </c>
      <c r="LF117" s="138">
        <f t="shared" si="217"/>
        <v>0</v>
      </c>
      <c r="LG117" s="138">
        <f t="shared" si="217"/>
        <v>0</v>
      </c>
      <c r="LH117" s="138">
        <f t="shared" si="217"/>
        <v>0</v>
      </c>
      <c r="LI117" s="138">
        <f t="shared" si="217"/>
        <v>0</v>
      </c>
      <c r="LJ117" s="138">
        <f t="shared" si="217"/>
        <v>0</v>
      </c>
      <c r="LK117" s="138">
        <f t="shared" si="217"/>
        <v>0</v>
      </c>
      <c r="LL117" s="138">
        <f t="shared" si="217"/>
        <v>0</v>
      </c>
      <c r="LM117" s="138">
        <f t="shared" si="217"/>
        <v>0</v>
      </c>
      <c r="LN117" s="138">
        <f t="shared" ref="LN117:NY117" si="218">SUM(LN100:LN105)</f>
        <v>0</v>
      </c>
      <c r="LO117" s="138">
        <f t="shared" si="218"/>
        <v>0</v>
      </c>
      <c r="LP117" s="138">
        <f t="shared" si="218"/>
        <v>0</v>
      </c>
      <c r="LQ117" s="138">
        <f t="shared" si="218"/>
        <v>0</v>
      </c>
      <c r="LR117" s="138">
        <f t="shared" si="218"/>
        <v>0</v>
      </c>
      <c r="LS117" s="138">
        <f t="shared" si="218"/>
        <v>0</v>
      </c>
      <c r="LT117" s="138">
        <f t="shared" si="218"/>
        <v>0</v>
      </c>
      <c r="LU117" s="138">
        <f t="shared" si="218"/>
        <v>0</v>
      </c>
      <c r="LV117" s="138">
        <f t="shared" si="218"/>
        <v>0</v>
      </c>
      <c r="LW117" s="138">
        <f t="shared" si="218"/>
        <v>0</v>
      </c>
      <c r="LX117" s="138">
        <f t="shared" si="218"/>
        <v>0</v>
      </c>
      <c r="LY117" s="138">
        <f t="shared" si="218"/>
        <v>0</v>
      </c>
      <c r="LZ117" s="138">
        <f t="shared" si="218"/>
        <v>0</v>
      </c>
      <c r="MA117" s="138">
        <f t="shared" si="218"/>
        <v>0</v>
      </c>
      <c r="MB117" s="138">
        <f t="shared" si="218"/>
        <v>0</v>
      </c>
      <c r="MC117" s="138">
        <f t="shared" si="218"/>
        <v>0</v>
      </c>
      <c r="MD117" s="138">
        <f t="shared" si="218"/>
        <v>0</v>
      </c>
      <c r="ME117" s="138">
        <f t="shared" si="218"/>
        <v>0</v>
      </c>
      <c r="MF117" s="138">
        <f t="shared" si="218"/>
        <v>0</v>
      </c>
      <c r="MG117" s="138">
        <f t="shared" si="218"/>
        <v>0</v>
      </c>
      <c r="MH117" s="138">
        <f t="shared" si="218"/>
        <v>0</v>
      </c>
      <c r="MI117" s="138">
        <f t="shared" si="218"/>
        <v>0</v>
      </c>
      <c r="MJ117" s="138">
        <f t="shared" si="218"/>
        <v>0</v>
      </c>
      <c r="MK117" s="138">
        <f t="shared" si="218"/>
        <v>0</v>
      </c>
      <c r="ML117" s="138">
        <f t="shared" si="218"/>
        <v>0</v>
      </c>
      <c r="MM117" s="138">
        <f t="shared" si="218"/>
        <v>0</v>
      </c>
      <c r="MN117" s="138">
        <f t="shared" si="218"/>
        <v>0</v>
      </c>
      <c r="MO117" s="138">
        <f t="shared" si="218"/>
        <v>0</v>
      </c>
      <c r="MP117" s="138">
        <f t="shared" si="218"/>
        <v>0</v>
      </c>
      <c r="MQ117" s="138">
        <f t="shared" si="218"/>
        <v>0</v>
      </c>
      <c r="MR117" s="138">
        <f t="shared" si="218"/>
        <v>0</v>
      </c>
      <c r="MS117" s="138">
        <f t="shared" si="218"/>
        <v>0</v>
      </c>
      <c r="MT117" s="138">
        <f t="shared" si="218"/>
        <v>0</v>
      </c>
      <c r="MU117" s="138">
        <f t="shared" si="218"/>
        <v>0</v>
      </c>
      <c r="MV117" s="138">
        <f t="shared" si="218"/>
        <v>0</v>
      </c>
      <c r="MW117" s="138">
        <f t="shared" si="218"/>
        <v>0</v>
      </c>
      <c r="MX117" s="138">
        <f t="shared" si="218"/>
        <v>0</v>
      </c>
      <c r="MY117" s="138">
        <f t="shared" si="218"/>
        <v>0</v>
      </c>
      <c r="MZ117" s="138">
        <f t="shared" si="218"/>
        <v>0</v>
      </c>
      <c r="NA117" s="138">
        <f t="shared" si="218"/>
        <v>0</v>
      </c>
      <c r="NB117" s="138">
        <f t="shared" si="218"/>
        <v>0</v>
      </c>
      <c r="NC117" s="138">
        <f t="shared" si="218"/>
        <v>0</v>
      </c>
      <c r="ND117" s="138">
        <f t="shared" si="218"/>
        <v>0</v>
      </c>
      <c r="NE117" s="138">
        <f t="shared" si="218"/>
        <v>0</v>
      </c>
      <c r="NF117" s="138">
        <f t="shared" si="218"/>
        <v>0</v>
      </c>
      <c r="NG117" s="138">
        <f t="shared" si="218"/>
        <v>0</v>
      </c>
      <c r="NH117" s="138">
        <f t="shared" si="218"/>
        <v>0</v>
      </c>
      <c r="NI117" s="138">
        <f t="shared" si="218"/>
        <v>0</v>
      </c>
      <c r="NJ117" s="138">
        <f t="shared" si="218"/>
        <v>0</v>
      </c>
      <c r="NK117" s="138">
        <f t="shared" si="218"/>
        <v>0</v>
      </c>
      <c r="NL117" s="138">
        <f t="shared" si="218"/>
        <v>0</v>
      </c>
      <c r="NM117" s="138">
        <f t="shared" si="218"/>
        <v>0</v>
      </c>
      <c r="NN117" s="138">
        <f t="shared" si="218"/>
        <v>0</v>
      </c>
      <c r="NO117" s="138">
        <f t="shared" si="218"/>
        <v>0</v>
      </c>
      <c r="NP117" s="138">
        <f t="shared" si="218"/>
        <v>0</v>
      </c>
      <c r="NQ117" s="138">
        <f t="shared" si="218"/>
        <v>0</v>
      </c>
      <c r="NR117" s="138">
        <f t="shared" si="218"/>
        <v>0</v>
      </c>
      <c r="NS117" s="138">
        <f t="shared" si="218"/>
        <v>0</v>
      </c>
      <c r="NT117" s="138">
        <f t="shared" si="218"/>
        <v>0</v>
      </c>
      <c r="NU117" s="138">
        <f t="shared" si="218"/>
        <v>0</v>
      </c>
      <c r="NV117" s="138">
        <f t="shared" si="218"/>
        <v>0</v>
      </c>
      <c r="NW117" s="138">
        <f t="shared" si="218"/>
        <v>0</v>
      </c>
      <c r="NX117" s="138">
        <f t="shared" si="218"/>
        <v>0</v>
      </c>
      <c r="NY117" s="138">
        <f t="shared" si="218"/>
        <v>0</v>
      </c>
      <c r="NZ117" s="138">
        <f t="shared" ref="NZ117:QK117" si="219">SUM(NZ100:NZ105)</f>
        <v>0</v>
      </c>
      <c r="OA117" s="138">
        <f t="shared" si="219"/>
        <v>0</v>
      </c>
      <c r="OB117" s="138">
        <f t="shared" si="219"/>
        <v>0</v>
      </c>
      <c r="OC117" s="138">
        <f t="shared" si="219"/>
        <v>0</v>
      </c>
      <c r="OD117" s="138">
        <f t="shared" si="219"/>
        <v>0</v>
      </c>
      <c r="OE117" s="138">
        <f t="shared" si="219"/>
        <v>0</v>
      </c>
      <c r="OF117" s="138">
        <f t="shared" si="219"/>
        <v>0</v>
      </c>
      <c r="OG117" s="138">
        <f t="shared" si="219"/>
        <v>0</v>
      </c>
      <c r="OH117" s="138">
        <f t="shared" si="219"/>
        <v>0</v>
      </c>
      <c r="OI117" s="138">
        <f t="shared" si="219"/>
        <v>0</v>
      </c>
      <c r="OJ117" s="138">
        <f t="shared" si="219"/>
        <v>0</v>
      </c>
      <c r="OK117" s="138">
        <f t="shared" si="219"/>
        <v>0</v>
      </c>
      <c r="OL117" s="138">
        <f t="shared" si="219"/>
        <v>0</v>
      </c>
      <c r="OM117" s="138">
        <f t="shared" si="219"/>
        <v>0</v>
      </c>
      <c r="ON117" s="138">
        <f t="shared" si="219"/>
        <v>0</v>
      </c>
      <c r="OO117" s="138">
        <f t="shared" si="219"/>
        <v>0</v>
      </c>
      <c r="OP117" s="138">
        <f t="shared" si="219"/>
        <v>0</v>
      </c>
      <c r="OQ117" s="138">
        <f t="shared" si="219"/>
        <v>0</v>
      </c>
      <c r="OR117" s="138">
        <f t="shared" si="219"/>
        <v>0</v>
      </c>
      <c r="OS117" s="138">
        <f t="shared" si="219"/>
        <v>0</v>
      </c>
      <c r="OT117" s="138">
        <f t="shared" si="219"/>
        <v>0</v>
      </c>
      <c r="OU117" s="138">
        <f t="shared" si="219"/>
        <v>0</v>
      </c>
      <c r="OV117" s="138">
        <f t="shared" si="219"/>
        <v>0</v>
      </c>
      <c r="OW117" s="138">
        <f t="shared" si="219"/>
        <v>0</v>
      </c>
      <c r="OX117" s="138">
        <f t="shared" si="219"/>
        <v>0</v>
      </c>
      <c r="OY117" s="138">
        <f t="shared" si="219"/>
        <v>0</v>
      </c>
      <c r="OZ117" s="138">
        <f t="shared" si="219"/>
        <v>0</v>
      </c>
      <c r="PA117" s="138">
        <f t="shared" si="219"/>
        <v>0</v>
      </c>
      <c r="PB117" s="138">
        <f t="shared" si="219"/>
        <v>0</v>
      </c>
      <c r="PC117" s="138">
        <f t="shared" si="219"/>
        <v>0</v>
      </c>
      <c r="PD117" s="138">
        <f t="shared" si="219"/>
        <v>0</v>
      </c>
      <c r="PE117" s="138">
        <f t="shared" si="219"/>
        <v>0</v>
      </c>
      <c r="PF117" s="138">
        <f t="shared" si="219"/>
        <v>0</v>
      </c>
      <c r="PG117" s="138">
        <f t="shared" si="219"/>
        <v>0</v>
      </c>
      <c r="PH117" s="138">
        <f t="shared" si="219"/>
        <v>0</v>
      </c>
      <c r="PI117" s="138">
        <f t="shared" si="219"/>
        <v>0</v>
      </c>
      <c r="PJ117" s="138">
        <f t="shared" si="219"/>
        <v>0</v>
      </c>
      <c r="PK117" s="138">
        <f t="shared" si="219"/>
        <v>0</v>
      </c>
      <c r="PL117" s="138">
        <f t="shared" si="219"/>
        <v>0</v>
      </c>
      <c r="PM117" s="138">
        <f t="shared" si="219"/>
        <v>0</v>
      </c>
      <c r="PN117" s="138">
        <f t="shared" si="219"/>
        <v>0</v>
      </c>
      <c r="PO117" s="138">
        <f t="shared" si="219"/>
        <v>0</v>
      </c>
      <c r="PP117" s="138">
        <f t="shared" si="219"/>
        <v>0</v>
      </c>
      <c r="PQ117" s="138">
        <f t="shared" si="219"/>
        <v>0</v>
      </c>
      <c r="PR117" s="138">
        <f t="shared" si="219"/>
        <v>0</v>
      </c>
      <c r="PS117" s="138">
        <f t="shared" si="219"/>
        <v>0</v>
      </c>
      <c r="PT117" s="138">
        <f t="shared" si="219"/>
        <v>0</v>
      </c>
      <c r="PU117" s="138">
        <f t="shared" si="219"/>
        <v>0</v>
      </c>
      <c r="PV117" s="138">
        <f t="shared" si="219"/>
        <v>0</v>
      </c>
      <c r="PW117" s="138">
        <f t="shared" si="219"/>
        <v>0</v>
      </c>
      <c r="PX117" s="138">
        <f t="shared" si="219"/>
        <v>0</v>
      </c>
      <c r="PY117" s="138">
        <f t="shared" si="219"/>
        <v>0</v>
      </c>
      <c r="PZ117" s="138">
        <f t="shared" si="219"/>
        <v>0</v>
      </c>
      <c r="QA117" s="138">
        <f t="shared" si="219"/>
        <v>0</v>
      </c>
      <c r="QB117" s="138">
        <f t="shared" si="219"/>
        <v>0</v>
      </c>
      <c r="QC117" s="138">
        <f t="shared" si="219"/>
        <v>0</v>
      </c>
      <c r="QD117" s="138">
        <f t="shared" si="219"/>
        <v>0</v>
      </c>
      <c r="QE117" s="138">
        <f t="shared" si="219"/>
        <v>0</v>
      </c>
      <c r="QF117" s="138">
        <f t="shared" si="219"/>
        <v>0</v>
      </c>
      <c r="QG117" s="138">
        <f t="shared" si="219"/>
        <v>0</v>
      </c>
      <c r="QH117" s="138">
        <f t="shared" si="219"/>
        <v>0</v>
      </c>
      <c r="QI117" s="138">
        <f t="shared" si="219"/>
        <v>0</v>
      </c>
      <c r="QJ117" s="138">
        <f t="shared" si="219"/>
        <v>0</v>
      </c>
      <c r="QK117" s="138">
        <f t="shared" si="219"/>
        <v>0</v>
      </c>
      <c r="QL117" s="138">
        <f t="shared" ref="QL117:RR117" si="220">SUM(QL100:QL105)</f>
        <v>0</v>
      </c>
      <c r="QM117" s="138">
        <f t="shared" si="220"/>
        <v>0</v>
      </c>
      <c r="QN117" s="138">
        <f t="shared" si="220"/>
        <v>0</v>
      </c>
      <c r="QO117" s="138">
        <f t="shared" si="220"/>
        <v>0</v>
      </c>
      <c r="QP117" s="138">
        <f t="shared" si="220"/>
        <v>0</v>
      </c>
      <c r="QQ117" s="138">
        <f t="shared" si="220"/>
        <v>0</v>
      </c>
      <c r="QR117" s="138">
        <f t="shared" si="220"/>
        <v>0</v>
      </c>
      <c r="QS117" s="138">
        <f t="shared" si="220"/>
        <v>0</v>
      </c>
      <c r="QT117" s="138">
        <f t="shared" si="220"/>
        <v>0</v>
      </c>
      <c r="QU117" s="138">
        <f t="shared" si="220"/>
        <v>0</v>
      </c>
      <c r="QV117" s="138">
        <f t="shared" si="220"/>
        <v>0</v>
      </c>
      <c r="QW117" s="138">
        <f t="shared" si="220"/>
        <v>0</v>
      </c>
      <c r="QX117" s="138">
        <f t="shared" si="220"/>
        <v>0</v>
      </c>
      <c r="QY117" s="138">
        <f t="shared" si="220"/>
        <v>0</v>
      </c>
      <c r="QZ117" s="138">
        <f t="shared" si="220"/>
        <v>0</v>
      </c>
      <c r="RA117" s="138">
        <f t="shared" si="220"/>
        <v>0</v>
      </c>
      <c r="RB117" s="138">
        <f t="shared" si="220"/>
        <v>0</v>
      </c>
      <c r="RC117" s="138">
        <f t="shared" si="220"/>
        <v>0</v>
      </c>
      <c r="RD117" s="138">
        <f t="shared" si="220"/>
        <v>0</v>
      </c>
      <c r="RE117" s="138">
        <f t="shared" si="220"/>
        <v>0</v>
      </c>
      <c r="RF117" s="138">
        <f t="shared" si="220"/>
        <v>0</v>
      </c>
      <c r="RG117" s="138">
        <f t="shared" si="220"/>
        <v>0</v>
      </c>
      <c r="RH117" s="138">
        <f t="shared" si="220"/>
        <v>0</v>
      </c>
      <c r="RI117" s="138">
        <f t="shared" si="220"/>
        <v>0</v>
      </c>
      <c r="RJ117" s="138">
        <f t="shared" si="220"/>
        <v>0</v>
      </c>
      <c r="RK117" s="138">
        <f t="shared" si="220"/>
        <v>0</v>
      </c>
      <c r="RL117" s="138">
        <f t="shared" si="220"/>
        <v>0</v>
      </c>
      <c r="RM117" s="138">
        <f t="shared" si="220"/>
        <v>0</v>
      </c>
      <c r="RN117" s="138">
        <f t="shared" si="220"/>
        <v>0</v>
      </c>
      <c r="RO117" s="138">
        <f t="shared" si="220"/>
        <v>0</v>
      </c>
      <c r="RP117" s="138">
        <f t="shared" si="220"/>
        <v>0</v>
      </c>
      <c r="RQ117" s="138">
        <f t="shared" si="220"/>
        <v>0</v>
      </c>
      <c r="RR117" s="138">
        <f t="shared" si="220"/>
        <v>0</v>
      </c>
    </row>
    <row r="118" spans="1:486" s="9" customFormat="1" ht="43.2">
      <c r="A118" s="132" t="s">
        <v>271</v>
      </c>
      <c r="B118" s="142"/>
      <c r="E118" s="138">
        <f>SUM(E110:E111)</f>
        <v>88996133.220760718</v>
      </c>
      <c r="F118" s="138">
        <f t="shared" ref="F118:BQ118" ca="1" si="221">SUM(F110:F111)</f>
        <v>89284480.804968819</v>
      </c>
      <c r="G118" s="138">
        <f t="shared" ca="1" si="221"/>
        <v>89573762.635714501</v>
      </c>
      <c r="H118" s="138">
        <f t="shared" ca="1" si="221"/>
        <v>89863981.73995772</v>
      </c>
      <c r="I118" s="138">
        <f t="shared" ca="1" si="221"/>
        <v>90155141.15446578</v>
      </c>
      <c r="J118" s="138">
        <f t="shared" ca="1" si="221"/>
        <v>90447243.925845146</v>
      </c>
      <c r="K118" s="138">
        <f t="shared" ca="1" si="221"/>
        <v>90740293.110573247</v>
      </c>
      <c r="L118" s="138">
        <f t="shared" ca="1" si="221"/>
        <v>91034291.775030568</v>
      </c>
      <c r="M118" s="138">
        <f t="shared" ca="1" si="221"/>
        <v>91329242.995532602</v>
      </c>
      <c r="N118" s="138">
        <f t="shared" ca="1" si="221"/>
        <v>91625149.858362168</v>
      </c>
      <c r="O118" s="138">
        <f t="shared" ca="1" si="221"/>
        <v>91922015.459801584</v>
      </c>
      <c r="P118" s="138">
        <f t="shared" ca="1" si="221"/>
        <v>92219842.906165168</v>
      </c>
      <c r="Q118" s="138">
        <f t="shared" ca="1" si="221"/>
        <v>92518635.313831717</v>
      </c>
      <c r="R118" s="138">
        <f t="shared" ca="1" si="221"/>
        <v>92818395.809277043</v>
      </c>
      <c r="S118" s="138">
        <f t="shared" ca="1" si="221"/>
        <v>93119127.529106781</v>
      </c>
      <c r="T118" s="138">
        <f t="shared" ca="1" si="221"/>
        <v>93420833.620089188</v>
      </c>
      <c r="U118" s="138">
        <f t="shared" ca="1" si="221"/>
        <v>93723517.239187986</v>
      </c>
      <c r="V118" s="138">
        <f t="shared" ca="1" si="221"/>
        <v>94027181.553595543</v>
      </c>
      <c r="W118" s="138">
        <f t="shared" ca="1" si="221"/>
        <v>94331829.740765885</v>
      </c>
      <c r="X118" s="138">
        <f t="shared" ca="1" si="221"/>
        <v>94637464.988448039</v>
      </c>
      <c r="Y118" s="138">
        <f t="shared" ca="1" si="221"/>
        <v>94944090.494719267</v>
      </c>
      <c r="Z118" s="138">
        <f t="shared" ca="1" si="221"/>
        <v>95251709.468018681</v>
      </c>
      <c r="AA118" s="138">
        <f t="shared" ca="1" si="221"/>
        <v>95560325.127180696</v>
      </c>
      <c r="AB118" s="138">
        <f t="shared" ca="1" si="221"/>
        <v>95869940.701468766</v>
      </c>
      <c r="AC118" s="138">
        <f t="shared" ca="1" si="221"/>
        <v>96180559.430609167</v>
      </c>
      <c r="AD118" s="138">
        <f t="shared" ca="1" si="221"/>
        <v>96492184.564824894</v>
      </c>
      <c r="AE118" s="138">
        <f t="shared" ca="1" si="221"/>
        <v>96804819.364869669</v>
      </c>
      <c r="AF118" s="138">
        <f t="shared" ca="1" si="221"/>
        <v>97118467.102062032</v>
      </c>
      <c r="AG118" s="138">
        <f t="shared" ca="1" si="221"/>
        <v>97433131.058319643</v>
      </c>
      <c r="AH118" s="138">
        <f t="shared" ca="1" si="221"/>
        <v>97748814.526193544</v>
      </c>
      <c r="AI118" s="138">
        <f t="shared" ca="1" si="221"/>
        <v>98065520.808902681</v>
      </c>
      <c r="AJ118" s="138">
        <f t="shared" ca="1" si="221"/>
        <v>98383253.2203684</v>
      </c>
      <c r="AK118" s="138">
        <f t="shared" ca="1" si="221"/>
        <v>98702015.085249171</v>
      </c>
      <c r="AL118" s="138">
        <f t="shared" ca="1" si="221"/>
        <v>99021809.738975361</v>
      </c>
      <c r="AM118" s="138">
        <f t="shared" ca="1" si="221"/>
        <v>99342640.527784154</v>
      </c>
      <c r="AN118" s="138">
        <f t="shared" ca="1" si="221"/>
        <v>99664510.808754489</v>
      </c>
      <c r="AO118" s="138">
        <f t="shared" ca="1" si="221"/>
        <v>99987423.949842319</v>
      </c>
      <c r="AP118" s="138">
        <f t="shared" ca="1" si="221"/>
        <v>100311383.32991572</v>
      </c>
      <c r="AQ118" s="138">
        <f t="shared" ca="1" si="221"/>
        <v>100636392.33879036</v>
      </c>
      <c r="AR118" s="138">
        <f t="shared" ca="1" si="221"/>
        <v>100962454.37726484</v>
      </c>
      <c r="AS118" s="138">
        <f t="shared" ca="1" si="221"/>
        <v>101289572.85715644</v>
      </c>
      <c r="AT118" s="138">
        <f t="shared" ca="1" si="221"/>
        <v>101617751.20133665</v>
      </c>
      <c r="AU118" s="138">
        <f t="shared" ca="1" si="221"/>
        <v>101946992.84376715</v>
      </c>
      <c r="AV118" s="138">
        <f t="shared" ca="1" si="221"/>
        <v>102277301.22953558</v>
      </c>
      <c r="AW118" s="138">
        <f t="shared" ca="1" si="221"/>
        <v>102608679.8148917</v>
      </c>
      <c r="AX118" s="138">
        <f t="shared" ca="1" si="221"/>
        <v>102941132.06728354</v>
      </c>
      <c r="AY118" s="138">
        <f t="shared" ca="1" si="221"/>
        <v>103274661.46539366</v>
      </c>
      <c r="AZ118" s="138">
        <f t="shared" ca="1" si="221"/>
        <v>103609271.49917555</v>
      </c>
      <c r="BA118" s="138">
        <f t="shared" ca="1" si="221"/>
        <v>103944965.66989015</v>
      </c>
      <c r="BB118" s="138">
        <f t="shared" ca="1" si="221"/>
        <v>104281747.49014249</v>
      </c>
      <c r="BC118" s="138">
        <f t="shared" ca="1" si="221"/>
        <v>104619620.48391844</v>
      </c>
      <c r="BD118" s="138">
        <f t="shared" ca="1" si="221"/>
        <v>104958588.18662162</v>
      </c>
      <c r="BE118" s="138">
        <f t="shared" ca="1" si="221"/>
        <v>105298654.14511029</v>
      </c>
      <c r="BF118" s="138">
        <f t="shared" ca="1" si="221"/>
        <v>105639821.91773465</v>
      </c>
      <c r="BG118" s="138">
        <f t="shared" ca="1" si="221"/>
        <v>105982095.07437386</v>
      </c>
      <c r="BH118" s="138">
        <f t="shared" ca="1" si="221"/>
        <v>106325477.19647352</v>
      </c>
      <c r="BI118" s="138">
        <f t="shared" ca="1" si="221"/>
        <v>106669971.87708315</v>
      </c>
      <c r="BJ118" s="138">
        <f t="shared" ca="1" si="221"/>
        <v>107015582.7208937</v>
      </c>
      <c r="BK118" s="138">
        <f t="shared" ca="1" si="221"/>
        <v>107362313.34427537</v>
      </c>
      <c r="BL118" s="138">
        <f t="shared" ca="1" si="221"/>
        <v>107710167.37531537</v>
      </c>
      <c r="BM118" s="138">
        <f t="shared" ca="1" si="221"/>
        <v>38527757.092356443</v>
      </c>
      <c r="BN118" s="138">
        <f t="shared" ca="1" si="221"/>
        <v>38620997.508488208</v>
      </c>
      <c r="BO118" s="138">
        <f t="shared" ca="1" si="221"/>
        <v>38714540.032435223</v>
      </c>
      <c r="BP118" s="138">
        <f t="shared" ca="1" si="221"/>
        <v>38808385.643055566</v>
      </c>
      <c r="BQ118" s="138">
        <f t="shared" ca="1" si="221"/>
        <v>38902535.322378859</v>
      </c>
      <c r="BR118" s="138">
        <f t="shared" ref="BR118:EC118" ca="1" si="222">SUM(BR110:BR111)</f>
        <v>38996990.055616617</v>
      </c>
      <c r="BS118" s="138">
        <f t="shared" ca="1" si="222"/>
        <v>39091750.831172541</v>
      </c>
      <c r="BT118" s="138">
        <f t="shared" ca="1" si="222"/>
        <v>39186818.640652843</v>
      </c>
      <c r="BU118" s="138">
        <f t="shared" ca="1" si="222"/>
        <v>39282194.478876643</v>
      </c>
      <c r="BV118" s="138">
        <f t="shared" ca="1" si="222"/>
        <v>39377879.343886361</v>
      </c>
      <c r="BW118" s="138">
        <f t="shared" ca="1" si="222"/>
        <v>39473874.236958161</v>
      </c>
      <c r="BX118" s="138">
        <f t="shared" ca="1" si="222"/>
        <v>39570180.162612461</v>
      </c>
      <c r="BY118" s="138">
        <f t="shared" ca="1" si="222"/>
        <v>39666798.128624402</v>
      </c>
      <c r="BZ118" s="138">
        <f t="shared" ca="1" si="222"/>
        <v>39763729.14603442</v>
      </c>
      <c r="CA118" s="138">
        <f t="shared" ca="1" si="222"/>
        <v>39860974.229158804</v>
      </c>
      <c r="CB118" s="138">
        <f t="shared" ca="1" si="222"/>
        <v>39958534.395600356</v>
      </c>
      <c r="CC118" s="138">
        <f t="shared" ca="1" si="222"/>
        <v>40056410.666258976</v>
      </c>
      <c r="CD118" s="138">
        <f t="shared" ca="1" si="222"/>
        <v>40154604.065342374</v>
      </c>
      <c r="CE118" s="138">
        <f t="shared" ca="1" si="222"/>
        <v>40253115.620376833</v>
      </c>
      <c r="CF118" s="138">
        <f t="shared" ca="1" si="222"/>
        <v>40351946.362217873</v>
      </c>
      <c r="CG118" s="138">
        <f t="shared" ca="1" si="222"/>
        <v>40451097.325061105</v>
      </c>
      <c r="CH118" s="138">
        <f t="shared" ca="1" si="222"/>
        <v>40550569.546453036</v>
      </c>
      <c r="CI118" s="138">
        <f t="shared" ca="1" si="222"/>
        <v>40650364.067301907</v>
      </c>
      <c r="CJ118" s="138">
        <f t="shared" ca="1" si="222"/>
        <v>40750481.93188861</v>
      </c>
      <c r="CK118" s="138">
        <f t="shared" ca="1" si="222"/>
        <v>40850924.18787761</v>
      </c>
      <c r="CL118" s="138">
        <f t="shared" ca="1" si="222"/>
        <v>40951691.886327893</v>
      </c>
      <c r="CM118" s="138">
        <f t="shared" ca="1" si="222"/>
        <v>41052786.081703991</v>
      </c>
      <c r="CN118" s="138">
        <f t="shared" ca="1" si="222"/>
        <v>41154207.831886984</v>
      </c>
      <c r="CO118" s="138">
        <f t="shared" ca="1" si="222"/>
        <v>41255958.1981856</v>
      </c>
      <c r="CP118" s="138">
        <f t="shared" ca="1" si="222"/>
        <v>41358038.245347314</v>
      </c>
      <c r="CQ118" s="138">
        <f t="shared" ca="1" si="222"/>
        <v>41460449.041569456</v>
      </c>
      <c r="CR118" s="138">
        <f t="shared" ca="1" si="222"/>
        <v>41563191.658510454</v>
      </c>
      <c r="CS118" s="138">
        <f t="shared" ca="1" si="222"/>
        <v>41666267.171300985</v>
      </c>
      <c r="CT118" s="138">
        <f t="shared" ca="1" si="222"/>
        <v>41769676.658555262</v>
      </c>
      <c r="CU118" s="138">
        <f t="shared" ca="1" si="222"/>
        <v>41873421.202382304</v>
      </c>
      <c r="CV118" s="138">
        <f t="shared" ca="1" si="222"/>
        <v>41977501.888397262</v>
      </c>
      <c r="CW118" s="138">
        <f t="shared" ca="1" si="222"/>
        <v>42081919.805732816</v>
      </c>
      <c r="CX118" s="138">
        <f t="shared" ca="1" si="222"/>
        <v>42186676.047050491</v>
      </c>
      <c r="CY118" s="138">
        <f t="shared" ca="1" si="222"/>
        <v>42291771.708552182</v>
      </c>
      <c r="CZ118" s="138">
        <f t="shared" ca="1" si="222"/>
        <v>42397207.889991552</v>
      </c>
      <c r="DA118" s="138">
        <f t="shared" ca="1" si="222"/>
        <v>42502985.694685586</v>
      </c>
      <c r="DB118" s="138">
        <f t="shared" ca="1" si="222"/>
        <v>42609106.229526117</v>
      </c>
      <c r="DC118" s="138">
        <f t="shared" ca="1" si="222"/>
        <v>42715570.604991414</v>
      </c>
      <c r="DD118" s="138">
        <f t="shared" ca="1" si="222"/>
        <v>42822379.935157798</v>
      </c>
      <c r="DE118" s="138">
        <f t="shared" ca="1" si="222"/>
        <v>42929535.337711312</v>
      </c>
      <c r="DF118" s="138">
        <f t="shared" ca="1" si="222"/>
        <v>43037037.933959395</v>
      </c>
      <c r="DG118" s="138">
        <f t="shared" ca="1" si="222"/>
        <v>43144888.848842628</v>
      </c>
      <c r="DH118" s="138">
        <f t="shared" ca="1" si="222"/>
        <v>43253089.21094653</v>
      </c>
      <c r="DI118" s="138">
        <f t="shared" ca="1" si="222"/>
        <v>43361640.152513325</v>
      </c>
      <c r="DJ118" s="138">
        <f t="shared" ca="1" si="222"/>
        <v>43470542.809453793</v>
      </c>
      <c r="DK118" s="138">
        <f t="shared" ca="1" si="222"/>
        <v>43579798.321359217</v>
      </c>
      <c r="DL118" s="138">
        <f t="shared" ca="1" si="222"/>
        <v>43689407.831513226</v>
      </c>
      <c r="DM118" s="138">
        <f t="shared" ca="1" si="222"/>
        <v>43799372.486903816</v>
      </c>
      <c r="DN118" s="138">
        <f t="shared" ca="1" si="222"/>
        <v>43909693.438235328</v>
      </c>
      <c r="DO118" s="138">
        <f t="shared" ca="1" si="222"/>
        <v>44020371.839940496</v>
      </c>
      <c r="DP118" s="138">
        <f t="shared" ca="1" si="222"/>
        <v>44131408.850192524</v>
      </c>
      <c r="DQ118" s="138">
        <f t="shared" ca="1" si="222"/>
        <v>44242805.630917192</v>
      </c>
      <c r="DR118" s="138">
        <f t="shared" ca="1" si="222"/>
        <v>44354563.347805068</v>
      </c>
      <c r="DS118" s="138">
        <f t="shared" ca="1" si="222"/>
        <v>44466683.170323625</v>
      </c>
      <c r="DT118" s="138">
        <f t="shared" ca="1" si="222"/>
        <v>44579166.271729551</v>
      </c>
      <c r="DU118" s="138">
        <f t="shared" ca="1" si="222"/>
        <v>44692013.829080999</v>
      </c>
      <c r="DV118" s="138">
        <f t="shared" ca="1" si="222"/>
        <v>44805227.023249879</v>
      </c>
      <c r="DW118" s="138">
        <f t="shared" ca="1" si="222"/>
        <v>44918807.038934246</v>
      </c>
      <c r="DX118" s="138">
        <f t="shared" ca="1" si="222"/>
        <v>45032755.064670704</v>
      </c>
      <c r="DY118" s="138">
        <f t="shared" ca="1" si="222"/>
        <v>45147072.292846821</v>
      </c>
      <c r="DZ118" s="138">
        <f t="shared" ca="1" si="222"/>
        <v>45261759.919713609</v>
      </c>
      <c r="EA118" s="138">
        <f t="shared" ca="1" si="222"/>
        <v>45376819.145398051</v>
      </c>
      <c r="EB118" s="138">
        <f t="shared" ca="1" si="222"/>
        <v>45492251.173915662</v>
      </c>
      <c r="EC118" s="138">
        <f t="shared" ca="1" si="222"/>
        <v>45608057.21318306</v>
      </c>
      <c r="ED118" s="138">
        <f t="shared" ref="ED118:GO118" ca="1" si="223">SUM(ED110:ED111)</f>
        <v>45724238.475030661</v>
      </c>
      <c r="EE118" s="138">
        <f t="shared" ca="1" si="223"/>
        <v>45840796.175215289</v>
      </c>
      <c r="EF118" s="138">
        <f t="shared" ca="1" si="223"/>
        <v>45957731.533432961</v>
      </c>
      <c r="EG118" s="138">
        <f t="shared" ca="1" si="223"/>
        <v>46075045.773331627</v>
      </c>
      <c r="EH118" s="138">
        <f t="shared" ca="1" si="223"/>
        <v>46192740.122523956</v>
      </c>
      <c r="EI118" s="138">
        <f t="shared" ca="1" si="223"/>
        <v>46310815.81260021</v>
      </c>
      <c r="EJ118" s="138">
        <f t="shared" ca="1" si="223"/>
        <v>46429274.079141125</v>
      </c>
      <c r="EK118" s="138">
        <f t="shared" ca="1" si="223"/>
        <v>46548116.161730818</v>
      </c>
      <c r="EL118" s="138">
        <f t="shared" ca="1" si="223"/>
        <v>46667343.303969786</v>
      </c>
      <c r="EM118" s="138">
        <f t="shared" ca="1" si="223"/>
        <v>46786956.75348793</v>
      </c>
      <c r="EN118" s="138">
        <f t="shared" ca="1" si="223"/>
        <v>46906957.761957556</v>
      </c>
      <c r="EO118" s="138">
        <f t="shared" ca="1" si="223"/>
        <v>47027347.585106537</v>
      </c>
      <c r="EP118" s="138">
        <f t="shared" ca="1" si="223"/>
        <v>47148127.482731394</v>
      </c>
      <c r="EQ118" s="138">
        <f t="shared" ca="1" si="223"/>
        <v>47269298.718710534</v>
      </c>
      <c r="ER118" s="138">
        <f t="shared" ca="1" si="223"/>
        <v>47390862.561017431</v>
      </c>
      <c r="ES118" s="138">
        <f t="shared" ca="1" si="223"/>
        <v>47512820.281733938</v>
      </c>
      <c r="ET118" s="138">
        <f t="shared" ca="1" si="223"/>
        <v>47635173.157063551</v>
      </c>
      <c r="EU118" s="138">
        <f t="shared" ca="1" si="223"/>
        <v>47757922.467344798</v>
      </c>
      <c r="EV118" s="138">
        <f t="shared" ca="1" si="223"/>
        <v>47881069.49706462</v>
      </c>
      <c r="EW118" s="138">
        <f t="shared" ca="1" si="223"/>
        <v>48004615.534871832</v>
      </c>
      <c r="EX118" s="138">
        <f t="shared" ca="1" si="223"/>
        <v>48128561.873590559</v>
      </c>
      <c r="EY118" s="138">
        <f t="shared" ca="1" si="223"/>
        <v>48252909.810233846</v>
      </c>
      <c r="EZ118" s="138">
        <f t="shared" ca="1" si="223"/>
        <v>48377660.646017157</v>
      </c>
      <c r="FA118" s="138">
        <f t="shared" ca="1" si="223"/>
        <v>48502815.686372012</v>
      </c>
      <c r="FB118" s="138">
        <f t="shared" ca="1" si="223"/>
        <v>48628376.240959674</v>
      </c>
      <c r="FC118" s="138">
        <f t="shared" ca="1" si="223"/>
        <v>48754343.623684801</v>
      </c>
      <c r="FD118" s="138">
        <f t="shared" ca="1" si="223"/>
        <v>48880719.152709261</v>
      </c>
      <c r="FE118" s="138">
        <f t="shared" ca="1" si="223"/>
        <v>49007504.150465883</v>
      </c>
      <c r="FF118" s="138">
        <f t="shared" ca="1" si="223"/>
        <v>49134699.943672292</v>
      </c>
      <c r="FG118" s="138">
        <f t="shared" ca="1" si="223"/>
        <v>49262307.863344811</v>
      </c>
      <c r="FH118" s="138">
        <f t="shared" ca="1" si="223"/>
        <v>49390329.244812392</v>
      </c>
      <c r="FI118" s="138">
        <f t="shared" ca="1" si="223"/>
        <v>49518765.42773056</v>
      </c>
      <c r="FJ118" s="138">
        <f t="shared" ca="1" si="223"/>
        <v>49647617.756095469</v>
      </c>
      <c r="FK118" s="138">
        <f t="shared" ca="1" si="223"/>
        <v>49776887.578257941</v>
      </c>
      <c r="FL118" s="138">
        <f t="shared" ca="1" si="223"/>
        <v>49906576.246937573</v>
      </c>
      <c r="FM118" s="138">
        <f t="shared" ca="1" si="223"/>
        <v>50036685.119236939</v>
      </c>
      <c r="FN118" s="138">
        <f t="shared" ca="1" si="223"/>
        <v>50167215.556655705</v>
      </c>
      <c r="FO118" s="138">
        <f t="shared" ca="1" si="223"/>
        <v>50298168.925104938</v>
      </c>
      <c r="FP118" s="138">
        <f t="shared" ca="1" si="223"/>
        <v>50429546.594921432</v>
      </c>
      <c r="FQ118" s="138">
        <f t="shared" ca="1" si="223"/>
        <v>50561349.94088193</v>
      </c>
      <c r="FR118" s="138">
        <f t="shared" ca="1" si="223"/>
        <v>50693580.342217654</v>
      </c>
      <c r="FS118" s="138">
        <f t="shared" ca="1" si="223"/>
        <v>50826239.182628617</v>
      </c>
      <c r="FT118" s="138">
        <f t="shared" ca="1" si="223"/>
        <v>50959327.850298174</v>
      </c>
      <c r="FU118" s="138">
        <f t="shared" ca="1" si="223"/>
        <v>51092847.737907507</v>
      </c>
      <c r="FV118" s="138">
        <f t="shared" ca="1" si="223"/>
        <v>51226800.242650233</v>
      </c>
      <c r="FW118" s="138">
        <f t="shared" ca="1" si="223"/>
        <v>51361186.766247004</v>
      </c>
      <c r="FX118" s="138">
        <f t="shared" ca="1" si="223"/>
        <v>51496008.714960195</v>
      </c>
      <c r="FY118" s="138">
        <f t="shared" ca="1" si="223"/>
        <v>51631267.499608576</v>
      </c>
      <c r="FZ118" s="138">
        <f t="shared" ca="1" si="223"/>
        <v>51766964.53558214</v>
      </c>
      <c r="GA118" s="138">
        <f t="shared" ca="1" si="223"/>
        <v>51903101.24285683</v>
      </c>
      <c r="GB118" s="138">
        <f t="shared" ca="1" si="223"/>
        <v>52039679.046009496</v>
      </c>
      <c r="GC118" s="138">
        <f t="shared" ca="1" si="223"/>
        <v>52176699.374232724</v>
      </c>
      <c r="GD118" s="138">
        <f t="shared" ca="1" si="223"/>
        <v>52314163.661349826</v>
      </c>
      <c r="GE118" s="138">
        <f t="shared" ca="1" si="223"/>
        <v>52452073.345829844</v>
      </c>
      <c r="GF118" s="138">
        <f t="shared" ca="1" si="223"/>
        <v>52590429.870802581</v>
      </c>
      <c r="GG118" s="138">
        <f t="shared" ca="1" si="223"/>
        <v>52729234.684073724</v>
      </c>
      <c r="GH118" s="138">
        <f t="shared" ca="1" si="223"/>
        <v>52868489.238140017</v>
      </c>
      <c r="GI118" s="138">
        <f t="shared" ca="1" si="223"/>
        <v>53008194.990204379</v>
      </c>
      <c r="GJ118" s="138">
        <f t="shared" ca="1" si="223"/>
        <v>53148353.402191237</v>
      </c>
      <c r="GK118" s="138">
        <f t="shared" ca="1" si="223"/>
        <v>53288965.940761805</v>
      </c>
      <c r="GL118" s="138">
        <f t="shared" ca="1" si="223"/>
        <v>53430034.077329382</v>
      </c>
      <c r="GM118" s="138">
        <f t="shared" ca="1" si="223"/>
        <v>53571559.288074821</v>
      </c>
      <c r="GN118" s="138">
        <f t="shared" ca="1" si="223"/>
        <v>53713543.053961918</v>
      </c>
      <c r="GO118" s="138">
        <f t="shared" ca="1" si="223"/>
        <v>53855986.86075294</v>
      </c>
      <c r="GP118" s="138">
        <f t="shared" ref="GP118:JA118" ca="1" si="224">SUM(GP110:GP111)</f>
        <v>53998892.199024171</v>
      </c>
      <c r="GQ118" s="138">
        <f t="shared" ca="1" si="224"/>
        <v>54142260.564181484</v>
      </c>
      <c r="GR118" s="138">
        <f t="shared" ca="1" si="224"/>
        <v>54286093.456476033</v>
      </c>
      <c r="GS118" s="138">
        <f t="shared" ca="1" si="224"/>
        <v>54430392.38101992</v>
      </c>
      <c r="GT118" s="138">
        <f t="shared" ca="1" si="224"/>
        <v>54575158.847801954</v>
      </c>
      <c r="GU118" s="138">
        <f t="shared" ca="1" si="224"/>
        <v>54720394.371703446</v>
      </c>
      <c r="GV118" s="138">
        <f t="shared" ca="1" si="224"/>
        <v>54866100.472514063</v>
      </c>
      <c r="GW118" s="138">
        <f t="shared" ca="1" si="224"/>
        <v>55012278.674947768</v>
      </c>
      <c r="GX118" s="138">
        <f t="shared" ca="1" si="224"/>
        <v>55158930.508658677</v>
      </c>
      <c r="GY118" s="138">
        <f t="shared" ca="1" si="224"/>
        <v>55306057.50825721</v>
      </c>
      <c r="GZ118" s="138">
        <f t="shared" ca="1" si="224"/>
        <v>55453661.213326</v>
      </c>
      <c r="HA118" s="138">
        <f t="shared" ca="1" si="224"/>
        <v>55601743.168436125</v>
      </c>
      <c r="HB118" s="138">
        <f t="shared" ca="1" si="224"/>
        <v>55750304.923163183</v>
      </c>
      <c r="HC118" s="138">
        <f t="shared" ca="1" si="224"/>
        <v>55899348.032103583</v>
      </c>
      <c r="HD118" s="138">
        <f t="shared" ca="1" si="224"/>
        <v>56048874.054890722</v>
      </c>
      <c r="HE118" s="138">
        <f t="shared" ca="1" si="224"/>
        <v>56198884.556211427</v>
      </c>
      <c r="HF118" s="138">
        <f t="shared" ca="1" si="224"/>
        <v>56349381.105822198</v>
      </c>
      <c r="HG118" s="138">
        <f t="shared" ca="1" si="224"/>
        <v>56500365.27856572</v>
      </c>
      <c r="HH118" s="138">
        <f t="shared" ca="1" si="224"/>
        <v>56651838.65438731</v>
      </c>
      <c r="HI118" s="138">
        <f t="shared" ca="1" si="224"/>
        <v>56803802.81835147</v>
      </c>
      <c r="HJ118" s="138">
        <f t="shared" ca="1" si="224"/>
        <v>56956259.360658467</v>
      </c>
      <c r="HK118" s="138">
        <f t="shared" ca="1" si="224"/>
        <v>57109209.876660936</v>
      </c>
      <c r="HL118" s="138">
        <f t="shared" ca="1" si="224"/>
        <v>57262655.966880634</v>
      </c>
      <c r="HM118" s="138">
        <f t="shared" ca="1" si="224"/>
        <v>57416599.237025164</v>
      </c>
      <c r="HN118" s="138">
        <f t="shared" ca="1" si="224"/>
        <v>57571041.298004761</v>
      </c>
      <c r="HO118" s="138">
        <f t="shared" ca="1" si="224"/>
        <v>57725983.765949145</v>
      </c>
      <c r="HP118" s="138">
        <f t="shared" ca="1" si="224"/>
        <v>57881428.26222451</v>
      </c>
      <c r="HQ118" s="138">
        <f t="shared" ca="1" si="224"/>
        <v>58037376.413450345</v>
      </c>
      <c r="HR118" s="138">
        <f t="shared" ca="1" si="224"/>
        <v>58193829.851516619</v>
      </c>
      <c r="HS118" s="138">
        <f t="shared" ca="1" si="224"/>
        <v>58350790.213600747</v>
      </c>
      <c r="HT118" s="138">
        <f t="shared" ca="1" si="224"/>
        <v>58508259.142184719</v>
      </c>
      <c r="HU118" s="138">
        <f t="shared" ca="1" si="224"/>
        <v>58666238.285072416</v>
      </c>
      <c r="HV118" s="138">
        <f t="shared" ca="1" si="224"/>
        <v>58824729.295406662</v>
      </c>
      <c r="HW118" s="138">
        <f t="shared" ca="1" si="224"/>
        <v>58983733.831686661</v>
      </c>
      <c r="HX118" s="138">
        <f t="shared" ca="1" si="224"/>
        <v>59143253.557785355</v>
      </c>
      <c r="HY118" s="138">
        <f t="shared" ca="1" si="224"/>
        <v>59303290.142966688</v>
      </c>
      <c r="HZ118" s="138">
        <f t="shared" ca="1" si="224"/>
        <v>59463845.261903293</v>
      </c>
      <c r="IA118" s="138">
        <f t="shared" ca="1" si="224"/>
        <v>59624920.594693817</v>
      </c>
      <c r="IB118" s="138">
        <f t="shared" ca="1" si="224"/>
        <v>59786517.826880656</v>
      </c>
      <c r="IC118" s="138">
        <f t="shared" ca="1" si="224"/>
        <v>59948638.649467446</v>
      </c>
      <c r="ID118" s="138">
        <f t="shared" ca="1" si="224"/>
        <v>60111284.758936897</v>
      </c>
      <c r="IE118" s="138">
        <f t="shared" ca="1" si="224"/>
        <v>60274457.857268468</v>
      </c>
      <c r="IF118" s="138">
        <f t="shared" ca="1" si="224"/>
        <v>60438159.651956163</v>
      </c>
      <c r="IG118" s="138">
        <f t="shared" ca="1" si="224"/>
        <v>60602391.856026486</v>
      </c>
      <c r="IH118" s="138">
        <f t="shared" ca="1" si="224"/>
        <v>60767156.18805626</v>
      </c>
      <c r="II118" s="138">
        <f t="shared" ca="1" si="224"/>
        <v>60932454.372190684</v>
      </c>
      <c r="IJ118" s="138">
        <f t="shared" ca="1" si="224"/>
        <v>61098288.138161339</v>
      </c>
      <c r="IK118" s="138">
        <f t="shared" ca="1" si="224"/>
        <v>0</v>
      </c>
      <c r="IL118" s="138">
        <f t="shared" ca="1" si="224"/>
        <v>0</v>
      </c>
      <c r="IM118" s="138">
        <f t="shared" ca="1" si="224"/>
        <v>0</v>
      </c>
      <c r="IN118" s="138">
        <f t="shared" ca="1" si="224"/>
        <v>0</v>
      </c>
      <c r="IO118" s="138">
        <f t="shared" ca="1" si="224"/>
        <v>0</v>
      </c>
      <c r="IP118" s="138">
        <f t="shared" ca="1" si="224"/>
        <v>0</v>
      </c>
      <c r="IQ118" s="138">
        <f t="shared" ca="1" si="224"/>
        <v>0</v>
      </c>
      <c r="IR118" s="138">
        <f t="shared" ca="1" si="224"/>
        <v>0</v>
      </c>
      <c r="IS118" s="138">
        <f t="shared" ca="1" si="224"/>
        <v>0</v>
      </c>
      <c r="IT118" s="138">
        <f t="shared" ca="1" si="224"/>
        <v>0</v>
      </c>
      <c r="IU118" s="138">
        <f t="shared" ca="1" si="224"/>
        <v>0</v>
      </c>
      <c r="IV118" s="138">
        <f t="shared" ca="1" si="224"/>
        <v>0</v>
      </c>
      <c r="IW118" s="138">
        <f t="shared" ca="1" si="224"/>
        <v>0</v>
      </c>
      <c r="IX118" s="138">
        <f t="shared" ca="1" si="224"/>
        <v>0</v>
      </c>
      <c r="IY118" s="138">
        <f t="shared" ca="1" si="224"/>
        <v>0</v>
      </c>
      <c r="IZ118" s="138">
        <f t="shared" ca="1" si="224"/>
        <v>0</v>
      </c>
      <c r="JA118" s="138">
        <f t="shared" ca="1" si="224"/>
        <v>0</v>
      </c>
      <c r="JB118" s="138">
        <f t="shared" ref="JB118:LM118" ca="1" si="225">SUM(JB110:JB111)</f>
        <v>0</v>
      </c>
      <c r="JC118" s="138">
        <f t="shared" ca="1" si="225"/>
        <v>0</v>
      </c>
      <c r="JD118" s="138">
        <f t="shared" ca="1" si="225"/>
        <v>0</v>
      </c>
      <c r="JE118" s="138">
        <f t="shared" ca="1" si="225"/>
        <v>0</v>
      </c>
      <c r="JF118" s="138">
        <f t="shared" ca="1" si="225"/>
        <v>0</v>
      </c>
      <c r="JG118" s="138">
        <f t="shared" ca="1" si="225"/>
        <v>0</v>
      </c>
      <c r="JH118" s="138">
        <f t="shared" ca="1" si="225"/>
        <v>0</v>
      </c>
      <c r="JI118" s="138">
        <f t="shared" ca="1" si="225"/>
        <v>0</v>
      </c>
      <c r="JJ118" s="138">
        <f t="shared" ca="1" si="225"/>
        <v>0</v>
      </c>
      <c r="JK118" s="138">
        <f t="shared" ca="1" si="225"/>
        <v>0</v>
      </c>
      <c r="JL118" s="138">
        <f t="shared" ca="1" si="225"/>
        <v>0</v>
      </c>
      <c r="JM118" s="138">
        <f t="shared" ca="1" si="225"/>
        <v>0</v>
      </c>
      <c r="JN118" s="138">
        <f t="shared" ca="1" si="225"/>
        <v>0</v>
      </c>
      <c r="JO118" s="138">
        <f t="shared" ca="1" si="225"/>
        <v>0</v>
      </c>
      <c r="JP118" s="138">
        <f t="shared" ca="1" si="225"/>
        <v>0</v>
      </c>
      <c r="JQ118" s="138">
        <f t="shared" ca="1" si="225"/>
        <v>0</v>
      </c>
      <c r="JR118" s="138">
        <f t="shared" ca="1" si="225"/>
        <v>0</v>
      </c>
      <c r="JS118" s="138">
        <f t="shared" ca="1" si="225"/>
        <v>0</v>
      </c>
      <c r="JT118" s="138">
        <f t="shared" ca="1" si="225"/>
        <v>0</v>
      </c>
      <c r="JU118" s="138">
        <f t="shared" ca="1" si="225"/>
        <v>0</v>
      </c>
      <c r="JV118" s="138">
        <f t="shared" ca="1" si="225"/>
        <v>0</v>
      </c>
      <c r="JW118" s="138">
        <f t="shared" ca="1" si="225"/>
        <v>0</v>
      </c>
      <c r="JX118" s="138">
        <f t="shared" ca="1" si="225"/>
        <v>0</v>
      </c>
      <c r="JY118" s="138">
        <f t="shared" ca="1" si="225"/>
        <v>0</v>
      </c>
      <c r="JZ118" s="138">
        <f t="shared" ca="1" si="225"/>
        <v>0</v>
      </c>
      <c r="KA118" s="138">
        <f t="shared" ca="1" si="225"/>
        <v>0</v>
      </c>
      <c r="KB118" s="138">
        <f t="shared" ca="1" si="225"/>
        <v>0</v>
      </c>
      <c r="KC118" s="138">
        <f t="shared" ca="1" si="225"/>
        <v>0</v>
      </c>
      <c r="KD118" s="138">
        <f t="shared" ca="1" si="225"/>
        <v>0</v>
      </c>
      <c r="KE118" s="138">
        <f t="shared" ca="1" si="225"/>
        <v>0</v>
      </c>
      <c r="KF118" s="138">
        <f t="shared" ca="1" si="225"/>
        <v>0</v>
      </c>
      <c r="KG118" s="138">
        <f t="shared" ca="1" si="225"/>
        <v>0</v>
      </c>
      <c r="KH118" s="138">
        <f t="shared" ca="1" si="225"/>
        <v>0</v>
      </c>
      <c r="KI118" s="138">
        <f t="shared" ca="1" si="225"/>
        <v>0</v>
      </c>
      <c r="KJ118" s="138">
        <f t="shared" ca="1" si="225"/>
        <v>0</v>
      </c>
      <c r="KK118" s="138">
        <f t="shared" ca="1" si="225"/>
        <v>0</v>
      </c>
      <c r="KL118" s="138">
        <f t="shared" ca="1" si="225"/>
        <v>0</v>
      </c>
      <c r="KM118" s="138">
        <f t="shared" ca="1" si="225"/>
        <v>0</v>
      </c>
      <c r="KN118" s="138">
        <f t="shared" ca="1" si="225"/>
        <v>0</v>
      </c>
      <c r="KO118" s="138">
        <f t="shared" ca="1" si="225"/>
        <v>0</v>
      </c>
      <c r="KP118" s="138">
        <f t="shared" ca="1" si="225"/>
        <v>0</v>
      </c>
      <c r="KQ118" s="138">
        <f t="shared" ca="1" si="225"/>
        <v>0</v>
      </c>
      <c r="KR118" s="138">
        <f t="shared" ca="1" si="225"/>
        <v>0</v>
      </c>
      <c r="KS118" s="138">
        <f t="shared" ca="1" si="225"/>
        <v>0</v>
      </c>
      <c r="KT118" s="138">
        <f t="shared" ca="1" si="225"/>
        <v>0</v>
      </c>
      <c r="KU118" s="138">
        <f t="shared" ca="1" si="225"/>
        <v>0</v>
      </c>
      <c r="KV118" s="138">
        <f t="shared" ca="1" si="225"/>
        <v>0</v>
      </c>
      <c r="KW118" s="138">
        <f t="shared" ca="1" si="225"/>
        <v>0</v>
      </c>
      <c r="KX118" s="138">
        <f t="shared" ca="1" si="225"/>
        <v>0</v>
      </c>
      <c r="KY118" s="138">
        <f t="shared" ca="1" si="225"/>
        <v>0</v>
      </c>
      <c r="KZ118" s="138">
        <f t="shared" ca="1" si="225"/>
        <v>0</v>
      </c>
      <c r="LA118" s="138">
        <f t="shared" ca="1" si="225"/>
        <v>0</v>
      </c>
      <c r="LB118" s="138">
        <f t="shared" ca="1" si="225"/>
        <v>0</v>
      </c>
      <c r="LC118" s="138">
        <f t="shared" ca="1" si="225"/>
        <v>0</v>
      </c>
      <c r="LD118" s="138">
        <f t="shared" ca="1" si="225"/>
        <v>0</v>
      </c>
      <c r="LE118" s="138">
        <f t="shared" ca="1" si="225"/>
        <v>0</v>
      </c>
      <c r="LF118" s="138">
        <f t="shared" ca="1" si="225"/>
        <v>0</v>
      </c>
      <c r="LG118" s="138">
        <f t="shared" ca="1" si="225"/>
        <v>0</v>
      </c>
      <c r="LH118" s="138">
        <f t="shared" ca="1" si="225"/>
        <v>0</v>
      </c>
      <c r="LI118" s="138">
        <f t="shared" ca="1" si="225"/>
        <v>0</v>
      </c>
      <c r="LJ118" s="138">
        <f t="shared" ca="1" si="225"/>
        <v>0</v>
      </c>
      <c r="LK118" s="138">
        <f t="shared" ca="1" si="225"/>
        <v>0</v>
      </c>
      <c r="LL118" s="138">
        <f t="shared" ca="1" si="225"/>
        <v>0</v>
      </c>
      <c r="LM118" s="138">
        <f t="shared" ca="1" si="225"/>
        <v>0</v>
      </c>
      <c r="LN118" s="138">
        <f t="shared" ref="LN118:NY118" ca="1" si="226">SUM(LN110:LN111)</f>
        <v>0</v>
      </c>
      <c r="LO118" s="138">
        <f t="shared" ca="1" si="226"/>
        <v>0</v>
      </c>
      <c r="LP118" s="138">
        <f t="shared" ca="1" si="226"/>
        <v>0</v>
      </c>
      <c r="LQ118" s="138">
        <f t="shared" ca="1" si="226"/>
        <v>0</v>
      </c>
      <c r="LR118" s="138">
        <f t="shared" ca="1" si="226"/>
        <v>0</v>
      </c>
      <c r="LS118" s="138">
        <f t="shared" ca="1" si="226"/>
        <v>0</v>
      </c>
      <c r="LT118" s="138">
        <f t="shared" ca="1" si="226"/>
        <v>0</v>
      </c>
      <c r="LU118" s="138">
        <f t="shared" ca="1" si="226"/>
        <v>0</v>
      </c>
      <c r="LV118" s="138">
        <f t="shared" ca="1" si="226"/>
        <v>0</v>
      </c>
      <c r="LW118" s="138">
        <f t="shared" ca="1" si="226"/>
        <v>0</v>
      </c>
      <c r="LX118" s="138">
        <f t="shared" ca="1" si="226"/>
        <v>0</v>
      </c>
      <c r="LY118" s="138">
        <f t="shared" ca="1" si="226"/>
        <v>0</v>
      </c>
      <c r="LZ118" s="138">
        <f t="shared" ca="1" si="226"/>
        <v>0</v>
      </c>
      <c r="MA118" s="138">
        <f t="shared" ca="1" si="226"/>
        <v>0</v>
      </c>
      <c r="MB118" s="138">
        <f t="shared" ca="1" si="226"/>
        <v>0</v>
      </c>
      <c r="MC118" s="138">
        <f t="shared" ca="1" si="226"/>
        <v>0</v>
      </c>
      <c r="MD118" s="138">
        <f t="shared" ca="1" si="226"/>
        <v>0</v>
      </c>
      <c r="ME118" s="138">
        <f t="shared" ca="1" si="226"/>
        <v>0</v>
      </c>
      <c r="MF118" s="138">
        <f t="shared" ca="1" si="226"/>
        <v>0</v>
      </c>
      <c r="MG118" s="138">
        <f t="shared" ca="1" si="226"/>
        <v>0</v>
      </c>
      <c r="MH118" s="138">
        <f t="shared" ca="1" si="226"/>
        <v>0</v>
      </c>
      <c r="MI118" s="138">
        <f t="shared" ca="1" si="226"/>
        <v>0</v>
      </c>
      <c r="MJ118" s="138">
        <f t="shared" ca="1" si="226"/>
        <v>0</v>
      </c>
      <c r="MK118" s="138">
        <f t="shared" ca="1" si="226"/>
        <v>0</v>
      </c>
      <c r="ML118" s="138">
        <f t="shared" ca="1" si="226"/>
        <v>0</v>
      </c>
      <c r="MM118" s="138">
        <f t="shared" ca="1" si="226"/>
        <v>0</v>
      </c>
      <c r="MN118" s="138">
        <f t="shared" ca="1" si="226"/>
        <v>0</v>
      </c>
      <c r="MO118" s="138">
        <f t="shared" ca="1" si="226"/>
        <v>0</v>
      </c>
      <c r="MP118" s="138">
        <f t="shared" ca="1" si="226"/>
        <v>0</v>
      </c>
      <c r="MQ118" s="138">
        <f t="shared" ca="1" si="226"/>
        <v>0</v>
      </c>
      <c r="MR118" s="138">
        <f t="shared" ca="1" si="226"/>
        <v>0</v>
      </c>
      <c r="MS118" s="138">
        <f t="shared" ca="1" si="226"/>
        <v>0</v>
      </c>
      <c r="MT118" s="138">
        <f t="shared" ca="1" si="226"/>
        <v>0</v>
      </c>
      <c r="MU118" s="138">
        <f t="shared" ca="1" si="226"/>
        <v>0</v>
      </c>
      <c r="MV118" s="138">
        <f t="shared" ca="1" si="226"/>
        <v>0</v>
      </c>
      <c r="MW118" s="138">
        <f t="shared" ca="1" si="226"/>
        <v>0</v>
      </c>
      <c r="MX118" s="138">
        <f t="shared" ca="1" si="226"/>
        <v>0</v>
      </c>
      <c r="MY118" s="138">
        <f t="shared" ca="1" si="226"/>
        <v>0</v>
      </c>
      <c r="MZ118" s="138">
        <f t="shared" ca="1" si="226"/>
        <v>0</v>
      </c>
      <c r="NA118" s="138">
        <f t="shared" ca="1" si="226"/>
        <v>0</v>
      </c>
      <c r="NB118" s="138">
        <f t="shared" ca="1" si="226"/>
        <v>0</v>
      </c>
      <c r="NC118" s="138">
        <f t="shared" ca="1" si="226"/>
        <v>0</v>
      </c>
      <c r="ND118" s="138">
        <f t="shared" ca="1" si="226"/>
        <v>0</v>
      </c>
      <c r="NE118" s="138">
        <f t="shared" ca="1" si="226"/>
        <v>0</v>
      </c>
      <c r="NF118" s="138">
        <f t="shared" ca="1" si="226"/>
        <v>0</v>
      </c>
      <c r="NG118" s="138">
        <f t="shared" ca="1" si="226"/>
        <v>0</v>
      </c>
      <c r="NH118" s="138">
        <f t="shared" ca="1" si="226"/>
        <v>0</v>
      </c>
      <c r="NI118" s="138">
        <f t="shared" ca="1" si="226"/>
        <v>0</v>
      </c>
      <c r="NJ118" s="138">
        <f t="shared" ca="1" si="226"/>
        <v>0</v>
      </c>
      <c r="NK118" s="138">
        <f t="shared" ca="1" si="226"/>
        <v>0</v>
      </c>
      <c r="NL118" s="138">
        <f t="shared" ca="1" si="226"/>
        <v>0</v>
      </c>
      <c r="NM118" s="138">
        <f t="shared" ca="1" si="226"/>
        <v>0</v>
      </c>
      <c r="NN118" s="138">
        <f t="shared" ca="1" si="226"/>
        <v>0</v>
      </c>
      <c r="NO118" s="138">
        <f t="shared" ca="1" si="226"/>
        <v>0</v>
      </c>
      <c r="NP118" s="138">
        <f t="shared" ca="1" si="226"/>
        <v>0</v>
      </c>
      <c r="NQ118" s="138">
        <f t="shared" ca="1" si="226"/>
        <v>0</v>
      </c>
      <c r="NR118" s="138">
        <f t="shared" ca="1" si="226"/>
        <v>0</v>
      </c>
      <c r="NS118" s="138">
        <f t="shared" ca="1" si="226"/>
        <v>0</v>
      </c>
      <c r="NT118" s="138">
        <f t="shared" ca="1" si="226"/>
        <v>0</v>
      </c>
      <c r="NU118" s="138">
        <f t="shared" ca="1" si="226"/>
        <v>0</v>
      </c>
      <c r="NV118" s="138">
        <f t="shared" ca="1" si="226"/>
        <v>0</v>
      </c>
      <c r="NW118" s="138">
        <f t="shared" ca="1" si="226"/>
        <v>0</v>
      </c>
      <c r="NX118" s="138">
        <f t="shared" ca="1" si="226"/>
        <v>0</v>
      </c>
      <c r="NY118" s="138">
        <f t="shared" ca="1" si="226"/>
        <v>0</v>
      </c>
      <c r="NZ118" s="138">
        <f t="shared" ref="NZ118:QK118" ca="1" si="227">SUM(NZ110:NZ111)</f>
        <v>0</v>
      </c>
      <c r="OA118" s="138">
        <f t="shared" ca="1" si="227"/>
        <v>0</v>
      </c>
      <c r="OB118" s="138">
        <f t="shared" ca="1" si="227"/>
        <v>0</v>
      </c>
      <c r="OC118" s="138">
        <f t="shared" ca="1" si="227"/>
        <v>0</v>
      </c>
      <c r="OD118" s="138">
        <f t="shared" ca="1" si="227"/>
        <v>0</v>
      </c>
      <c r="OE118" s="138">
        <f t="shared" ca="1" si="227"/>
        <v>0</v>
      </c>
      <c r="OF118" s="138">
        <f t="shared" ca="1" si="227"/>
        <v>0</v>
      </c>
      <c r="OG118" s="138">
        <f t="shared" ca="1" si="227"/>
        <v>0</v>
      </c>
      <c r="OH118" s="138">
        <f t="shared" ca="1" si="227"/>
        <v>0</v>
      </c>
      <c r="OI118" s="138">
        <f t="shared" ca="1" si="227"/>
        <v>0</v>
      </c>
      <c r="OJ118" s="138">
        <f t="shared" ca="1" si="227"/>
        <v>0</v>
      </c>
      <c r="OK118" s="138">
        <f t="shared" ca="1" si="227"/>
        <v>0</v>
      </c>
      <c r="OL118" s="138">
        <f t="shared" ca="1" si="227"/>
        <v>0</v>
      </c>
      <c r="OM118" s="138">
        <f t="shared" ca="1" si="227"/>
        <v>0</v>
      </c>
      <c r="ON118" s="138">
        <f t="shared" ca="1" si="227"/>
        <v>0</v>
      </c>
      <c r="OO118" s="138">
        <f t="shared" ca="1" si="227"/>
        <v>0</v>
      </c>
      <c r="OP118" s="138">
        <f t="shared" ca="1" si="227"/>
        <v>0</v>
      </c>
      <c r="OQ118" s="138">
        <f t="shared" ca="1" si="227"/>
        <v>0</v>
      </c>
      <c r="OR118" s="138">
        <f t="shared" ca="1" si="227"/>
        <v>0</v>
      </c>
      <c r="OS118" s="138">
        <f t="shared" ca="1" si="227"/>
        <v>0</v>
      </c>
      <c r="OT118" s="138">
        <f t="shared" ca="1" si="227"/>
        <v>0</v>
      </c>
      <c r="OU118" s="138">
        <f t="shared" ca="1" si="227"/>
        <v>0</v>
      </c>
      <c r="OV118" s="138">
        <f t="shared" ca="1" si="227"/>
        <v>0</v>
      </c>
      <c r="OW118" s="138">
        <f t="shared" ca="1" si="227"/>
        <v>0</v>
      </c>
      <c r="OX118" s="138">
        <f t="shared" ca="1" si="227"/>
        <v>0</v>
      </c>
      <c r="OY118" s="138">
        <f t="shared" ca="1" si="227"/>
        <v>0</v>
      </c>
      <c r="OZ118" s="138">
        <f t="shared" ca="1" si="227"/>
        <v>0</v>
      </c>
      <c r="PA118" s="138">
        <f t="shared" ca="1" si="227"/>
        <v>0</v>
      </c>
      <c r="PB118" s="138">
        <f t="shared" ca="1" si="227"/>
        <v>0</v>
      </c>
      <c r="PC118" s="138">
        <f t="shared" ca="1" si="227"/>
        <v>0</v>
      </c>
      <c r="PD118" s="138">
        <f t="shared" ca="1" si="227"/>
        <v>0</v>
      </c>
      <c r="PE118" s="138">
        <f t="shared" ca="1" si="227"/>
        <v>0</v>
      </c>
      <c r="PF118" s="138">
        <f t="shared" ca="1" si="227"/>
        <v>0</v>
      </c>
      <c r="PG118" s="138">
        <f t="shared" ca="1" si="227"/>
        <v>0</v>
      </c>
      <c r="PH118" s="138">
        <f t="shared" ca="1" si="227"/>
        <v>0</v>
      </c>
      <c r="PI118" s="138">
        <f t="shared" ca="1" si="227"/>
        <v>0</v>
      </c>
      <c r="PJ118" s="138">
        <f t="shared" ca="1" si="227"/>
        <v>0</v>
      </c>
      <c r="PK118" s="138">
        <f t="shared" ca="1" si="227"/>
        <v>0</v>
      </c>
      <c r="PL118" s="138">
        <f t="shared" ca="1" si="227"/>
        <v>0</v>
      </c>
      <c r="PM118" s="138">
        <f t="shared" ca="1" si="227"/>
        <v>0</v>
      </c>
      <c r="PN118" s="138">
        <f t="shared" ca="1" si="227"/>
        <v>0</v>
      </c>
      <c r="PO118" s="138">
        <f t="shared" ca="1" si="227"/>
        <v>0</v>
      </c>
      <c r="PP118" s="138">
        <f t="shared" ca="1" si="227"/>
        <v>0</v>
      </c>
      <c r="PQ118" s="138">
        <f t="shared" ca="1" si="227"/>
        <v>0</v>
      </c>
      <c r="PR118" s="138">
        <f t="shared" ca="1" si="227"/>
        <v>0</v>
      </c>
      <c r="PS118" s="138">
        <f t="shared" ca="1" si="227"/>
        <v>0</v>
      </c>
      <c r="PT118" s="138">
        <f t="shared" ca="1" si="227"/>
        <v>0</v>
      </c>
      <c r="PU118" s="138">
        <f t="shared" ca="1" si="227"/>
        <v>0</v>
      </c>
      <c r="PV118" s="138">
        <f t="shared" ca="1" si="227"/>
        <v>0</v>
      </c>
      <c r="PW118" s="138">
        <f t="shared" ca="1" si="227"/>
        <v>0</v>
      </c>
      <c r="PX118" s="138">
        <f t="shared" ca="1" si="227"/>
        <v>0</v>
      </c>
      <c r="PY118" s="138">
        <f t="shared" ca="1" si="227"/>
        <v>0</v>
      </c>
      <c r="PZ118" s="138">
        <f t="shared" ca="1" si="227"/>
        <v>0</v>
      </c>
      <c r="QA118" s="138">
        <f t="shared" ca="1" si="227"/>
        <v>0</v>
      </c>
      <c r="QB118" s="138">
        <f t="shared" ca="1" si="227"/>
        <v>0</v>
      </c>
      <c r="QC118" s="138">
        <f t="shared" ca="1" si="227"/>
        <v>0</v>
      </c>
      <c r="QD118" s="138">
        <f t="shared" ca="1" si="227"/>
        <v>0</v>
      </c>
      <c r="QE118" s="138">
        <f t="shared" ca="1" si="227"/>
        <v>0</v>
      </c>
      <c r="QF118" s="138">
        <f t="shared" ca="1" si="227"/>
        <v>0</v>
      </c>
      <c r="QG118" s="138">
        <f t="shared" ca="1" si="227"/>
        <v>0</v>
      </c>
      <c r="QH118" s="138">
        <f t="shared" ca="1" si="227"/>
        <v>0</v>
      </c>
      <c r="QI118" s="138">
        <f t="shared" ca="1" si="227"/>
        <v>0</v>
      </c>
      <c r="QJ118" s="138">
        <f t="shared" ca="1" si="227"/>
        <v>0</v>
      </c>
      <c r="QK118" s="138">
        <f t="shared" ca="1" si="227"/>
        <v>0</v>
      </c>
      <c r="QL118" s="138">
        <f t="shared" ref="QL118:RR118" ca="1" si="228">SUM(QL110:QL111)</f>
        <v>0</v>
      </c>
      <c r="QM118" s="138">
        <f t="shared" ca="1" si="228"/>
        <v>0</v>
      </c>
      <c r="QN118" s="138">
        <f t="shared" ca="1" si="228"/>
        <v>0</v>
      </c>
      <c r="QO118" s="138">
        <f t="shared" ca="1" si="228"/>
        <v>0</v>
      </c>
      <c r="QP118" s="138">
        <f t="shared" ca="1" si="228"/>
        <v>0</v>
      </c>
      <c r="QQ118" s="138">
        <f t="shared" ca="1" si="228"/>
        <v>0</v>
      </c>
      <c r="QR118" s="138">
        <f t="shared" ca="1" si="228"/>
        <v>0</v>
      </c>
      <c r="QS118" s="138">
        <f t="shared" ca="1" si="228"/>
        <v>0</v>
      </c>
      <c r="QT118" s="138">
        <f t="shared" ca="1" si="228"/>
        <v>0</v>
      </c>
      <c r="QU118" s="138">
        <f t="shared" ca="1" si="228"/>
        <v>0</v>
      </c>
      <c r="QV118" s="138">
        <f t="shared" ca="1" si="228"/>
        <v>0</v>
      </c>
      <c r="QW118" s="138">
        <f t="shared" ca="1" si="228"/>
        <v>0</v>
      </c>
      <c r="QX118" s="138">
        <f t="shared" ca="1" si="228"/>
        <v>0</v>
      </c>
      <c r="QY118" s="138">
        <f t="shared" ca="1" si="228"/>
        <v>0</v>
      </c>
      <c r="QZ118" s="138">
        <f t="shared" ca="1" si="228"/>
        <v>0</v>
      </c>
      <c r="RA118" s="138">
        <f t="shared" ca="1" si="228"/>
        <v>0</v>
      </c>
      <c r="RB118" s="138">
        <f t="shared" ca="1" si="228"/>
        <v>0</v>
      </c>
      <c r="RC118" s="138">
        <f t="shared" ca="1" si="228"/>
        <v>0</v>
      </c>
      <c r="RD118" s="138">
        <f t="shared" ca="1" si="228"/>
        <v>0</v>
      </c>
      <c r="RE118" s="138">
        <f t="shared" ca="1" si="228"/>
        <v>0</v>
      </c>
      <c r="RF118" s="138">
        <f t="shared" ca="1" si="228"/>
        <v>0</v>
      </c>
      <c r="RG118" s="138">
        <f t="shared" ca="1" si="228"/>
        <v>0</v>
      </c>
      <c r="RH118" s="138">
        <f t="shared" ca="1" si="228"/>
        <v>0</v>
      </c>
      <c r="RI118" s="138">
        <f t="shared" ca="1" si="228"/>
        <v>0</v>
      </c>
      <c r="RJ118" s="138">
        <f t="shared" ca="1" si="228"/>
        <v>0</v>
      </c>
      <c r="RK118" s="138">
        <f t="shared" ca="1" si="228"/>
        <v>0</v>
      </c>
      <c r="RL118" s="138">
        <f t="shared" ca="1" si="228"/>
        <v>0</v>
      </c>
      <c r="RM118" s="138">
        <f t="shared" ca="1" si="228"/>
        <v>0</v>
      </c>
      <c r="RN118" s="138">
        <f t="shared" ca="1" si="228"/>
        <v>0</v>
      </c>
      <c r="RO118" s="138">
        <f t="shared" ca="1" si="228"/>
        <v>0</v>
      </c>
      <c r="RP118" s="138">
        <f t="shared" ca="1" si="228"/>
        <v>0</v>
      </c>
      <c r="RQ118" s="138">
        <f t="shared" ca="1" si="228"/>
        <v>0</v>
      </c>
      <c r="RR118" s="138">
        <f t="shared" ca="1" si="228"/>
        <v>0</v>
      </c>
    </row>
    <row r="119" spans="1:486" s="9" customFormat="1" ht="28.8">
      <c r="A119" s="129" t="s">
        <v>272</v>
      </c>
      <c r="B119" s="143"/>
      <c r="E119" s="138">
        <f>E117+E118</f>
        <v>111097171.54231954</v>
      </c>
      <c r="F119" s="138">
        <f t="shared" ref="F119:BQ119" ca="1" si="229">F117+F118</f>
        <v>111385519.12652764</v>
      </c>
      <c r="G119" s="138">
        <f t="shared" ca="1" si="229"/>
        <v>111674800.95727333</v>
      </c>
      <c r="H119" s="138">
        <f t="shared" ca="1" si="229"/>
        <v>111965020.06151655</v>
      </c>
      <c r="I119" s="138">
        <f t="shared" ca="1" si="229"/>
        <v>112256179.4760246</v>
      </c>
      <c r="J119" s="138">
        <f t="shared" ca="1" si="229"/>
        <v>112548282.24740398</v>
      </c>
      <c r="K119" s="138">
        <f t="shared" ca="1" si="229"/>
        <v>112841331.43213207</v>
      </c>
      <c r="L119" s="138">
        <f t="shared" ca="1" si="229"/>
        <v>113135330.09658939</v>
      </c>
      <c r="M119" s="138">
        <f t="shared" ca="1" si="229"/>
        <v>113430281.31709144</v>
      </c>
      <c r="N119" s="138">
        <f t="shared" ca="1" si="229"/>
        <v>113726188.179921</v>
      </c>
      <c r="O119" s="138">
        <f t="shared" ca="1" si="229"/>
        <v>114023053.78136042</v>
      </c>
      <c r="P119" s="138">
        <f t="shared" ca="1" si="229"/>
        <v>114320881.22772399</v>
      </c>
      <c r="Q119" s="138">
        <f t="shared" ca="1" si="229"/>
        <v>114619673.63539055</v>
      </c>
      <c r="R119" s="138">
        <f t="shared" ca="1" si="229"/>
        <v>114919434.13083586</v>
      </c>
      <c r="S119" s="138">
        <f t="shared" ca="1" si="229"/>
        <v>115220165.8506656</v>
      </c>
      <c r="T119" s="138">
        <f t="shared" ca="1" si="229"/>
        <v>115521871.94164801</v>
      </c>
      <c r="U119" s="138">
        <f t="shared" ca="1" si="229"/>
        <v>115824555.56074682</v>
      </c>
      <c r="V119" s="138">
        <f t="shared" ca="1" si="229"/>
        <v>116128219.87515438</v>
      </c>
      <c r="W119" s="138">
        <f t="shared" ca="1" si="229"/>
        <v>116432868.0623247</v>
      </c>
      <c r="X119" s="138">
        <f t="shared" ca="1" si="229"/>
        <v>116738503.31000686</v>
      </c>
      <c r="Y119" s="138">
        <f t="shared" ca="1" si="229"/>
        <v>117045128.8162781</v>
      </c>
      <c r="Z119" s="138">
        <f t="shared" ca="1" si="229"/>
        <v>117352747.78957751</v>
      </c>
      <c r="AA119" s="138">
        <f t="shared" ca="1" si="229"/>
        <v>117661363.44873953</v>
      </c>
      <c r="AB119" s="138">
        <f t="shared" ca="1" si="229"/>
        <v>117970979.0230276</v>
      </c>
      <c r="AC119" s="138">
        <f t="shared" ca="1" si="229"/>
        <v>118281597.752168</v>
      </c>
      <c r="AD119" s="138">
        <f t="shared" ca="1" si="229"/>
        <v>118593222.88638371</v>
      </c>
      <c r="AE119" s="138">
        <f t="shared" ca="1" si="229"/>
        <v>118905857.68642849</v>
      </c>
      <c r="AF119" s="138">
        <f t="shared" ca="1" si="229"/>
        <v>119219505.42362085</v>
      </c>
      <c r="AG119" s="138">
        <f t="shared" ca="1" si="229"/>
        <v>119534169.37987846</v>
      </c>
      <c r="AH119" s="138">
        <f t="shared" ca="1" si="229"/>
        <v>119849852.84775236</v>
      </c>
      <c r="AI119" s="138">
        <f t="shared" ca="1" si="229"/>
        <v>120166559.13046151</v>
      </c>
      <c r="AJ119" s="138">
        <f t="shared" ca="1" si="229"/>
        <v>120484291.54192722</v>
      </c>
      <c r="AK119" s="138">
        <f t="shared" ca="1" si="229"/>
        <v>120803053.40680799</v>
      </c>
      <c r="AL119" s="138">
        <f t="shared" ca="1" si="229"/>
        <v>121122848.06053418</v>
      </c>
      <c r="AM119" s="138">
        <f t="shared" ca="1" si="229"/>
        <v>121443678.84934297</v>
      </c>
      <c r="AN119" s="138">
        <f t="shared" ca="1" si="229"/>
        <v>121765549.13031331</v>
      </c>
      <c r="AO119" s="138">
        <f t="shared" ca="1" si="229"/>
        <v>122088462.27140114</v>
      </c>
      <c r="AP119" s="138">
        <f t="shared" ca="1" si="229"/>
        <v>122412421.65147454</v>
      </c>
      <c r="AQ119" s="138">
        <f t="shared" ca="1" si="229"/>
        <v>122737430.66034919</v>
      </c>
      <c r="AR119" s="138">
        <f t="shared" ca="1" si="229"/>
        <v>123063492.69882366</v>
      </c>
      <c r="AS119" s="138">
        <f t="shared" ca="1" si="229"/>
        <v>123390611.17871526</v>
      </c>
      <c r="AT119" s="138">
        <f t="shared" ca="1" si="229"/>
        <v>123718789.52289549</v>
      </c>
      <c r="AU119" s="138">
        <f t="shared" ca="1" si="229"/>
        <v>124048031.16532597</v>
      </c>
      <c r="AV119" s="138">
        <f t="shared" ca="1" si="229"/>
        <v>124378339.55109441</v>
      </c>
      <c r="AW119" s="138">
        <f t="shared" ca="1" si="229"/>
        <v>124709718.13645053</v>
      </c>
      <c r="AX119" s="138">
        <f t="shared" ca="1" si="229"/>
        <v>125042170.38884237</v>
      </c>
      <c r="AY119" s="138">
        <f t="shared" ca="1" si="229"/>
        <v>125375699.7869525</v>
      </c>
      <c r="AZ119" s="138">
        <f t="shared" ca="1" si="229"/>
        <v>125710309.82073438</v>
      </c>
      <c r="BA119" s="138">
        <f t="shared" ca="1" si="229"/>
        <v>126046003.99144897</v>
      </c>
      <c r="BB119" s="138">
        <f t="shared" ca="1" si="229"/>
        <v>126382785.81170133</v>
      </c>
      <c r="BC119" s="138">
        <f t="shared" ca="1" si="229"/>
        <v>126720658.80547726</v>
      </c>
      <c r="BD119" s="138">
        <f t="shared" ca="1" si="229"/>
        <v>127059626.50818044</v>
      </c>
      <c r="BE119" s="138">
        <f t="shared" ca="1" si="229"/>
        <v>127399692.46666911</v>
      </c>
      <c r="BF119" s="138">
        <f t="shared" ca="1" si="229"/>
        <v>127740860.23929349</v>
      </c>
      <c r="BG119" s="138">
        <f t="shared" ca="1" si="229"/>
        <v>128083133.39593267</v>
      </c>
      <c r="BH119" s="138">
        <f t="shared" ca="1" si="229"/>
        <v>128426515.51803234</v>
      </c>
      <c r="BI119" s="138">
        <f t="shared" ca="1" si="229"/>
        <v>128771010.19864199</v>
      </c>
      <c r="BJ119" s="138">
        <f t="shared" ca="1" si="229"/>
        <v>129116621.04245251</v>
      </c>
      <c r="BK119" s="138">
        <f t="shared" ca="1" si="229"/>
        <v>129463351.66583419</v>
      </c>
      <c r="BL119" s="138">
        <f t="shared" ca="1" si="229"/>
        <v>129811205.6968742</v>
      </c>
      <c r="BM119" s="138">
        <f t="shared" ca="1" si="229"/>
        <v>90041619.907131165</v>
      </c>
      <c r="BN119" s="138">
        <f t="shared" ca="1" si="229"/>
        <v>90134860.32326293</v>
      </c>
      <c r="BO119" s="138">
        <f t="shared" ca="1" si="229"/>
        <v>90228402.847209945</v>
      </c>
      <c r="BP119" s="138">
        <f t="shared" ca="1" si="229"/>
        <v>90322248.45783028</v>
      </c>
      <c r="BQ119" s="138">
        <f t="shared" ca="1" si="229"/>
        <v>90416398.137153581</v>
      </c>
      <c r="BR119" s="138">
        <f t="shared" ref="BR119:EC119" ca="1" si="230">BR117+BR118</f>
        <v>90510852.870391339</v>
      </c>
      <c r="BS119" s="138">
        <f t="shared" ca="1" si="230"/>
        <v>90605613.645947263</v>
      </c>
      <c r="BT119" s="138">
        <f t="shared" ca="1" si="230"/>
        <v>90700681.455427557</v>
      </c>
      <c r="BU119" s="138">
        <f t="shared" ca="1" si="230"/>
        <v>90796057.293651372</v>
      </c>
      <c r="BV119" s="138">
        <f t="shared" ca="1" si="230"/>
        <v>90891742.158661082</v>
      </c>
      <c r="BW119" s="138">
        <f t="shared" ca="1" si="230"/>
        <v>90987737.051732883</v>
      </c>
      <c r="BX119" s="138">
        <f t="shared" ca="1" si="230"/>
        <v>91084042.97738719</v>
      </c>
      <c r="BY119" s="138">
        <f t="shared" ca="1" si="230"/>
        <v>91180660.943399131</v>
      </c>
      <c r="BZ119" s="138">
        <f t="shared" ca="1" si="230"/>
        <v>91277591.960809141</v>
      </c>
      <c r="CA119" s="138">
        <f t="shared" ca="1" si="230"/>
        <v>91374837.043933526</v>
      </c>
      <c r="CB119" s="138">
        <f t="shared" ca="1" si="230"/>
        <v>91472397.210375071</v>
      </c>
      <c r="CC119" s="138">
        <f t="shared" ca="1" si="230"/>
        <v>91570273.481033698</v>
      </c>
      <c r="CD119" s="138">
        <f t="shared" ca="1" si="230"/>
        <v>91668466.880117089</v>
      </c>
      <c r="CE119" s="138">
        <f t="shared" ca="1" si="230"/>
        <v>91766978.435151547</v>
      </c>
      <c r="CF119" s="138">
        <f t="shared" ca="1" si="230"/>
        <v>91865809.176992595</v>
      </c>
      <c r="CG119" s="138">
        <f t="shared" ca="1" si="230"/>
        <v>91964960.139835835</v>
      </c>
      <c r="CH119" s="138">
        <f t="shared" ca="1" si="230"/>
        <v>92064432.361227751</v>
      </c>
      <c r="CI119" s="138">
        <f t="shared" ca="1" si="230"/>
        <v>92164226.882076621</v>
      </c>
      <c r="CJ119" s="138">
        <f t="shared" ca="1" si="230"/>
        <v>92264344.746663332</v>
      </c>
      <c r="CK119" s="138">
        <f t="shared" ca="1" si="230"/>
        <v>92364787.002652332</v>
      </c>
      <c r="CL119" s="138">
        <f t="shared" ca="1" si="230"/>
        <v>92465554.701102614</v>
      </c>
      <c r="CM119" s="138">
        <f t="shared" ca="1" si="230"/>
        <v>92566648.896478713</v>
      </c>
      <c r="CN119" s="138">
        <f t="shared" ca="1" si="230"/>
        <v>92668070.646661699</v>
      </c>
      <c r="CO119" s="138">
        <f t="shared" ca="1" si="230"/>
        <v>92769821.012960315</v>
      </c>
      <c r="CP119" s="138">
        <f t="shared" ca="1" si="230"/>
        <v>92871901.060122043</v>
      </c>
      <c r="CQ119" s="138">
        <f t="shared" ca="1" si="230"/>
        <v>92974311.856344178</v>
      </c>
      <c r="CR119" s="138">
        <f t="shared" ca="1" si="230"/>
        <v>93077054.473285168</v>
      </c>
      <c r="CS119" s="138">
        <f t="shared" ca="1" si="230"/>
        <v>93180129.986075699</v>
      </c>
      <c r="CT119" s="138">
        <f t="shared" ca="1" si="230"/>
        <v>93283539.473329991</v>
      </c>
      <c r="CU119" s="138">
        <f t="shared" ca="1" si="230"/>
        <v>93387284.017157018</v>
      </c>
      <c r="CV119" s="138">
        <f t="shared" ca="1" si="230"/>
        <v>93491364.703171983</v>
      </c>
      <c r="CW119" s="138">
        <f t="shared" ca="1" si="230"/>
        <v>93595782.620507538</v>
      </c>
      <c r="CX119" s="138">
        <f t="shared" ca="1" si="230"/>
        <v>93700538.861825213</v>
      </c>
      <c r="CY119" s="138">
        <f t="shared" ca="1" si="230"/>
        <v>93805634.523326904</v>
      </c>
      <c r="CZ119" s="138">
        <f t="shared" ca="1" si="230"/>
        <v>93911070.704766273</v>
      </c>
      <c r="DA119" s="138">
        <f t="shared" ca="1" si="230"/>
        <v>94016848.5094603</v>
      </c>
      <c r="DB119" s="138">
        <f t="shared" ca="1" si="230"/>
        <v>94122969.044300839</v>
      </c>
      <c r="DC119" s="138">
        <f t="shared" ca="1" si="230"/>
        <v>94229433.419766128</v>
      </c>
      <c r="DD119" s="138">
        <f t="shared" ca="1" si="230"/>
        <v>94336242.749932528</v>
      </c>
      <c r="DE119" s="138">
        <f t="shared" ca="1" si="230"/>
        <v>94443398.152486026</v>
      </c>
      <c r="DF119" s="138">
        <f t="shared" ca="1" si="230"/>
        <v>94550900.748734117</v>
      </c>
      <c r="DG119" s="138">
        <f t="shared" ca="1" si="230"/>
        <v>94658751.663617343</v>
      </c>
      <c r="DH119" s="138">
        <f t="shared" ca="1" si="230"/>
        <v>94766952.025721252</v>
      </c>
      <c r="DI119" s="138">
        <f t="shared" ca="1" si="230"/>
        <v>94875502.967288047</v>
      </c>
      <c r="DJ119" s="138">
        <f t="shared" ca="1" si="230"/>
        <v>94984405.624228507</v>
      </c>
      <c r="DK119" s="138">
        <f t="shared" ca="1" si="230"/>
        <v>95093661.136133939</v>
      </c>
      <c r="DL119" s="138">
        <f t="shared" ca="1" si="230"/>
        <v>95203270.646287948</v>
      </c>
      <c r="DM119" s="138">
        <f t="shared" ca="1" si="230"/>
        <v>95313235.301678538</v>
      </c>
      <c r="DN119" s="138">
        <f t="shared" ca="1" si="230"/>
        <v>95423556.253010049</v>
      </c>
      <c r="DO119" s="138">
        <f t="shared" ca="1" si="230"/>
        <v>95534234.65471521</v>
      </c>
      <c r="DP119" s="138">
        <f t="shared" ca="1" si="230"/>
        <v>95645271.664967239</v>
      </c>
      <c r="DQ119" s="138">
        <f t="shared" ca="1" si="230"/>
        <v>95756668.445691913</v>
      </c>
      <c r="DR119" s="138">
        <f t="shared" ca="1" si="230"/>
        <v>95868426.16257979</v>
      </c>
      <c r="DS119" s="138">
        <f t="shared" ca="1" si="230"/>
        <v>95980545.985098347</v>
      </c>
      <c r="DT119" s="138">
        <f t="shared" ca="1" si="230"/>
        <v>96093029.086504281</v>
      </c>
      <c r="DU119" s="138">
        <f t="shared" ca="1" si="230"/>
        <v>96205876.643855721</v>
      </c>
      <c r="DV119" s="138">
        <f t="shared" ca="1" si="230"/>
        <v>96319089.838024601</v>
      </c>
      <c r="DW119" s="138">
        <f t="shared" ca="1" si="230"/>
        <v>96432669.853708968</v>
      </c>
      <c r="DX119" s="138">
        <f t="shared" ca="1" si="230"/>
        <v>96546617.879445434</v>
      </c>
      <c r="DY119" s="138">
        <f t="shared" ca="1" si="230"/>
        <v>96660935.107621551</v>
      </c>
      <c r="DZ119" s="138">
        <f t="shared" ca="1" si="230"/>
        <v>96775622.734488338</v>
      </c>
      <c r="EA119" s="138">
        <f t="shared" ca="1" si="230"/>
        <v>96890681.960172772</v>
      </c>
      <c r="EB119" s="138">
        <f t="shared" ca="1" si="230"/>
        <v>97006113.988690376</v>
      </c>
      <c r="EC119" s="138">
        <f t="shared" ca="1" si="230"/>
        <v>97121920.027957782</v>
      </c>
      <c r="ED119" s="138">
        <f t="shared" ref="ED119:GO119" ca="1" si="231">ED117+ED118</f>
        <v>97238101.289805382</v>
      </c>
      <c r="EE119" s="138">
        <f t="shared" ca="1" si="231"/>
        <v>97354658.989990011</v>
      </c>
      <c r="EF119" s="138">
        <f t="shared" ca="1" si="231"/>
        <v>97471594.348207682</v>
      </c>
      <c r="EG119" s="138">
        <f t="shared" ca="1" si="231"/>
        <v>97588908.588106349</v>
      </c>
      <c r="EH119" s="138">
        <f t="shared" ca="1" si="231"/>
        <v>97706602.937298685</v>
      </c>
      <c r="EI119" s="138">
        <f t="shared" ca="1" si="231"/>
        <v>97824678.627374932</v>
      </c>
      <c r="EJ119" s="138">
        <f t="shared" ca="1" si="231"/>
        <v>97943136.893915847</v>
      </c>
      <c r="EK119" s="138">
        <f t="shared" ca="1" si="231"/>
        <v>98061978.976505548</v>
      </c>
      <c r="EL119" s="138">
        <f t="shared" ca="1" si="231"/>
        <v>98181206.118744507</v>
      </c>
      <c r="EM119" s="138">
        <f t="shared" ca="1" si="231"/>
        <v>98300819.568262652</v>
      </c>
      <c r="EN119" s="138">
        <f t="shared" ca="1" si="231"/>
        <v>98420820.576732278</v>
      </c>
      <c r="EO119" s="138">
        <f t="shared" ca="1" si="231"/>
        <v>98541210.399881259</v>
      </c>
      <c r="EP119" s="138">
        <f t="shared" ca="1" si="231"/>
        <v>98661990.297506124</v>
      </c>
      <c r="EQ119" s="138">
        <f t="shared" ca="1" si="231"/>
        <v>98783161.533485264</v>
      </c>
      <c r="ER119" s="138">
        <f t="shared" ca="1" si="231"/>
        <v>98904725.375792146</v>
      </c>
      <c r="ES119" s="138">
        <f t="shared" ca="1" si="231"/>
        <v>99026683.096508652</v>
      </c>
      <c r="ET119" s="138">
        <f t="shared" ca="1" si="231"/>
        <v>99149035.971838266</v>
      </c>
      <c r="EU119" s="138">
        <f t="shared" ca="1" si="231"/>
        <v>99271785.282119513</v>
      </c>
      <c r="EV119" s="138">
        <f t="shared" ca="1" si="231"/>
        <v>99394932.311839342</v>
      </c>
      <c r="EW119" s="138">
        <f t="shared" ca="1" si="231"/>
        <v>99518478.349646553</v>
      </c>
      <c r="EX119" s="138">
        <f t="shared" ca="1" si="231"/>
        <v>99642424.688365281</v>
      </c>
      <c r="EY119" s="138">
        <f t="shared" ca="1" si="231"/>
        <v>99766772.625008568</v>
      </c>
      <c r="EZ119" s="138">
        <f t="shared" ca="1" si="231"/>
        <v>99891523.460791886</v>
      </c>
      <c r="FA119" s="138">
        <f t="shared" ca="1" si="231"/>
        <v>100016678.50114673</v>
      </c>
      <c r="FB119" s="138">
        <f t="shared" ca="1" si="231"/>
        <v>100142239.0557344</v>
      </c>
      <c r="FC119" s="138">
        <f t="shared" ca="1" si="231"/>
        <v>100268206.43845952</v>
      </c>
      <c r="FD119" s="138">
        <f t="shared" ca="1" si="231"/>
        <v>100394581.96748398</v>
      </c>
      <c r="FE119" s="138">
        <f t="shared" ca="1" si="231"/>
        <v>100521366.9652406</v>
      </c>
      <c r="FF119" s="138">
        <f t="shared" ca="1" si="231"/>
        <v>100648562.75844702</v>
      </c>
      <c r="FG119" s="138">
        <f t="shared" ca="1" si="231"/>
        <v>100776170.67811954</v>
      </c>
      <c r="FH119" s="138">
        <f t="shared" ca="1" si="231"/>
        <v>100904192.05958712</v>
      </c>
      <c r="FI119" s="138">
        <f t="shared" ca="1" si="231"/>
        <v>101032628.24250528</v>
      </c>
      <c r="FJ119" s="138">
        <f t="shared" ca="1" si="231"/>
        <v>101161480.57087019</v>
      </c>
      <c r="FK119" s="138">
        <f t="shared" ca="1" si="231"/>
        <v>101290750.39303267</v>
      </c>
      <c r="FL119" s="138">
        <f t="shared" ca="1" si="231"/>
        <v>101420439.06171229</v>
      </c>
      <c r="FM119" s="138">
        <f t="shared" ca="1" si="231"/>
        <v>101550547.93401167</v>
      </c>
      <c r="FN119" s="138">
        <f t="shared" ca="1" si="231"/>
        <v>101681078.37143043</v>
      </c>
      <c r="FO119" s="138">
        <f t="shared" ca="1" si="231"/>
        <v>101812031.73987967</v>
      </c>
      <c r="FP119" s="138">
        <f t="shared" ca="1" si="231"/>
        <v>101943409.40969616</v>
      </c>
      <c r="FQ119" s="138">
        <f t="shared" ca="1" si="231"/>
        <v>102075212.75565666</v>
      </c>
      <c r="FR119" s="138">
        <f t="shared" ca="1" si="231"/>
        <v>102207443.15699238</v>
      </c>
      <c r="FS119" s="138">
        <f t="shared" ca="1" si="231"/>
        <v>102340101.99740334</v>
      </c>
      <c r="FT119" s="138">
        <f t="shared" ca="1" si="231"/>
        <v>102473190.66507289</v>
      </c>
      <c r="FU119" s="138">
        <f t="shared" ca="1" si="231"/>
        <v>102606710.55268222</v>
      </c>
      <c r="FV119" s="138">
        <f t="shared" ca="1" si="231"/>
        <v>102740663.05742496</v>
      </c>
      <c r="FW119" s="138">
        <f t="shared" ca="1" si="231"/>
        <v>102875049.58102173</v>
      </c>
      <c r="FX119" s="138">
        <f t="shared" ca="1" si="231"/>
        <v>103009871.52973491</v>
      </c>
      <c r="FY119" s="138">
        <f t="shared" ca="1" si="231"/>
        <v>103145130.3143833</v>
      </c>
      <c r="FZ119" s="138">
        <f t="shared" ca="1" si="231"/>
        <v>103280827.35035686</v>
      </c>
      <c r="GA119" s="138">
        <f t="shared" ca="1" si="231"/>
        <v>103416964.05763155</v>
      </c>
      <c r="GB119" s="138">
        <f t="shared" ca="1" si="231"/>
        <v>103553541.86078422</v>
      </c>
      <c r="GC119" s="138">
        <f t="shared" ca="1" si="231"/>
        <v>103690562.18900745</v>
      </c>
      <c r="GD119" s="138">
        <f t="shared" ca="1" si="231"/>
        <v>103828026.47612455</v>
      </c>
      <c r="GE119" s="138">
        <f t="shared" ca="1" si="231"/>
        <v>103965936.16060457</v>
      </c>
      <c r="GF119" s="138">
        <f t="shared" ca="1" si="231"/>
        <v>104104292.6855773</v>
      </c>
      <c r="GG119" s="138">
        <f t="shared" ca="1" si="231"/>
        <v>104243097.49884844</v>
      </c>
      <c r="GH119" s="138">
        <f t="shared" ca="1" si="231"/>
        <v>104382352.05291474</v>
      </c>
      <c r="GI119" s="138">
        <f t="shared" ca="1" si="231"/>
        <v>104522057.8049791</v>
      </c>
      <c r="GJ119" s="138">
        <f t="shared" ca="1" si="231"/>
        <v>104662216.21696596</v>
      </c>
      <c r="GK119" s="138">
        <f t="shared" ca="1" si="231"/>
        <v>104802828.75553653</v>
      </c>
      <c r="GL119" s="138">
        <f t="shared" ca="1" si="231"/>
        <v>104943896.8921041</v>
      </c>
      <c r="GM119" s="138">
        <f t="shared" ca="1" si="231"/>
        <v>105085422.10284954</v>
      </c>
      <c r="GN119" s="138">
        <f t="shared" ca="1" si="231"/>
        <v>105227405.86873664</v>
      </c>
      <c r="GO119" s="138">
        <f t="shared" ca="1" si="231"/>
        <v>105369849.67552766</v>
      </c>
      <c r="GP119" s="138">
        <f t="shared" ref="GP119:JA119" ca="1" si="232">GP117+GP118</f>
        <v>105512755.01379889</v>
      </c>
      <c r="GQ119" s="138">
        <f t="shared" ca="1" si="232"/>
        <v>105656123.3789562</v>
      </c>
      <c r="GR119" s="138">
        <f t="shared" ca="1" si="232"/>
        <v>105799956.27125075</v>
      </c>
      <c r="GS119" s="138">
        <f t="shared" ca="1" si="232"/>
        <v>105944255.19579464</v>
      </c>
      <c r="GT119" s="138">
        <f t="shared" ca="1" si="232"/>
        <v>106089021.66257668</v>
      </c>
      <c r="GU119" s="138">
        <f t="shared" ca="1" si="232"/>
        <v>106234257.18647817</v>
      </c>
      <c r="GV119" s="138">
        <f t="shared" ca="1" si="232"/>
        <v>106379963.28728878</v>
      </c>
      <c r="GW119" s="138">
        <f t="shared" ca="1" si="232"/>
        <v>106526141.48972249</v>
      </c>
      <c r="GX119" s="138">
        <f t="shared" ca="1" si="232"/>
        <v>106672793.3234334</v>
      </c>
      <c r="GY119" s="138">
        <f t="shared" ca="1" si="232"/>
        <v>106819920.32303193</v>
      </c>
      <c r="GZ119" s="138">
        <f t="shared" ca="1" si="232"/>
        <v>106967524.02810073</v>
      </c>
      <c r="HA119" s="138">
        <f t="shared" ca="1" si="232"/>
        <v>107115605.98321085</v>
      </c>
      <c r="HB119" s="138">
        <f t="shared" ca="1" si="232"/>
        <v>107264167.7379379</v>
      </c>
      <c r="HC119" s="138">
        <f t="shared" ca="1" si="232"/>
        <v>107413210.84687831</v>
      </c>
      <c r="HD119" s="138">
        <f t="shared" ca="1" si="232"/>
        <v>107562736.86966544</v>
      </c>
      <c r="HE119" s="138">
        <f t="shared" ca="1" si="232"/>
        <v>107712747.37098615</v>
      </c>
      <c r="HF119" s="138">
        <f t="shared" ca="1" si="232"/>
        <v>107863243.92059693</v>
      </c>
      <c r="HG119" s="138">
        <f t="shared" ca="1" si="232"/>
        <v>108014228.09334044</v>
      </c>
      <c r="HH119" s="138">
        <f t="shared" ca="1" si="232"/>
        <v>108165701.46916203</v>
      </c>
      <c r="HI119" s="138">
        <f t="shared" ca="1" si="232"/>
        <v>108317665.6331262</v>
      </c>
      <c r="HJ119" s="138">
        <f t="shared" ca="1" si="232"/>
        <v>108470122.17543319</v>
      </c>
      <c r="HK119" s="138">
        <f t="shared" ca="1" si="232"/>
        <v>108623072.69143566</v>
      </c>
      <c r="HL119" s="138">
        <f t="shared" ca="1" si="232"/>
        <v>108776518.78165536</v>
      </c>
      <c r="HM119" s="138">
        <f t="shared" ca="1" si="232"/>
        <v>108930462.05179989</v>
      </c>
      <c r="HN119" s="138">
        <f t="shared" ca="1" si="232"/>
        <v>109084904.11277948</v>
      </c>
      <c r="HO119" s="138">
        <f t="shared" ca="1" si="232"/>
        <v>109239846.58072387</v>
      </c>
      <c r="HP119" s="138">
        <f t="shared" ca="1" si="232"/>
        <v>109395291.07699923</v>
      </c>
      <c r="HQ119" s="138">
        <f t="shared" ca="1" si="232"/>
        <v>109551239.22822507</v>
      </c>
      <c r="HR119" s="138">
        <f t="shared" ca="1" si="232"/>
        <v>109707692.66629134</v>
      </c>
      <c r="HS119" s="138">
        <f t="shared" ca="1" si="232"/>
        <v>109864653.02837548</v>
      </c>
      <c r="HT119" s="138">
        <f t="shared" ca="1" si="232"/>
        <v>110022121.95695944</v>
      </c>
      <c r="HU119" s="138">
        <f t="shared" ca="1" si="232"/>
        <v>110180101.09984714</v>
      </c>
      <c r="HV119" s="138">
        <f t="shared" ca="1" si="232"/>
        <v>110338592.11018139</v>
      </c>
      <c r="HW119" s="138">
        <f t="shared" ca="1" si="232"/>
        <v>110497596.64646138</v>
      </c>
      <c r="HX119" s="138">
        <f t="shared" ca="1" si="232"/>
        <v>110657116.37256008</v>
      </c>
      <c r="HY119" s="138">
        <f t="shared" ca="1" si="232"/>
        <v>110817152.95774141</v>
      </c>
      <c r="HZ119" s="138">
        <f t="shared" ca="1" si="232"/>
        <v>110977708.07667801</v>
      </c>
      <c r="IA119" s="138">
        <f t="shared" ca="1" si="232"/>
        <v>111138783.40946853</v>
      </c>
      <c r="IB119" s="138">
        <f t="shared" ca="1" si="232"/>
        <v>111300380.64165539</v>
      </c>
      <c r="IC119" s="138">
        <f t="shared" ca="1" si="232"/>
        <v>111462501.46424216</v>
      </c>
      <c r="ID119" s="138">
        <f t="shared" ca="1" si="232"/>
        <v>111625147.57371162</v>
      </c>
      <c r="IE119" s="138">
        <f t="shared" ca="1" si="232"/>
        <v>111788320.67204319</v>
      </c>
      <c r="IF119" s="138">
        <f t="shared" ca="1" si="232"/>
        <v>111952022.46673089</v>
      </c>
      <c r="IG119" s="138">
        <f t="shared" ca="1" si="232"/>
        <v>112116254.67080121</v>
      </c>
      <c r="IH119" s="138">
        <f t="shared" ca="1" si="232"/>
        <v>112281019.00283098</v>
      </c>
      <c r="II119" s="138">
        <f t="shared" ca="1" si="232"/>
        <v>112446317.18696541</v>
      </c>
      <c r="IJ119" s="138">
        <f t="shared" ca="1" si="232"/>
        <v>112612150.95293605</v>
      </c>
      <c r="IK119" s="138">
        <f t="shared" ca="1" si="232"/>
        <v>0</v>
      </c>
      <c r="IL119" s="138">
        <f t="shared" ca="1" si="232"/>
        <v>0</v>
      </c>
      <c r="IM119" s="138">
        <f t="shared" ca="1" si="232"/>
        <v>0</v>
      </c>
      <c r="IN119" s="138">
        <f t="shared" ca="1" si="232"/>
        <v>0</v>
      </c>
      <c r="IO119" s="138">
        <f t="shared" ca="1" si="232"/>
        <v>0</v>
      </c>
      <c r="IP119" s="138">
        <f t="shared" ca="1" si="232"/>
        <v>0</v>
      </c>
      <c r="IQ119" s="138">
        <f t="shared" ca="1" si="232"/>
        <v>0</v>
      </c>
      <c r="IR119" s="138">
        <f t="shared" ca="1" si="232"/>
        <v>0</v>
      </c>
      <c r="IS119" s="138">
        <f t="shared" ca="1" si="232"/>
        <v>0</v>
      </c>
      <c r="IT119" s="138">
        <f t="shared" ca="1" si="232"/>
        <v>0</v>
      </c>
      <c r="IU119" s="138">
        <f t="shared" ca="1" si="232"/>
        <v>0</v>
      </c>
      <c r="IV119" s="138">
        <f t="shared" ca="1" si="232"/>
        <v>0</v>
      </c>
      <c r="IW119" s="138">
        <f t="shared" ca="1" si="232"/>
        <v>0</v>
      </c>
      <c r="IX119" s="138">
        <f t="shared" ca="1" si="232"/>
        <v>0</v>
      </c>
      <c r="IY119" s="138">
        <f t="shared" ca="1" si="232"/>
        <v>0</v>
      </c>
      <c r="IZ119" s="138">
        <f t="shared" ca="1" si="232"/>
        <v>0</v>
      </c>
      <c r="JA119" s="138">
        <f t="shared" ca="1" si="232"/>
        <v>0</v>
      </c>
      <c r="JB119" s="138">
        <f t="shared" ref="JB119:LM119" ca="1" si="233">JB117+JB118</f>
        <v>0</v>
      </c>
      <c r="JC119" s="138">
        <f t="shared" ca="1" si="233"/>
        <v>0</v>
      </c>
      <c r="JD119" s="138">
        <f t="shared" ca="1" si="233"/>
        <v>0</v>
      </c>
      <c r="JE119" s="138">
        <f t="shared" ca="1" si="233"/>
        <v>0</v>
      </c>
      <c r="JF119" s="138">
        <f t="shared" ca="1" si="233"/>
        <v>0</v>
      </c>
      <c r="JG119" s="138">
        <f t="shared" ca="1" si="233"/>
        <v>0</v>
      </c>
      <c r="JH119" s="138">
        <f t="shared" ca="1" si="233"/>
        <v>0</v>
      </c>
      <c r="JI119" s="138">
        <f t="shared" ca="1" si="233"/>
        <v>0</v>
      </c>
      <c r="JJ119" s="138">
        <f t="shared" ca="1" si="233"/>
        <v>0</v>
      </c>
      <c r="JK119" s="138">
        <f t="shared" ca="1" si="233"/>
        <v>0</v>
      </c>
      <c r="JL119" s="138">
        <f t="shared" ca="1" si="233"/>
        <v>0</v>
      </c>
      <c r="JM119" s="138">
        <f t="shared" ca="1" si="233"/>
        <v>0</v>
      </c>
      <c r="JN119" s="138">
        <f t="shared" ca="1" si="233"/>
        <v>0</v>
      </c>
      <c r="JO119" s="138">
        <f t="shared" ca="1" si="233"/>
        <v>0</v>
      </c>
      <c r="JP119" s="138">
        <f t="shared" ca="1" si="233"/>
        <v>0</v>
      </c>
      <c r="JQ119" s="138">
        <f t="shared" ca="1" si="233"/>
        <v>0</v>
      </c>
      <c r="JR119" s="138">
        <f t="shared" ca="1" si="233"/>
        <v>0</v>
      </c>
      <c r="JS119" s="138">
        <f t="shared" ca="1" si="233"/>
        <v>0</v>
      </c>
      <c r="JT119" s="138">
        <f t="shared" ca="1" si="233"/>
        <v>0</v>
      </c>
      <c r="JU119" s="138">
        <f t="shared" ca="1" si="233"/>
        <v>0</v>
      </c>
      <c r="JV119" s="138">
        <f t="shared" ca="1" si="233"/>
        <v>0</v>
      </c>
      <c r="JW119" s="138">
        <f t="shared" ca="1" si="233"/>
        <v>0</v>
      </c>
      <c r="JX119" s="138">
        <f t="shared" ca="1" si="233"/>
        <v>0</v>
      </c>
      <c r="JY119" s="138">
        <f t="shared" ca="1" si="233"/>
        <v>0</v>
      </c>
      <c r="JZ119" s="138">
        <f t="shared" ca="1" si="233"/>
        <v>0</v>
      </c>
      <c r="KA119" s="138">
        <f t="shared" ca="1" si="233"/>
        <v>0</v>
      </c>
      <c r="KB119" s="138">
        <f t="shared" ca="1" si="233"/>
        <v>0</v>
      </c>
      <c r="KC119" s="138">
        <f t="shared" ca="1" si="233"/>
        <v>0</v>
      </c>
      <c r="KD119" s="138">
        <f t="shared" ca="1" si="233"/>
        <v>0</v>
      </c>
      <c r="KE119" s="138">
        <f t="shared" ca="1" si="233"/>
        <v>0</v>
      </c>
      <c r="KF119" s="138">
        <f t="shared" ca="1" si="233"/>
        <v>0</v>
      </c>
      <c r="KG119" s="138">
        <f t="shared" ca="1" si="233"/>
        <v>0</v>
      </c>
      <c r="KH119" s="138">
        <f t="shared" ca="1" si="233"/>
        <v>0</v>
      </c>
      <c r="KI119" s="138">
        <f t="shared" ca="1" si="233"/>
        <v>0</v>
      </c>
      <c r="KJ119" s="138">
        <f t="shared" ca="1" si="233"/>
        <v>0</v>
      </c>
      <c r="KK119" s="138">
        <f t="shared" ca="1" si="233"/>
        <v>0</v>
      </c>
      <c r="KL119" s="138">
        <f t="shared" ca="1" si="233"/>
        <v>0</v>
      </c>
      <c r="KM119" s="138">
        <f t="shared" ca="1" si="233"/>
        <v>0</v>
      </c>
      <c r="KN119" s="138">
        <f t="shared" ca="1" si="233"/>
        <v>0</v>
      </c>
      <c r="KO119" s="138">
        <f t="shared" ca="1" si="233"/>
        <v>0</v>
      </c>
      <c r="KP119" s="138">
        <f t="shared" ca="1" si="233"/>
        <v>0</v>
      </c>
      <c r="KQ119" s="138">
        <f t="shared" ca="1" si="233"/>
        <v>0</v>
      </c>
      <c r="KR119" s="138">
        <f t="shared" ca="1" si="233"/>
        <v>0</v>
      </c>
      <c r="KS119" s="138">
        <f t="shared" ca="1" si="233"/>
        <v>0</v>
      </c>
      <c r="KT119" s="138">
        <f t="shared" ca="1" si="233"/>
        <v>0</v>
      </c>
      <c r="KU119" s="138">
        <f t="shared" ca="1" si="233"/>
        <v>0</v>
      </c>
      <c r="KV119" s="138">
        <f t="shared" ca="1" si="233"/>
        <v>0</v>
      </c>
      <c r="KW119" s="138">
        <f t="shared" ca="1" si="233"/>
        <v>0</v>
      </c>
      <c r="KX119" s="138">
        <f t="shared" ca="1" si="233"/>
        <v>0</v>
      </c>
      <c r="KY119" s="138">
        <f t="shared" ca="1" si="233"/>
        <v>0</v>
      </c>
      <c r="KZ119" s="138">
        <f t="shared" ca="1" si="233"/>
        <v>0</v>
      </c>
      <c r="LA119" s="138">
        <f t="shared" ca="1" si="233"/>
        <v>0</v>
      </c>
      <c r="LB119" s="138">
        <f t="shared" ca="1" si="233"/>
        <v>0</v>
      </c>
      <c r="LC119" s="138">
        <f t="shared" ca="1" si="233"/>
        <v>0</v>
      </c>
      <c r="LD119" s="138">
        <f t="shared" ca="1" si="233"/>
        <v>0</v>
      </c>
      <c r="LE119" s="138">
        <f t="shared" ca="1" si="233"/>
        <v>0</v>
      </c>
      <c r="LF119" s="138">
        <f t="shared" ca="1" si="233"/>
        <v>0</v>
      </c>
      <c r="LG119" s="138">
        <f t="shared" ca="1" si="233"/>
        <v>0</v>
      </c>
      <c r="LH119" s="138">
        <f t="shared" ca="1" si="233"/>
        <v>0</v>
      </c>
      <c r="LI119" s="138">
        <f t="shared" ca="1" si="233"/>
        <v>0</v>
      </c>
      <c r="LJ119" s="138">
        <f t="shared" ca="1" si="233"/>
        <v>0</v>
      </c>
      <c r="LK119" s="138">
        <f t="shared" ca="1" si="233"/>
        <v>0</v>
      </c>
      <c r="LL119" s="138">
        <f t="shared" ca="1" si="233"/>
        <v>0</v>
      </c>
      <c r="LM119" s="138">
        <f t="shared" ca="1" si="233"/>
        <v>0</v>
      </c>
      <c r="LN119" s="138">
        <f t="shared" ref="LN119:NY119" ca="1" si="234">LN117+LN118</f>
        <v>0</v>
      </c>
      <c r="LO119" s="138">
        <f t="shared" ca="1" si="234"/>
        <v>0</v>
      </c>
      <c r="LP119" s="138">
        <f t="shared" ca="1" si="234"/>
        <v>0</v>
      </c>
      <c r="LQ119" s="138">
        <f t="shared" ca="1" si="234"/>
        <v>0</v>
      </c>
      <c r="LR119" s="138">
        <f t="shared" ca="1" si="234"/>
        <v>0</v>
      </c>
      <c r="LS119" s="138">
        <f t="shared" ca="1" si="234"/>
        <v>0</v>
      </c>
      <c r="LT119" s="138">
        <f t="shared" ca="1" si="234"/>
        <v>0</v>
      </c>
      <c r="LU119" s="138">
        <f t="shared" ca="1" si="234"/>
        <v>0</v>
      </c>
      <c r="LV119" s="138">
        <f t="shared" ca="1" si="234"/>
        <v>0</v>
      </c>
      <c r="LW119" s="138">
        <f t="shared" ca="1" si="234"/>
        <v>0</v>
      </c>
      <c r="LX119" s="138">
        <f t="shared" ca="1" si="234"/>
        <v>0</v>
      </c>
      <c r="LY119" s="138">
        <f t="shared" ca="1" si="234"/>
        <v>0</v>
      </c>
      <c r="LZ119" s="138">
        <f t="shared" ca="1" si="234"/>
        <v>0</v>
      </c>
      <c r="MA119" s="138">
        <f t="shared" ca="1" si="234"/>
        <v>0</v>
      </c>
      <c r="MB119" s="138">
        <f t="shared" ca="1" si="234"/>
        <v>0</v>
      </c>
      <c r="MC119" s="138">
        <f t="shared" ca="1" si="234"/>
        <v>0</v>
      </c>
      <c r="MD119" s="138">
        <f t="shared" ca="1" si="234"/>
        <v>0</v>
      </c>
      <c r="ME119" s="138">
        <f t="shared" ca="1" si="234"/>
        <v>0</v>
      </c>
      <c r="MF119" s="138">
        <f t="shared" ca="1" si="234"/>
        <v>0</v>
      </c>
      <c r="MG119" s="138">
        <f t="shared" ca="1" si="234"/>
        <v>0</v>
      </c>
      <c r="MH119" s="138">
        <f t="shared" ca="1" si="234"/>
        <v>0</v>
      </c>
      <c r="MI119" s="138">
        <f t="shared" ca="1" si="234"/>
        <v>0</v>
      </c>
      <c r="MJ119" s="138">
        <f t="shared" ca="1" si="234"/>
        <v>0</v>
      </c>
      <c r="MK119" s="138">
        <f t="shared" ca="1" si="234"/>
        <v>0</v>
      </c>
      <c r="ML119" s="138">
        <f t="shared" ca="1" si="234"/>
        <v>0</v>
      </c>
      <c r="MM119" s="138">
        <f t="shared" ca="1" si="234"/>
        <v>0</v>
      </c>
      <c r="MN119" s="138">
        <f t="shared" ca="1" si="234"/>
        <v>0</v>
      </c>
      <c r="MO119" s="138">
        <f t="shared" ca="1" si="234"/>
        <v>0</v>
      </c>
      <c r="MP119" s="138">
        <f t="shared" ca="1" si="234"/>
        <v>0</v>
      </c>
      <c r="MQ119" s="138">
        <f t="shared" ca="1" si="234"/>
        <v>0</v>
      </c>
      <c r="MR119" s="138">
        <f t="shared" ca="1" si="234"/>
        <v>0</v>
      </c>
      <c r="MS119" s="138">
        <f t="shared" ca="1" si="234"/>
        <v>0</v>
      </c>
      <c r="MT119" s="138">
        <f t="shared" ca="1" si="234"/>
        <v>0</v>
      </c>
      <c r="MU119" s="138">
        <f t="shared" ca="1" si="234"/>
        <v>0</v>
      </c>
      <c r="MV119" s="138">
        <f t="shared" ca="1" si="234"/>
        <v>0</v>
      </c>
      <c r="MW119" s="138">
        <f t="shared" ca="1" si="234"/>
        <v>0</v>
      </c>
      <c r="MX119" s="138">
        <f t="shared" ca="1" si="234"/>
        <v>0</v>
      </c>
      <c r="MY119" s="138">
        <f t="shared" ca="1" si="234"/>
        <v>0</v>
      </c>
      <c r="MZ119" s="138">
        <f t="shared" ca="1" si="234"/>
        <v>0</v>
      </c>
      <c r="NA119" s="138">
        <f t="shared" ca="1" si="234"/>
        <v>0</v>
      </c>
      <c r="NB119" s="138">
        <f t="shared" ca="1" si="234"/>
        <v>0</v>
      </c>
      <c r="NC119" s="138">
        <f t="shared" ca="1" si="234"/>
        <v>0</v>
      </c>
      <c r="ND119" s="138">
        <f t="shared" ca="1" si="234"/>
        <v>0</v>
      </c>
      <c r="NE119" s="138">
        <f t="shared" ca="1" si="234"/>
        <v>0</v>
      </c>
      <c r="NF119" s="138">
        <f t="shared" ca="1" si="234"/>
        <v>0</v>
      </c>
      <c r="NG119" s="138">
        <f t="shared" ca="1" si="234"/>
        <v>0</v>
      </c>
      <c r="NH119" s="138">
        <f t="shared" ca="1" si="234"/>
        <v>0</v>
      </c>
      <c r="NI119" s="138">
        <f t="shared" ca="1" si="234"/>
        <v>0</v>
      </c>
      <c r="NJ119" s="138">
        <f t="shared" ca="1" si="234"/>
        <v>0</v>
      </c>
      <c r="NK119" s="138">
        <f t="shared" ca="1" si="234"/>
        <v>0</v>
      </c>
      <c r="NL119" s="138">
        <f t="shared" ca="1" si="234"/>
        <v>0</v>
      </c>
      <c r="NM119" s="138">
        <f t="shared" ca="1" si="234"/>
        <v>0</v>
      </c>
      <c r="NN119" s="138">
        <f t="shared" ca="1" si="234"/>
        <v>0</v>
      </c>
      <c r="NO119" s="138">
        <f t="shared" ca="1" si="234"/>
        <v>0</v>
      </c>
      <c r="NP119" s="138">
        <f t="shared" ca="1" si="234"/>
        <v>0</v>
      </c>
      <c r="NQ119" s="138">
        <f t="shared" ca="1" si="234"/>
        <v>0</v>
      </c>
      <c r="NR119" s="138">
        <f t="shared" ca="1" si="234"/>
        <v>0</v>
      </c>
      <c r="NS119" s="138">
        <f t="shared" ca="1" si="234"/>
        <v>0</v>
      </c>
      <c r="NT119" s="138">
        <f t="shared" ca="1" si="234"/>
        <v>0</v>
      </c>
      <c r="NU119" s="138">
        <f t="shared" ca="1" si="234"/>
        <v>0</v>
      </c>
      <c r="NV119" s="138">
        <f t="shared" ca="1" si="234"/>
        <v>0</v>
      </c>
      <c r="NW119" s="138">
        <f t="shared" ca="1" si="234"/>
        <v>0</v>
      </c>
      <c r="NX119" s="138">
        <f t="shared" ca="1" si="234"/>
        <v>0</v>
      </c>
      <c r="NY119" s="138">
        <f t="shared" ca="1" si="234"/>
        <v>0</v>
      </c>
      <c r="NZ119" s="138">
        <f t="shared" ref="NZ119:QK119" ca="1" si="235">NZ117+NZ118</f>
        <v>0</v>
      </c>
      <c r="OA119" s="138">
        <f t="shared" ca="1" si="235"/>
        <v>0</v>
      </c>
      <c r="OB119" s="138">
        <f t="shared" ca="1" si="235"/>
        <v>0</v>
      </c>
      <c r="OC119" s="138">
        <f t="shared" ca="1" si="235"/>
        <v>0</v>
      </c>
      <c r="OD119" s="138">
        <f t="shared" ca="1" si="235"/>
        <v>0</v>
      </c>
      <c r="OE119" s="138">
        <f t="shared" ca="1" si="235"/>
        <v>0</v>
      </c>
      <c r="OF119" s="138">
        <f t="shared" ca="1" si="235"/>
        <v>0</v>
      </c>
      <c r="OG119" s="138">
        <f t="shared" ca="1" si="235"/>
        <v>0</v>
      </c>
      <c r="OH119" s="138">
        <f t="shared" ca="1" si="235"/>
        <v>0</v>
      </c>
      <c r="OI119" s="138">
        <f t="shared" ca="1" si="235"/>
        <v>0</v>
      </c>
      <c r="OJ119" s="138">
        <f t="shared" ca="1" si="235"/>
        <v>0</v>
      </c>
      <c r="OK119" s="138">
        <f t="shared" ca="1" si="235"/>
        <v>0</v>
      </c>
      <c r="OL119" s="138">
        <f t="shared" ca="1" si="235"/>
        <v>0</v>
      </c>
      <c r="OM119" s="138">
        <f t="shared" ca="1" si="235"/>
        <v>0</v>
      </c>
      <c r="ON119" s="138">
        <f t="shared" ca="1" si="235"/>
        <v>0</v>
      </c>
      <c r="OO119" s="138">
        <f t="shared" ca="1" si="235"/>
        <v>0</v>
      </c>
      <c r="OP119" s="138">
        <f t="shared" ca="1" si="235"/>
        <v>0</v>
      </c>
      <c r="OQ119" s="138">
        <f t="shared" ca="1" si="235"/>
        <v>0</v>
      </c>
      <c r="OR119" s="138">
        <f t="shared" ca="1" si="235"/>
        <v>0</v>
      </c>
      <c r="OS119" s="138">
        <f t="shared" ca="1" si="235"/>
        <v>0</v>
      </c>
      <c r="OT119" s="138">
        <f t="shared" ca="1" si="235"/>
        <v>0</v>
      </c>
      <c r="OU119" s="138">
        <f t="shared" ca="1" si="235"/>
        <v>0</v>
      </c>
      <c r="OV119" s="138">
        <f t="shared" ca="1" si="235"/>
        <v>0</v>
      </c>
      <c r="OW119" s="138">
        <f t="shared" ca="1" si="235"/>
        <v>0</v>
      </c>
      <c r="OX119" s="138">
        <f t="shared" ca="1" si="235"/>
        <v>0</v>
      </c>
      <c r="OY119" s="138">
        <f t="shared" ca="1" si="235"/>
        <v>0</v>
      </c>
      <c r="OZ119" s="138">
        <f t="shared" ca="1" si="235"/>
        <v>0</v>
      </c>
      <c r="PA119" s="138">
        <f t="shared" ca="1" si="235"/>
        <v>0</v>
      </c>
      <c r="PB119" s="138">
        <f t="shared" ca="1" si="235"/>
        <v>0</v>
      </c>
      <c r="PC119" s="138">
        <f t="shared" ca="1" si="235"/>
        <v>0</v>
      </c>
      <c r="PD119" s="138">
        <f t="shared" ca="1" si="235"/>
        <v>0</v>
      </c>
      <c r="PE119" s="138">
        <f t="shared" ca="1" si="235"/>
        <v>0</v>
      </c>
      <c r="PF119" s="138">
        <f t="shared" ca="1" si="235"/>
        <v>0</v>
      </c>
      <c r="PG119" s="138">
        <f t="shared" ca="1" si="235"/>
        <v>0</v>
      </c>
      <c r="PH119" s="138">
        <f t="shared" ca="1" si="235"/>
        <v>0</v>
      </c>
      <c r="PI119" s="138">
        <f t="shared" ca="1" si="235"/>
        <v>0</v>
      </c>
      <c r="PJ119" s="138">
        <f t="shared" ca="1" si="235"/>
        <v>0</v>
      </c>
      <c r="PK119" s="138">
        <f t="shared" ca="1" si="235"/>
        <v>0</v>
      </c>
      <c r="PL119" s="138">
        <f t="shared" ca="1" si="235"/>
        <v>0</v>
      </c>
      <c r="PM119" s="138">
        <f t="shared" ca="1" si="235"/>
        <v>0</v>
      </c>
      <c r="PN119" s="138">
        <f t="shared" ca="1" si="235"/>
        <v>0</v>
      </c>
      <c r="PO119" s="138">
        <f t="shared" ca="1" si="235"/>
        <v>0</v>
      </c>
      <c r="PP119" s="138">
        <f t="shared" ca="1" si="235"/>
        <v>0</v>
      </c>
      <c r="PQ119" s="138">
        <f t="shared" ca="1" si="235"/>
        <v>0</v>
      </c>
      <c r="PR119" s="138">
        <f t="shared" ca="1" si="235"/>
        <v>0</v>
      </c>
      <c r="PS119" s="138">
        <f t="shared" ca="1" si="235"/>
        <v>0</v>
      </c>
      <c r="PT119" s="138">
        <f t="shared" ca="1" si="235"/>
        <v>0</v>
      </c>
      <c r="PU119" s="138">
        <f t="shared" ca="1" si="235"/>
        <v>0</v>
      </c>
      <c r="PV119" s="138">
        <f t="shared" ca="1" si="235"/>
        <v>0</v>
      </c>
      <c r="PW119" s="138">
        <f t="shared" ca="1" si="235"/>
        <v>0</v>
      </c>
      <c r="PX119" s="138">
        <f t="shared" ca="1" si="235"/>
        <v>0</v>
      </c>
      <c r="PY119" s="138">
        <f t="shared" ca="1" si="235"/>
        <v>0</v>
      </c>
      <c r="PZ119" s="138">
        <f t="shared" ca="1" si="235"/>
        <v>0</v>
      </c>
      <c r="QA119" s="138">
        <f t="shared" ca="1" si="235"/>
        <v>0</v>
      </c>
      <c r="QB119" s="138">
        <f t="shared" ca="1" si="235"/>
        <v>0</v>
      </c>
      <c r="QC119" s="138">
        <f t="shared" ca="1" si="235"/>
        <v>0</v>
      </c>
      <c r="QD119" s="138">
        <f t="shared" ca="1" si="235"/>
        <v>0</v>
      </c>
      <c r="QE119" s="138">
        <f t="shared" ca="1" si="235"/>
        <v>0</v>
      </c>
      <c r="QF119" s="138">
        <f t="shared" ca="1" si="235"/>
        <v>0</v>
      </c>
      <c r="QG119" s="138">
        <f t="shared" ca="1" si="235"/>
        <v>0</v>
      </c>
      <c r="QH119" s="138">
        <f t="shared" ca="1" si="235"/>
        <v>0</v>
      </c>
      <c r="QI119" s="138">
        <f t="shared" ca="1" si="235"/>
        <v>0</v>
      </c>
      <c r="QJ119" s="138">
        <f t="shared" ca="1" si="235"/>
        <v>0</v>
      </c>
      <c r="QK119" s="138">
        <f t="shared" ca="1" si="235"/>
        <v>0</v>
      </c>
      <c r="QL119" s="138">
        <f t="shared" ref="QL119:RR119" ca="1" si="236">QL117+QL118</f>
        <v>0</v>
      </c>
      <c r="QM119" s="138">
        <f t="shared" ca="1" si="236"/>
        <v>0</v>
      </c>
      <c r="QN119" s="138">
        <f t="shared" ca="1" si="236"/>
        <v>0</v>
      </c>
      <c r="QO119" s="138">
        <f t="shared" ca="1" si="236"/>
        <v>0</v>
      </c>
      <c r="QP119" s="138">
        <f t="shared" ca="1" si="236"/>
        <v>0</v>
      </c>
      <c r="QQ119" s="138">
        <f t="shared" ca="1" si="236"/>
        <v>0</v>
      </c>
      <c r="QR119" s="138">
        <f t="shared" ca="1" si="236"/>
        <v>0</v>
      </c>
      <c r="QS119" s="138">
        <f t="shared" ca="1" si="236"/>
        <v>0</v>
      </c>
      <c r="QT119" s="138">
        <f t="shared" ca="1" si="236"/>
        <v>0</v>
      </c>
      <c r="QU119" s="138">
        <f t="shared" ca="1" si="236"/>
        <v>0</v>
      </c>
      <c r="QV119" s="138">
        <f t="shared" ca="1" si="236"/>
        <v>0</v>
      </c>
      <c r="QW119" s="138">
        <f t="shared" ca="1" si="236"/>
        <v>0</v>
      </c>
      <c r="QX119" s="138">
        <f t="shared" ca="1" si="236"/>
        <v>0</v>
      </c>
      <c r="QY119" s="138">
        <f t="shared" ca="1" si="236"/>
        <v>0</v>
      </c>
      <c r="QZ119" s="138">
        <f t="shared" ca="1" si="236"/>
        <v>0</v>
      </c>
      <c r="RA119" s="138">
        <f t="shared" ca="1" si="236"/>
        <v>0</v>
      </c>
      <c r="RB119" s="138">
        <f t="shared" ca="1" si="236"/>
        <v>0</v>
      </c>
      <c r="RC119" s="138">
        <f t="shared" ca="1" si="236"/>
        <v>0</v>
      </c>
      <c r="RD119" s="138">
        <f t="shared" ca="1" si="236"/>
        <v>0</v>
      </c>
      <c r="RE119" s="138">
        <f t="shared" ca="1" si="236"/>
        <v>0</v>
      </c>
      <c r="RF119" s="138">
        <f t="shared" ca="1" si="236"/>
        <v>0</v>
      </c>
      <c r="RG119" s="138">
        <f t="shared" ca="1" si="236"/>
        <v>0</v>
      </c>
      <c r="RH119" s="138">
        <f t="shared" ca="1" si="236"/>
        <v>0</v>
      </c>
      <c r="RI119" s="138">
        <f t="shared" ca="1" si="236"/>
        <v>0</v>
      </c>
      <c r="RJ119" s="138">
        <f t="shared" ca="1" si="236"/>
        <v>0</v>
      </c>
      <c r="RK119" s="138">
        <f t="shared" ca="1" si="236"/>
        <v>0</v>
      </c>
      <c r="RL119" s="138">
        <f t="shared" ca="1" si="236"/>
        <v>0</v>
      </c>
      <c r="RM119" s="138">
        <f t="shared" ca="1" si="236"/>
        <v>0</v>
      </c>
      <c r="RN119" s="138">
        <f t="shared" ca="1" si="236"/>
        <v>0</v>
      </c>
      <c r="RO119" s="138">
        <f t="shared" ca="1" si="236"/>
        <v>0</v>
      </c>
      <c r="RP119" s="138">
        <f t="shared" ca="1" si="236"/>
        <v>0</v>
      </c>
      <c r="RQ119" s="138">
        <f t="shared" ca="1" si="236"/>
        <v>0</v>
      </c>
      <c r="RR119" s="138">
        <f t="shared" ca="1" si="236"/>
        <v>0</v>
      </c>
    </row>
    <row r="120" spans="1:486" s="9" customFormat="1">
      <c r="A120" s="132"/>
      <c r="B120" s="41"/>
      <c r="E120" s="138"/>
      <c r="F120" s="138"/>
      <c r="G120" s="138"/>
      <c r="H120" s="138"/>
      <c r="I120" s="138"/>
      <c r="J120" s="138"/>
      <c r="K120" s="138"/>
      <c r="L120" s="138"/>
      <c r="M120" s="138"/>
      <c r="N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138"/>
      <c r="BI120" s="138"/>
      <c r="BJ120" s="138"/>
      <c r="BK120" s="138"/>
      <c r="BL120" s="138"/>
      <c r="BM120" s="138"/>
      <c r="BN120" s="138"/>
      <c r="BO120" s="138"/>
      <c r="BP120" s="138"/>
      <c r="BQ120" s="138"/>
      <c r="BR120" s="138"/>
      <c r="BS120" s="138"/>
      <c r="BT120" s="138"/>
      <c r="BU120" s="138"/>
      <c r="BV120" s="138"/>
      <c r="BW120" s="138"/>
      <c r="BX120" s="138"/>
      <c r="BY120" s="138"/>
      <c r="BZ120" s="138"/>
      <c r="CA120" s="138"/>
      <c r="CB120" s="138"/>
      <c r="CC120" s="138"/>
      <c r="CD120" s="138"/>
      <c r="CE120" s="138"/>
      <c r="CF120" s="138"/>
      <c r="CG120" s="138"/>
      <c r="CH120" s="138"/>
      <c r="CI120" s="138"/>
      <c r="CJ120" s="138"/>
      <c r="CK120" s="138"/>
      <c r="CL120" s="138"/>
      <c r="CM120" s="138"/>
      <c r="CN120" s="138"/>
      <c r="CO120" s="138"/>
      <c r="CP120" s="138"/>
      <c r="CQ120" s="138"/>
      <c r="CR120" s="138"/>
      <c r="CS120" s="138"/>
      <c r="CT120" s="138"/>
      <c r="CU120" s="138"/>
      <c r="CV120" s="138"/>
      <c r="CW120" s="138"/>
      <c r="CX120" s="138"/>
      <c r="CY120" s="138"/>
      <c r="CZ120" s="138"/>
      <c r="DA120" s="138"/>
      <c r="DB120" s="138"/>
      <c r="DC120" s="138"/>
      <c r="DD120" s="138"/>
      <c r="DE120" s="138"/>
      <c r="DF120" s="138"/>
      <c r="DG120" s="138"/>
      <c r="DH120" s="138"/>
      <c r="DI120" s="138"/>
      <c r="DJ120" s="138"/>
      <c r="DK120" s="138"/>
      <c r="DL120" s="138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  <c r="EH120" s="138"/>
      <c r="EI120" s="138"/>
      <c r="EJ120" s="138"/>
      <c r="EK120" s="138"/>
      <c r="EL120" s="138"/>
      <c r="EM120" s="138"/>
      <c r="EN120" s="138"/>
      <c r="EO120" s="138"/>
      <c r="EP120" s="138"/>
      <c r="EQ120" s="138"/>
      <c r="ER120" s="138"/>
      <c r="ES120" s="138"/>
      <c r="ET120" s="138"/>
      <c r="EU120" s="138"/>
      <c r="EV120" s="138"/>
      <c r="EW120" s="138"/>
      <c r="EX120" s="138"/>
      <c r="EY120" s="138"/>
      <c r="EZ120" s="138"/>
      <c r="FA120" s="138"/>
      <c r="FB120" s="138"/>
      <c r="FC120" s="138"/>
      <c r="FD120" s="138"/>
      <c r="FE120" s="138"/>
      <c r="FF120" s="138"/>
      <c r="FG120" s="138"/>
      <c r="FH120" s="138"/>
      <c r="FI120" s="138"/>
      <c r="FJ120" s="138"/>
      <c r="FK120" s="138"/>
      <c r="FL120" s="138"/>
      <c r="FM120" s="138"/>
      <c r="FN120" s="138"/>
      <c r="FO120" s="138"/>
      <c r="FP120" s="138"/>
      <c r="FQ120" s="138"/>
      <c r="FR120" s="138"/>
      <c r="FS120" s="138"/>
      <c r="FT120" s="138"/>
      <c r="FU120" s="138"/>
      <c r="FV120" s="138"/>
      <c r="FW120" s="138"/>
      <c r="FX120" s="138"/>
      <c r="FY120" s="138"/>
      <c r="FZ120" s="138"/>
      <c r="GA120" s="138"/>
      <c r="GB120" s="138"/>
      <c r="GC120" s="138"/>
      <c r="GD120" s="138"/>
      <c r="GE120" s="138"/>
      <c r="GF120" s="138"/>
      <c r="GG120" s="138"/>
      <c r="GH120" s="138"/>
      <c r="GI120" s="138"/>
      <c r="GJ120" s="138"/>
      <c r="GK120" s="138"/>
      <c r="GL120" s="138"/>
      <c r="GM120" s="138"/>
      <c r="GN120" s="138"/>
      <c r="GO120" s="138"/>
      <c r="GP120" s="138"/>
      <c r="GQ120" s="138"/>
      <c r="GR120" s="138"/>
      <c r="GS120" s="138"/>
      <c r="GT120" s="138"/>
      <c r="GU120" s="138"/>
      <c r="GV120" s="138"/>
      <c r="GW120" s="138"/>
      <c r="GX120" s="138"/>
      <c r="GY120" s="138"/>
      <c r="GZ120" s="138"/>
      <c r="HA120" s="138"/>
      <c r="HB120" s="138"/>
      <c r="HC120" s="138"/>
      <c r="HD120" s="138"/>
      <c r="HE120" s="138"/>
      <c r="HF120" s="138"/>
      <c r="HG120" s="138"/>
      <c r="HH120" s="138"/>
      <c r="HI120" s="138"/>
      <c r="HJ120" s="138"/>
      <c r="HK120" s="138"/>
      <c r="HL120" s="138"/>
      <c r="HM120" s="138"/>
      <c r="HN120" s="138"/>
      <c r="HO120" s="138"/>
      <c r="HP120" s="138"/>
      <c r="HQ120" s="138"/>
      <c r="HR120" s="138"/>
      <c r="HS120" s="138"/>
      <c r="HT120" s="138"/>
      <c r="HU120" s="138"/>
      <c r="HV120" s="138"/>
      <c r="HW120" s="138"/>
      <c r="HX120" s="138"/>
      <c r="HY120" s="138"/>
      <c r="HZ120" s="138"/>
      <c r="IA120" s="138"/>
      <c r="IB120" s="138"/>
      <c r="IC120" s="138"/>
      <c r="ID120" s="138"/>
      <c r="IE120" s="138"/>
      <c r="IF120" s="138"/>
      <c r="IG120" s="138"/>
      <c r="IH120" s="138"/>
      <c r="II120" s="138"/>
      <c r="IJ120" s="138"/>
      <c r="IK120" s="138"/>
      <c r="IL120" s="138"/>
      <c r="IM120" s="138"/>
      <c r="IN120" s="138"/>
      <c r="IO120" s="138"/>
      <c r="IP120" s="138"/>
      <c r="IQ120" s="138"/>
      <c r="IR120" s="138"/>
      <c r="IS120" s="138"/>
      <c r="IT120" s="138"/>
      <c r="IU120" s="138"/>
      <c r="IV120" s="138"/>
      <c r="IW120" s="138"/>
      <c r="IX120" s="138"/>
      <c r="IY120" s="138"/>
      <c r="IZ120" s="138"/>
      <c r="JA120" s="138"/>
      <c r="JB120" s="138"/>
      <c r="JC120" s="138"/>
      <c r="JD120" s="138"/>
      <c r="JE120" s="138"/>
      <c r="JF120" s="138"/>
      <c r="JG120" s="138"/>
      <c r="JH120" s="138"/>
      <c r="JI120" s="138"/>
      <c r="JJ120" s="138"/>
      <c r="JK120" s="138"/>
      <c r="JL120" s="138"/>
      <c r="JM120" s="138"/>
      <c r="JN120" s="138"/>
      <c r="JO120" s="138"/>
      <c r="JP120" s="138"/>
      <c r="JQ120" s="138"/>
      <c r="JR120" s="138"/>
      <c r="JS120" s="138"/>
      <c r="JT120" s="138"/>
      <c r="JU120" s="138"/>
      <c r="JV120" s="138"/>
      <c r="JW120" s="138"/>
      <c r="JX120" s="138"/>
      <c r="JY120" s="138"/>
      <c r="JZ120" s="138"/>
      <c r="KA120" s="138"/>
      <c r="KB120" s="138"/>
      <c r="KC120" s="138"/>
      <c r="KD120" s="138"/>
      <c r="KE120" s="138"/>
      <c r="KF120" s="138"/>
      <c r="KG120" s="138"/>
      <c r="KH120" s="138"/>
      <c r="KI120" s="138"/>
      <c r="KJ120" s="138"/>
      <c r="KK120" s="138"/>
      <c r="KL120" s="138"/>
      <c r="KM120" s="138"/>
      <c r="KN120" s="138"/>
      <c r="KO120" s="138"/>
      <c r="KP120" s="138"/>
      <c r="KQ120" s="138"/>
      <c r="KR120" s="138"/>
      <c r="KS120" s="138"/>
      <c r="KT120" s="138"/>
      <c r="KU120" s="138"/>
      <c r="KV120" s="138"/>
      <c r="KW120" s="138"/>
      <c r="KX120" s="138"/>
      <c r="KY120" s="138"/>
      <c r="KZ120" s="138"/>
      <c r="LA120" s="138"/>
      <c r="LB120" s="138"/>
      <c r="LC120" s="138"/>
      <c r="LD120" s="138"/>
      <c r="LE120" s="138"/>
      <c r="LF120" s="138"/>
      <c r="LG120" s="138"/>
      <c r="LH120" s="138"/>
      <c r="LI120" s="138"/>
      <c r="LJ120" s="138"/>
      <c r="LK120" s="138"/>
      <c r="LL120" s="138"/>
      <c r="LM120" s="138"/>
      <c r="LN120" s="138"/>
      <c r="LO120" s="138"/>
      <c r="LP120" s="138"/>
      <c r="LQ120" s="138"/>
      <c r="LR120" s="138"/>
      <c r="LS120" s="138"/>
      <c r="LT120" s="138"/>
      <c r="LU120" s="138"/>
      <c r="LV120" s="138"/>
      <c r="LW120" s="138"/>
      <c r="LX120" s="138"/>
      <c r="LY120" s="138"/>
      <c r="LZ120" s="138"/>
      <c r="MA120" s="138"/>
      <c r="MB120" s="138"/>
      <c r="MC120" s="138"/>
      <c r="MD120" s="138"/>
      <c r="ME120" s="138"/>
      <c r="MF120" s="138"/>
      <c r="MG120" s="138"/>
      <c r="MH120" s="138"/>
      <c r="MI120" s="138"/>
      <c r="MJ120" s="138"/>
      <c r="MK120" s="138"/>
      <c r="ML120" s="138"/>
      <c r="MM120" s="138"/>
      <c r="MN120" s="138"/>
      <c r="MO120" s="138"/>
      <c r="MP120" s="138"/>
      <c r="MQ120" s="138"/>
      <c r="MR120" s="138"/>
      <c r="MS120" s="138"/>
      <c r="MT120" s="138"/>
      <c r="MU120" s="138"/>
      <c r="MV120" s="138"/>
      <c r="MW120" s="138"/>
      <c r="MX120" s="138"/>
      <c r="MY120" s="138"/>
      <c r="MZ120" s="138"/>
      <c r="NA120" s="138"/>
      <c r="NB120" s="138"/>
      <c r="NC120" s="138"/>
      <c r="ND120" s="138"/>
      <c r="NE120" s="138"/>
      <c r="NF120" s="138"/>
      <c r="NG120" s="138"/>
      <c r="NH120" s="138"/>
      <c r="NI120" s="138"/>
      <c r="NJ120" s="138"/>
      <c r="NK120" s="138"/>
      <c r="NL120" s="138"/>
      <c r="NM120" s="138"/>
      <c r="NN120" s="138"/>
      <c r="NO120" s="138"/>
      <c r="NP120" s="138"/>
      <c r="NQ120" s="138"/>
      <c r="NR120" s="138"/>
      <c r="NS120" s="138"/>
      <c r="NT120" s="138"/>
      <c r="NU120" s="138"/>
      <c r="NV120" s="138"/>
      <c r="NW120" s="138"/>
      <c r="NX120" s="138"/>
      <c r="NY120" s="138"/>
      <c r="NZ120" s="138"/>
      <c r="OA120" s="138"/>
      <c r="OB120" s="138"/>
      <c r="OC120" s="138"/>
      <c r="OD120" s="138"/>
      <c r="OE120" s="138"/>
      <c r="OF120" s="138"/>
      <c r="OG120" s="138"/>
      <c r="OH120" s="138"/>
      <c r="OI120" s="138"/>
      <c r="OJ120" s="138"/>
      <c r="OK120" s="138"/>
      <c r="OL120" s="138"/>
      <c r="OM120" s="138"/>
      <c r="ON120" s="138"/>
      <c r="OO120" s="138"/>
      <c r="OP120" s="138"/>
      <c r="OQ120" s="138"/>
      <c r="OR120" s="138"/>
      <c r="OS120" s="138"/>
      <c r="OT120" s="138"/>
      <c r="OU120" s="138"/>
      <c r="OV120" s="138"/>
      <c r="OW120" s="138"/>
      <c r="OX120" s="138"/>
      <c r="OY120" s="138"/>
      <c r="OZ120" s="138"/>
      <c r="PA120" s="138"/>
      <c r="PB120" s="138"/>
      <c r="PC120" s="138"/>
      <c r="PD120" s="138"/>
      <c r="PE120" s="138"/>
      <c r="PF120" s="138"/>
      <c r="PG120" s="138"/>
      <c r="PH120" s="138"/>
      <c r="PI120" s="138"/>
      <c r="PJ120" s="138"/>
      <c r="PK120" s="138"/>
      <c r="PL120" s="138"/>
      <c r="PM120" s="138"/>
      <c r="PN120" s="138"/>
      <c r="PO120" s="138"/>
      <c r="PP120" s="138"/>
      <c r="PQ120" s="138"/>
      <c r="PR120" s="138"/>
      <c r="PS120" s="138"/>
      <c r="PT120" s="138"/>
      <c r="PU120" s="138"/>
      <c r="PV120" s="138"/>
      <c r="PW120" s="138"/>
      <c r="PX120" s="138"/>
      <c r="PY120" s="138"/>
      <c r="PZ120" s="138"/>
      <c r="QA120" s="138"/>
      <c r="QB120" s="138"/>
      <c r="QC120" s="138"/>
      <c r="QD120" s="138"/>
      <c r="QE120" s="138"/>
      <c r="QF120" s="138"/>
      <c r="QG120" s="138"/>
      <c r="QH120" s="138"/>
      <c r="QI120" s="138"/>
      <c r="QJ120" s="138"/>
      <c r="QK120" s="138"/>
      <c r="QL120" s="138"/>
      <c r="QM120" s="138"/>
      <c r="QN120" s="138"/>
      <c r="QO120" s="138"/>
      <c r="QP120" s="138"/>
      <c r="QQ120" s="138"/>
      <c r="QR120" s="138"/>
      <c r="QS120" s="138"/>
      <c r="QT120" s="138"/>
      <c r="QU120" s="138"/>
      <c r="QV120" s="138"/>
      <c r="QW120" s="138"/>
      <c r="QX120" s="138"/>
      <c r="QY120" s="138"/>
      <c r="QZ120" s="138"/>
      <c r="RA120" s="138"/>
      <c r="RB120" s="138"/>
      <c r="RC120" s="138"/>
      <c r="RD120" s="138"/>
      <c r="RE120" s="138"/>
      <c r="RF120" s="138"/>
      <c r="RG120" s="138"/>
      <c r="RH120" s="138"/>
      <c r="RI120" s="138"/>
      <c r="RJ120" s="138"/>
      <c r="RK120" s="138"/>
      <c r="RL120" s="138"/>
      <c r="RM120" s="138"/>
      <c r="RN120" s="138"/>
      <c r="RO120" s="138"/>
      <c r="RP120" s="138"/>
      <c r="RQ120" s="138"/>
      <c r="RR120" s="138"/>
    </row>
    <row r="121" spans="1:486" s="9" customFormat="1">
      <c r="A121" s="144" t="s">
        <v>251</v>
      </c>
      <c r="E121" s="126">
        <v>0</v>
      </c>
      <c r="F121" s="126">
        <v>1</v>
      </c>
      <c r="G121" s="126">
        <v>2</v>
      </c>
      <c r="H121" s="126">
        <v>3</v>
      </c>
      <c r="I121" s="126">
        <v>4</v>
      </c>
      <c r="J121" s="126">
        <v>5</v>
      </c>
      <c r="K121" s="126">
        <v>6</v>
      </c>
      <c r="L121" s="126">
        <v>7</v>
      </c>
      <c r="M121" s="126">
        <v>8</v>
      </c>
      <c r="N121" s="126">
        <v>9</v>
      </c>
      <c r="O121" s="126">
        <v>10</v>
      </c>
      <c r="P121" s="126">
        <v>11</v>
      </c>
      <c r="Q121" s="126">
        <v>12</v>
      </c>
      <c r="R121" s="126">
        <v>13</v>
      </c>
      <c r="S121" s="126">
        <v>14</v>
      </c>
      <c r="T121" s="126">
        <v>15</v>
      </c>
      <c r="U121" s="126">
        <v>16</v>
      </c>
      <c r="V121" s="126">
        <v>17</v>
      </c>
      <c r="W121" s="126">
        <v>18</v>
      </c>
      <c r="X121" s="126">
        <v>19</v>
      </c>
      <c r="Y121" s="126">
        <v>20</v>
      </c>
      <c r="Z121" s="126">
        <v>21</v>
      </c>
      <c r="AA121" s="126">
        <v>22</v>
      </c>
      <c r="AB121" s="126">
        <v>23</v>
      </c>
      <c r="AC121" s="126">
        <v>24</v>
      </c>
      <c r="AD121" s="126">
        <v>25</v>
      </c>
      <c r="AE121" s="126">
        <v>26</v>
      </c>
      <c r="AF121" s="126">
        <v>27</v>
      </c>
      <c r="AG121" s="126">
        <v>28</v>
      </c>
      <c r="AH121" s="126">
        <v>29</v>
      </c>
      <c r="AI121" s="126">
        <v>30</v>
      </c>
      <c r="AJ121" s="126">
        <v>31</v>
      </c>
      <c r="AK121" s="126">
        <v>32</v>
      </c>
      <c r="AL121" s="126">
        <v>33</v>
      </c>
      <c r="AM121" s="126">
        <v>34</v>
      </c>
      <c r="AN121" s="126">
        <v>35</v>
      </c>
      <c r="AO121" s="126">
        <v>36</v>
      </c>
      <c r="AP121" s="126">
        <v>37</v>
      </c>
      <c r="AQ121" s="126">
        <v>38</v>
      </c>
      <c r="AR121" s="126">
        <v>39</v>
      </c>
      <c r="AS121" s="126">
        <v>40</v>
      </c>
      <c r="AT121" s="126">
        <v>41</v>
      </c>
      <c r="AU121" s="126">
        <v>42</v>
      </c>
      <c r="AV121" s="126">
        <v>43</v>
      </c>
      <c r="AW121" s="126">
        <v>44</v>
      </c>
      <c r="AX121" s="126">
        <v>45</v>
      </c>
      <c r="AY121" s="126">
        <v>46</v>
      </c>
      <c r="AZ121" s="126">
        <v>47</v>
      </c>
      <c r="BA121" s="126">
        <v>48</v>
      </c>
      <c r="BB121" s="126">
        <v>49</v>
      </c>
      <c r="BC121" s="126">
        <v>50</v>
      </c>
      <c r="BD121" s="126">
        <v>51</v>
      </c>
      <c r="BE121" s="126">
        <v>52</v>
      </c>
      <c r="BF121" s="126">
        <v>53</v>
      </c>
      <c r="BG121" s="126">
        <v>54</v>
      </c>
      <c r="BH121" s="126">
        <v>55</v>
      </c>
      <c r="BI121" s="126">
        <v>56</v>
      </c>
      <c r="BJ121" s="126">
        <v>57</v>
      </c>
      <c r="BK121" s="126">
        <v>58</v>
      </c>
      <c r="BL121" s="126">
        <v>59</v>
      </c>
      <c r="BM121" s="126">
        <v>60</v>
      </c>
      <c r="BN121" s="126">
        <v>61</v>
      </c>
      <c r="BO121" s="126">
        <v>62</v>
      </c>
      <c r="BP121" s="126">
        <v>63</v>
      </c>
      <c r="BQ121" s="126">
        <v>64</v>
      </c>
      <c r="BR121" s="126">
        <v>65</v>
      </c>
      <c r="BS121" s="126">
        <v>66</v>
      </c>
      <c r="BT121" s="126">
        <v>67</v>
      </c>
      <c r="BU121" s="126">
        <v>68</v>
      </c>
      <c r="BV121" s="126">
        <v>69</v>
      </c>
      <c r="BW121" s="126">
        <v>70</v>
      </c>
      <c r="BX121" s="126">
        <v>71</v>
      </c>
      <c r="BY121" s="126">
        <v>72</v>
      </c>
      <c r="BZ121" s="126">
        <v>73</v>
      </c>
      <c r="CA121" s="126">
        <v>74</v>
      </c>
      <c r="CB121" s="126">
        <v>75</v>
      </c>
      <c r="CC121" s="126">
        <v>76</v>
      </c>
      <c r="CD121" s="126">
        <v>77</v>
      </c>
      <c r="CE121" s="126">
        <v>78</v>
      </c>
      <c r="CF121" s="126">
        <v>79</v>
      </c>
      <c r="CG121" s="126">
        <v>80</v>
      </c>
      <c r="CH121" s="126">
        <v>81</v>
      </c>
      <c r="CI121" s="126">
        <v>82</v>
      </c>
      <c r="CJ121" s="126">
        <v>83</v>
      </c>
      <c r="CK121" s="126">
        <v>84</v>
      </c>
      <c r="CL121" s="126">
        <v>85</v>
      </c>
      <c r="CM121" s="126">
        <v>86</v>
      </c>
      <c r="CN121" s="126">
        <v>87</v>
      </c>
      <c r="CO121" s="126">
        <v>88</v>
      </c>
      <c r="CP121" s="126">
        <v>89</v>
      </c>
      <c r="CQ121" s="126">
        <v>90</v>
      </c>
      <c r="CR121" s="126">
        <v>91</v>
      </c>
      <c r="CS121" s="126">
        <v>92</v>
      </c>
      <c r="CT121" s="126">
        <v>93</v>
      </c>
      <c r="CU121" s="126">
        <v>94</v>
      </c>
      <c r="CV121" s="126">
        <v>95</v>
      </c>
      <c r="CW121" s="126">
        <v>96</v>
      </c>
      <c r="CX121" s="126">
        <v>97</v>
      </c>
      <c r="CY121" s="126">
        <v>98</v>
      </c>
      <c r="CZ121" s="126">
        <v>99</v>
      </c>
      <c r="DA121" s="126">
        <v>100</v>
      </c>
      <c r="DB121" s="126">
        <v>101</v>
      </c>
      <c r="DC121" s="126">
        <v>102</v>
      </c>
      <c r="DD121" s="126">
        <v>103</v>
      </c>
      <c r="DE121" s="126">
        <v>104</v>
      </c>
      <c r="DF121" s="126">
        <v>105</v>
      </c>
      <c r="DG121" s="126">
        <v>106</v>
      </c>
      <c r="DH121" s="126">
        <v>107</v>
      </c>
      <c r="DI121" s="126">
        <v>108</v>
      </c>
      <c r="DJ121" s="126">
        <v>109</v>
      </c>
      <c r="DK121" s="126">
        <v>110</v>
      </c>
      <c r="DL121" s="126">
        <v>111</v>
      </c>
      <c r="DM121" s="126">
        <v>112</v>
      </c>
      <c r="DN121" s="126">
        <v>113</v>
      </c>
      <c r="DO121" s="126">
        <v>114</v>
      </c>
      <c r="DP121" s="126">
        <v>115</v>
      </c>
      <c r="DQ121" s="126">
        <v>116</v>
      </c>
      <c r="DR121" s="126">
        <v>117</v>
      </c>
      <c r="DS121" s="126">
        <v>118</v>
      </c>
      <c r="DT121" s="126">
        <v>119</v>
      </c>
      <c r="DU121" s="126">
        <v>120</v>
      </c>
      <c r="DV121" s="126">
        <v>121</v>
      </c>
      <c r="DW121" s="126">
        <v>122</v>
      </c>
      <c r="DX121" s="126">
        <v>123</v>
      </c>
      <c r="DY121" s="126">
        <v>124</v>
      </c>
      <c r="DZ121" s="126">
        <v>125</v>
      </c>
      <c r="EA121" s="126">
        <v>126</v>
      </c>
      <c r="EB121" s="126">
        <v>127</v>
      </c>
      <c r="EC121" s="126">
        <v>128</v>
      </c>
      <c r="ED121" s="126">
        <v>129</v>
      </c>
      <c r="EE121" s="126">
        <v>130</v>
      </c>
      <c r="EF121" s="126">
        <v>131</v>
      </c>
      <c r="EG121" s="126">
        <v>132</v>
      </c>
      <c r="EH121" s="126">
        <v>133</v>
      </c>
      <c r="EI121" s="126">
        <v>134</v>
      </c>
      <c r="EJ121" s="126">
        <v>135</v>
      </c>
      <c r="EK121" s="126">
        <v>136</v>
      </c>
      <c r="EL121" s="126">
        <v>137</v>
      </c>
      <c r="EM121" s="126">
        <v>138</v>
      </c>
      <c r="EN121" s="126">
        <v>139</v>
      </c>
      <c r="EO121" s="126">
        <v>140</v>
      </c>
      <c r="EP121" s="126">
        <v>141</v>
      </c>
      <c r="EQ121" s="126">
        <v>142</v>
      </c>
      <c r="ER121" s="126">
        <v>143</v>
      </c>
      <c r="ES121" s="126">
        <v>144</v>
      </c>
      <c r="ET121" s="126">
        <v>145</v>
      </c>
      <c r="EU121" s="126">
        <v>146</v>
      </c>
      <c r="EV121" s="126">
        <v>147</v>
      </c>
      <c r="EW121" s="126">
        <v>148</v>
      </c>
      <c r="EX121" s="126">
        <v>149</v>
      </c>
      <c r="EY121" s="126">
        <v>150</v>
      </c>
      <c r="EZ121" s="126">
        <v>151</v>
      </c>
      <c r="FA121" s="126">
        <v>152</v>
      </c>
      <c r="FB121" s="126">
        <v>153</v>
      </c>
      <c r="FC121" s="126">
        <v>154</v>
      </c>
      <c r="FD121" s="126">
        <v>155</v>
      </c>
      <c r="FE121" s="126">
        <v>156</v>
      </c>
      <c r="FF121" s="126">
        <v>157</v>
      </c>
      <c r="FG121" s="126">
        <v>158</v>
      </c>
      <c r="FH121" s="126">
        <v>159</v>
      </c>
      <c r="FI121" s="126">
        <v>160</v>
      </c>
      <c r="FJ121" s="126">
        <v>161</v>
      </c>
      <c r="FK121" s="126">
        <v>162</v>
      </c>
      <c r="FL121" s="126">
        <v>163</v>
      </c>
      <c r="FM121" s="126">
        <v>164</v>
      </c>
      <c r="FN121" s="126">
        <v>165</v>
      </c>
      <c r="FO121" s="126">
        <v>166</v>
      </c>
      <c r="FP121" s="126">
        <v>167</v>
      </c>
      <c r="FQ121" s="126">
        <v>168</v>
      </c>
      <c r="FR121" s="126">
        <v>169</v>
      </c>
      <c r="FS121" s="126">
        <v>170</v>
      </c>
      <c r="FT121" s="126">
        <v>171</v>
      </c>
      <c r="FU121" s="126">
        <v>172</v>
      </c>
      <c r="FV121" s="126">
        <v>173</v>
      </c>
      <c r="FW121" s="126">
        <v>174</v>
      </c>
      <c r="FX121" s="126">
        <v>175</v>
      </c>
      <c r="FY121" s="126">
        <v>176</v>
      </c>
      <c r="FZ121" s="126">
        <v>177</v>
      </c>
      <c r="GA121" s="126">
        <v>178</v>
      </c>
      <c r="GB121" s="126">
        <v>179</v>
      </c>
      <c r="GC121" s="126">
        <v>180</v>
      </c>
      <c r="GD121" s="126">
        <v>181</v>
      </c>
      <c r="GE121" s="126">
        <v>182</v>
      </c>
      <c r="GF121" s="126">
        <v>183</v>
      </c>
      <c r="GG121" s="126">
        <v>184</v>
      </c>
      <c r="GH121" s="126">
        <v>185</v>
      </c>
      <c r="GI121" s="126">
        <v>186</v>
      </c>
      <c r="GJ121" s="126">
        <v>187</v>
      </c>
      <c r="GK121" s="126">
        <v>188</v>
      </c>
      <c r="GL121" s="126">
        <v>189</v>
      </c>
      <c r="GM121" s="126">
        <v>190</v>
      </c>
      <c r="GN121" s="126">
        <v>191</v>
      </c>
      <c r="GO121" s="126">
        <v>192</v>
      </c>
      <c r="GP121" s="126">
        <v>193</v>
      </c>
      <c r="GQ121" s="126">
        <v>194</v>
      </c>
      <c r="GR121" s="126">
        <v>195</v>
      </c>
      <c r="GS121" s="126">
        <v>196</v>
      </c>
      <c r="GT121" s="126">
        <v>197</v>
      </c>
      <c r="GU121" s="126">
        <v>198</v>
      </c>
      <c r="GV121" s="126">
        <v>199</v>
      </c>
      <c r="GW121" s="126">
        <v>200</v>
      </c>
      <c r="GX121" s="126">
        <v>201</v>
      </c>
      <c r="GY121" s="126">
        <v>202</v>
      </c>
      <c r="GZ121" s="126">
        <v>203</v>
      </c>
      <c r="HA121" s="126">
        <v>204</v>
      </c>
      <c r="HB121" s="126">
        <v>205</v>
      </c>
      <c r="HC121" s="126">
        <v>206</v>
      </c>
      <c r="HD121" s="126">
        <v>207</v>
      </c>
      <c r="HE121" s="126">
        <v>208</v>
      </c>
      <c r="HF121" s="126">
        <v>209</v>
      </c>
      <c r="HG121" s="126">
        <v>210</v>
      </c>
      <c r="HH121" s="126">
        <v>211</v>
      </c>
      <c r="HI121" s="126">
        <v>212</v>
      </c>
      <c r="HJ121" s="126">
        <v>213</v>
      </c>
      <c r="HK121" s="126">
        <v>214</v>
      </c>
      <c r="HL121" s="126">
        <v>215</v>
      </c>
      <c r="HM121" s="126">
        <v>216</v>
      </c>
      <c r="HN121" s="126">
        <v>217</v>
      </c>
      <c r="HO121" s="126">
        <v>218</v>
      </c>
      <c r="HP121" s="126">
        <v>219</v>
      </c>
      <c r="HQ121" s="126">
        <v>220</v>
      </c>
      <c r="HR121" s="126">
        <v>221</v>
      </c>
      <c r="HS121" s="126">
        <v>222</v>
      </c>
      <c r="HT121" s="126">
        <v>223</v>
      </c>
      <c r="HU121" s="126">
        <v>224</v>
      </c>
      <c r="HV121" s="126">
        <v>225</v>
      </c>
      <c r="HW121" s="126">
        <v>226</v>
      </c>
      <c r="HX121" s="126">
        <v>227</v>
      </c>
      <c r="HY121" s="126">
        <v>228</v>
      </c>
      <c r="HZ121" s="126">
        <v>229</v>
      </c>
      <c r="IA121" s="126">
        <v>230</v>
      </c>
      <c r="IB121" s="126">
        <v>231</v>
      </c>
      <c r="IC121" s="126">
        <v>232</v>
      </c>
      <c r="ID121" s="126">
        <v>233</v>
      </c>
      <c r="IE121" s="126">
        <v>234</v>
      </c>
      <c r="IF121" s="126">
        <v>235</v>
      </c>
      <c r="IG121" s="126">
        <v>236</v>
      </c>
      <c r="IH121" s="126">
        <v>237</v>
      </c>
      <c r="II121" s="126">
        <v>238</v>
      </c>
      <c r="IJ121" s="126">
        <v>239</v>
      </c>
      <c r="IK121" s="126">
        <v>240</v>
      </c>
      <c r="IL121" s="126">
        <v>241</v>
      </c>
      <c r="IM121" s="126">
        <v>242</v>
      </c>
      <c r="IN121" s="126">
        <v>243</v>
      </c>
      <c r="IO121" s="126">
        <v>244</v>
      </c>
      <c r="IP121" s="126">
        <v>245</v>
      </c>
      <c r="IQ121" s="126">
        <v>246</v>
      </c>
      <c r="IR121" s="126">
        <v>247</v>
      </c>
      <c r="IS121" s="126">
        <v>248</v>
      </c>
      <c r="IT121" s="126">
        <v>249</v>
      </c>
      <c r="IU121" s="126">
        <v>250</v>
      </c>
      <c r="IV121" s="126">
        <v>251</v>
      </c>
      <c r="IW121" s="126">
        <v>252</v>
      </c>
      <c r="IX121" s="126">
        <v>253</v>
      </c>
      <c r="IY121" s="126">
        <v>254</v>
      </c>
      <c r="IZ121" s="126">
        <v>255</v>
      </c>
      <c r="JA121" s="126">
        <v>256</v>
      </c>
      <c r="JB121" s="126">
        <v>257</v>
      </c>
      <c r="JC121" s="126">
        <v>258</v>
      </c>
      <c r="JD121" s="126">
        <v>259</v>
      </c>
      <c r="JE121" s="126">
        <v>260</v>
      </c>
      <c r="JF121" s="126">
        <v>261</v>
      </c>
      <c r="JG121" s="126">
        <v>262</v>
      </c>
      <c r="JH121" s="126">
        <v>263</v>
      </c>
      <c r="JI121" s="126">
        <v>264</v>
      </c>
      <c r="JJ121" s="126">
        <v>265</v>
      </c>
      <c r="JK121" s="126">
        <v>266</v>
      </c>
      <c r="JL121" s="126">
        <v>267</v>
      </c>
      <c r="JM121" s="126">
        <v>268</v>
      </c>
      <c r="JN121" s="126">
        <v>269</v>
      </c>
      <c r="JO121" s="126">
        <v>270</v>
      </c>
      <c r="JP121" s="126">
        <v>271</v>
      </c>
      <c r="JQ121" s="126">
        <v>272</v>
      </c>
      <c r="JR121" s="126">
        <v>273</v>
      </c>
      <c r="JS121" s="126">
        <v>274</v>
      </c>
      <c r="JT121" s="126">
        <v>275</v>
      </c>
      <c r="JU121" s="126">
        <v>276</v>
      </c>
      <c r="JV121" s="126">
        <v>277</v>
      </c>
      <c r="JW121" s="126">
        <v>278</v>
      </c>
      <c r="JX121" s="126">
        <v>279</v>
      </c>
      <c r="JY121" s="126">
        <v>280</v>
      </c>
      <c r="JZ121" s="126">
        <v>281</v>
      </c>
      <c r="KA121" s="126">
        <v>282</v>
      </c>
      <c r="KB121" s="126">
        <v>283</v>
      </c>
      <c r="KC121" s="126">
        <v>284</v>
      </c>
      <c r="KD121" s="126">
        <v>285</v>
      </c>
      <c r="KE121" s="126">
        <v>286</v>
      </c>
      <c r="KF121" s="126">
        <v>287</v>
      </c>
      <c r="KG121" s="126">
        <v>288</v>
      </c>
      <c r="KH121" s="126">
        <v>289</v>
      </c>
      <c r="KI121" s="126">
        <v>290</v>
      </c>
      <c r="KJ121" s="126">
        <v>291</v>
      </c>
      <c r="KK121" s="126">
        <v>292</v>
      </c>
      <c r="KL121" s="126">
        <v>293</v>
      </c>
      <c r="KM121" s="126">
        <v>294</v>
      </c>
      <c r="KN121" s="126">
        <v>295</v>
      </c>
      <c r="KO121" s="126">
        <v>296</v>
      </c>
      <c r="KP121" s="126">
        <v>297</v>
      </c>
      <c r="KQ121" s="126">
        <v>298</v>
      </c>
      <c r="KR121" s="126">
        <v>299</v>
      </c>
      <c r="KS121" s="126">
        <v>300</v>
      </c>
      <c r="KT121" s="126">
        <v>301</v>
      </c>
      <c r="KU121" s="126">
        <v>302</v>
      </c>
      <c r="KV121" s="126">
        <v>303</v>
      </c>
      <c r="KW121" s="126">
        <v>304</v>
      </c>
      <c r="KX121" s="126">
        <v>305</v>
      </c>
      <c r="KY121" s="126">
        <v>306</v>
      </c>
      <c r="KZ121" s="126">
        <v>307</v>
      </c>
      <c r="LA121" s="126">
        <v>308</v>
      </c>
      <c r="LB121" s="126">
        <v>309</v>
      </c>
      <c r="LC121" s="126">
        <v>310</v>
      </c>
      <c r="LD121" s="126">
        <v>311</v>
      </c>
      <c r="LE121" s="126">
        <v>312</v>
      </c>
      <c r="LF121" s="126">
        <v>313</v>
      </c>
      <c r="LG121" s="126">
        <v>314</v>
      </c>
      <c r="LH121" s="126">
        <v>315</v>
      </c>
      <c r="LI121" s="126">
        <v>316</v>
      </c>
      <c r="LJ121" s="126">
        <v>317</v>
      </c>
      <c r="LK121" s="126">
        <v>318</v>
      </c>
      <c r="LL121" s="126">
        <v>319</v>
      </c>
      <c r="LM121" s="126">
        <v>320</v>
      </c>
      <c r="LN121" s="126">
        <v>321</v>
      </c>
      <c r="LO121" s="126">
        <v>322</v>
      </c>
      <c r="LP121" s="126">
        <v>323</v>
      </c>
      <c r="LQ121" s="126">
        <v>324</v>
      </c>
      <c r="LR121" s="126">
        <v>325</v>
      </c>
      <c r="LS121" s="126">
        <v>326</v>
      </c>
      <c r="LT121" s="126">
        <v>327</v>
      </c>
      <c r="LU121" s="126">
        <v>328</v>
      </c>
      <c r="LV121" s="126">
        <v>329</v>
      </c>
      <c r="LW121" s="126">
        <v>330</v>
      </c>
      <c r="LX121" s="126">
        <v>331</v>
      </c>
      <c r="LY121" s="126">
        <v>332</v>
      </c>
      <c r="LZ121" s="126">
        <v>333</v>
      </c>
      <c r="MA121" s="126">
        <v>334</v>
      </c>
      <c r="MB121" s="126">
        <v>335</v>
      </c>
      <c r="MC121" s="126">
        <v>336</v>
      </c>
      <c r="MD121" s="126">
        <v>337</v>
      </c>
      <c r="ME121" s="126">
        <v>338</v>
      </c>
      <c r="MF121" s="126">
        <v>339</v>
      </c>
      <c r="MG121" s="126">
        <v>340</v>
      </c>
      <c r="MH121" s="126">
        <v>341</v>
      </c>
      <c r="MI121" s="126">
        <v>342</v>
      </c>
      <c r="MJ121" s="126">
        <v>343</v>
      </c>
      <c r="MK121" s="126">
        <v>344</v>
      </c>
      <c r="ML121" s="126">
        <v>345</v>
      </c>
      <c r="MM121" s="126">
        <v>346</v>
      </c>
      <c r="MN121" s="126">
        <v>347</v>
      </c>
      <c r="MO121" s="126">
        <v>348</v>
      </c>
      <c r="MP121" s="126">
        <v>349</v>
      </c>
      <c r="MQ121" s="126">
        <v>350</v>
      </c>
      <c r="MR121" s="126">
        <v>351</v>
      </c>
      <c r="MS121" s="126">
        <v>352</v>
      </c>
      <c r="MT121" s="126">
        <v>353</v>
      </c>
      <c r="MU121" s="126">
        <v>354</v>
      </c>
      <c r="MV121" s="126">
        <v>355</v>
      </c>
      <c r="MW121" s="126">
        <v>356</v>
      </c>
      <c r="MX121" s="126">
        <v>357</v>
      </c>
      <c r="MY121" s="126">
        <v>358</v>
      </c>
      <c r="MZ121" s="126">
        <v>359</v>
      </c>
      <c r="NA121" s="126">
        <v>360</v>
      </c>
      <c r="NB121" s="126">
        <v>361</v>
      </c>
      <c r="NC121" s="126">
        <v>362</v>
      </c>
      <c r="ND121" s="126">
        <v>363</v>
      </c>
      <c r="NE121" s="126">
        <v>364</v>
      </c>
      <c r="NF121" s="126">
        <v>365</v>
      </c>
      <c r="NG121" s="126">
        <v>366</v>
      </c>
      <c r="NH121" s="126">
        <v>367</v>
      </c>
      <c r="NI121" s="126">
        <v>368</v>
      </c>
      <c r="NJ121" s="126">
        <v>369</v>
      </c>
      <c r="NK121" s="126">
        <v>370</v>
      </c>
      <c r="NL121" s="126">
        <v>371</v>
      </c>
      <c r="NM121" s="126">
        <v>372</v>
      </c>
      <c r="NN121" s="126">
        <v>373</v>
      </c>
      <c r="NO121" s="126">
        <v>374</v>
      </c>
      <c r="NP121" s="126">
        <v>375</v>
      </c>
      <c r="NQ121" s="126">
        <v>376</v>
      </c>
      <c r="NR121" s="126">
        <v>377</v>
      </c>
      <c r="NS121" s="126">
        <v>378</v>
      </c>
      <c r="NT121" s="126">
        <v>379</v>
      </c>
      <c r="NU121" s="126">
        <v>380</v>
      </c>
      <c r="NV121" s="126">
        <v>381</v>
      </c>
      <c r="NW121" s="126">
        <v>382</v>
      </c>
      <c r="NX121" s="126">
        <v>383</v>
      </c>
      <c r="NY121" s="126">
        <v>384</v>
      </c>
      <c r="NZ121" s="126">
        <v>385</v>
      </c>
      <c r="OA121" s="126">
        <v>386</v>
      </c>
      <c r="OB121" s="126">
        <v>387</v>
      </c>
      <c r="OC121" s="126">
        <v>388</v>
      </c>
      <c r="OD121" s="126">
        <v>389</v>
      </c>
      <c r="OE121" s="126">
        <v>390</v>
      </c>
      <c r="OF121" s="126">
        <v>391</v>
      </c>
      <c r="OG121" s="126">
        <v>392</v>
      </c>
      <c r="OH121" s="126">
        <v>393</v>
      </c>
      <c r="OI121" s="126">
        <v>394</v>
      </c>
      <c r="OJ121" s="126">
        <v>395</v>
      </c>
      <c r="OK121" s="126">
        <v>396</v>
      </c>
      <c r="OL121" s="126">
        <v>397</v>
      </c>
      <c r="OM121" s="126">
        <v>398</v>
      </c>
      <c r="ON121" s="126">
        <v>399</v>
      </c>
      <c r="OO121" s="126">
        <v>400</v>
      </c>
      <c r="OP121" s="126">
        <v>401</v>
      </c>
      <c r="OQ121" s="126">
        <v>402</v>
      </c>
      <c r="OR121" s="126">
        <v>403</v>
      </c>
      <c r="OS121" s="126">
        <v>404</v>
      </c>
      <c r="OT121" s="126">
        <v>405</v>
      </c>
      <c r="OU121" s="126">
        <v>406</v>
      </c>
      <c r="OV121" s="126">
        <v>407</v>
      </c>
      <c r="OW121" s="126">
        <v>408</v>
      </c>
      <c r="OX121" s="126">
        <v>409</v>
      </c>
      <c r="OY121" s="126">
        <v>410</v>
      </c>
      <c r="OZ121" s="126">
        <v>411</v>
      </c>
      <c r="PA121" s="126">
        <v>412</v>
      </c>
      <c r="PB121" s="126">
        <v>413</v>
      </c>
      <c r="PC121" s="126">
        <v>414</v>
      </c>
      <c r="PD121" s="126">
        <v>415</v>
      </c>
      <c r="PE121" s="126">
        <v>416</v>
      </c>
      <c r="PF121" s="126">
        <v>417</v>
      </c>
      <c r="PG121" s="126">
        <v>418</v>
      </c>
      <c r="PH121" s="126">
        <v>419</v>
      </c>
      <c r="PI121" s="126">
        <v>420</v>
      </c>
      <c r="PJ121" s="126">
        <v>421</v>
      </c>
      <c r="PK121" s="126">
        <v>422</v>
      </c>
      <c r="PL121" s="126">
        <v>423</v>
      </c>
      <c r="PM121" s="126">
        <v>424</v>
      </c>
      <c r="PN121" s="126">
        <v>425</v>
      </c>
      <c r="PO121" s="126">
        <v>426</v>
      </c>
      <c r="PP121" s="126">
        <v>427</v>
      </c>
      <c r="PQ121" s="126">
        <v>428</v>
      </c>
      <c r="PR121" s="126">
        <v>429</v>
      </c>
      <c r="PS121" s="126">
        <v>430</v>
      </c>
      <c r="PT121" s="126">
        <v>431</v>
      </c>
      <c r="PU121" s="126">
        <v>432</v>
      </c>
      <c r="PV121" s="126">
        <v>433</v>
      </c>
      <c r="PW121" s="126">
        <v>434</v>
      </c>
      <c r="PX121" s="126">
        <v>435</v>
      </c>
      <c r="PY121" s="126">
        <v>436</v>
      </c>
      <c r="PZ121" s="126">
        <v>437</v>
      </c>
      <c r="QA121" s="126">
        <v>438</v>
      </c>
      <c r="QB121" s="126">
        <v>439</v>
      </c>
      <c r="QC121" s="126">
        <v>440</v>
      </c>
      <c r="QD121" s="126">
        <v>441</v>
      </c>
      <c r="QE121" s="126">
        <v>442</v>
      </c>
      <c r="QF121" s="126">
        <v>443</v>
      </c>
      <c r="QG121" s="126">
        <v>444</v>
      </c>
      <c r="QH121" s="126">
        <v>445</v>
      </c>
      <c r="QI121" s="126">
        <v>446</v>
      </c>
      <c r="QJ121" s="126">
        <v>447</v>
      </c>
      <c r="QK121" s="126">
        <v>448</v>
      </c>
      <c r="QL121" s="126">
        <v>449</v>
      </c>
      <c r="QM121" s="126">
        <v>450</v>
      </c>
      <c r="QN121" s="126">
        <v>451</v>
      </c>
      <c r="QO121" s="126">
        <v>452</v>
      </c>
      <c r="QP121" s="126">
        <v>453</v>
      </c>
      <c r="QQ121" s="126">
        <v>454</v>
      </c>
      <c r="QR121" s="126">
        <v>455</v>
      </c>
      <c r="QS121" s="126">
        <v>456</v>
      </c>
      <c r="QT121" s="126">
        <v>457</v>
      </c>
      <c r="QU121" s="126">
        <v>458</v>
      </c>
      <c r="QV121" s="126">
        <v>459</v>
      </c>
      <c r="QW121" s="126">
        <v>460</v>
      </c>
      <c r="QX121" s="126">
        <v>461</v>
      </c>
      <c r="QY121" s="126">
        <v>462</v>
      </c>
      <c r="QZ121" s="126">
        <v>463</v>
      </c>
      <c r="RA121" s="126">
        <v>464</v>
      </c>
      <c r="RB121" s="126">
        <v>465</v>
      </c>
      <c r="RC121" s="126">
        <v>466</v>
      </c>
      <c r="RD121" s="126">
        <v>467</v>
      </c>
      <c r="RE121" s="126">
        <v>468</v>
      </c>
      <c r="RF121" s="126">
        <v>469</v>
      </c>
      <c r="RG121" s="126">
        <v>470</v>
      </c>
      <c r="RH121" s="126">
        <v>471</v>
      </c>
      <c r="RI121" s="126">
        <v>472</v>
      </c>
      <c r="RJ121" s="126">
        <v>473</v>
      </c>
      <c r="RK121" s="126">
        <v>474</v>
      </c>
      <c r="RL121" s="126">
        <v>475</v>
      </c>
      <c r="RM121" s="126">
        <v>476</v>
      </c>
      <c r="RN121" s="126">
        <v>477</v>
      </c>
      <c r="RO121" s="126">
        <v>478</v>
      </c>
      <c r="RP121" s="126">
        <v>479</v>
      </c>
      <c r="RQ121" s="126">
        <v>480</v>
      </c>
      <c r="RR121" s="126">
        <v>481</v>
      </c>
    </row>
    <row r="122" spans="1:486" s="9" customFormat="1">
      <c r="A122" s="137" t="s">
        <v>250</v>
      </c>
      <c r="E122" s="32">
        <f>1/(1+$C$3)^E121</f>
        <v>1</v>
      </c>
      <c r="F122" s="32">
        <f t="shared" ref="F122:H122" si="237">1/(1+$C$3)^F121</f>
        <v>0.99360710198829405</v>
      </c>
      <c r="G122" s="32">
        <f t="shared" si="237"/>
        <v>0.98725507312157612</v>
      </c>
      <c r="H122" s="32">
        <f t="shared" si="237"/>
        <v>0.98094365212757062</v>
      </c>
      <c r="I122" s="32">
        <f t="shared" ref="I122" si="238">1/(1+$C$3)^I121</f>
        <v>0.97467257940428875</v>
      </c>
      <c r="J122" s="32">
        <f t="shared" ref="J122" si="239">1/(1+$C$3)^J121</f>
        <v>0.96844159700935073</v>
      </c>
      <c r="K122" s="32">
        <f t="shared" ref="K122" si="240">1/(1+$C$3)^K121</f>
        <v>0.96225044864937637</v>
      </c>
      <c r="L122" s="32">
        <f t="shared" ref="L122" si="241">1/(1+$C$3)^L121</f>
        <v>0.95609887966944251</v>
      </c>
      <c r="M122" s="32">
        <f t="shared" ref="M122" si="242">1/(1+$C$3)^M121</f>
        <v>0.94998663704260955</v>
      </c>
      <c r="N122" s="32">
        <f t="shared" ref="N122" si="243">1/(1+$C$3)^N121</f>
        <v>0.94391346935951248</v>
      </c>
      <c r="O122" s="32">
        <f t="shared" ref="O122" si="244">1/(1+$C$3)^O121</f>
        <v>0.93787912681802166</v>
      </c>
      <c r="P122" s="32">
        <f t="shared" ref="P122" si="245">1/(1+$C$3)^P121</f>
        <v>0.93188336121296622</v>
      </c>
      <c r="Q122" s="32">
        <f t="shared" ref="Q122" si="246">1/(1+$C$3)^Q121</f>
        <v>0.92592592592592604</v>
      </c>
      <c r="R122" s="32">
        <f t="shared" ref="R122" si="247">1/(1+$C$3)^R121</f>
        <v>0.92000657591508705</v>
      </c>
      <c r="S122" s="32">
        <f t="shared" ref="S122" si="248">1/(1+$C$3)^S121</f>
        <v>0.91412506770516322</v>
      </c>
      <c r="T122" s="32">
        <f t="shared" ref="T122" si="249">1/(1+$C$3)^T121</f>
        <v>0.9082811593773803</v>
      </c>
      <c r="U122" s="32">
        <f t="shared" ref="U122" si="250">1/(1+$C$3)^U121</f>
        <v>0.90247461055952671</v>
      </c>
      <c r="V122" s="32">
        <f t="shared" ref="V122" si="251">1/(1+$C$3)^V121</f>
        <v>0.89670518241606567</v>
      </c>
      <c r="W122" s="32">
        <f t="shared" ref="W122" si="252">1/(1+$C$3)^W121</f>
        <v>0.89097263763831147</v>
      </c>
      <c r="X122" s="32">
        <f t="shared" ref="X122" si="253">1/(1+$C$3)^X121</f>
        <v>0.88527674043466908</v>
      </c>
      <c r="Y122" s="32">
        <f t="shared" ref="Y122" si="254">1/(1+$C$3)^Y121</f>
        <v>0.87961725652093492</v>
      </c>
      <c r="Z122" s="32">
        <f t="shared" ref="Z122" si="255">1/(1+$C$3)^Z121</f>
        <v>0.87399395311065986</v>
      </c>
      <c r="AA122" s="32">
        <f t="shared" ref="AA122" si="256">1/(1+$C$3)^AA121</f>
        <v>0.86840659890557592</v>
      </c>
      <c r="AB122" s="32">
        <f t="shared" ref="AB122" si="257">1/(1+$C$3)^AB121</f>
        <v>0.86285496408607987</v>
      </c>
      <c r="AC122" s="32">
        <f t="shared" ref="AC122" si="258">1/(1+$C$3)^AC121</f>
        <v>0.85733882030178354</v>
      </c>
      <c r="AD122" s="32">
        <f t="shared" ref="AD122" si="259">1/(1+$C$3)^AD121</f>
        <v>0.85185794066211773</v>
      </c>
      <c r="AE122" s="32">
        <f t="shared" ref="AE122" si="260">1/(1+$C$3)^AE121</f>
        <v>0.84641209972700304</v>
      </c>
      <c r="AF122" s="32">
        <f t="shared" ref="AF122" si="261">1/(1+$C$3)^AF121</f>
        <v>0.84100107349757447</v>
      </c>
      <c r="AG122" s="32">
        <f t="shared" ref="AG122" si="262">1/(1+$C$3)^AG121</f>
        <v>0.83562463940696941</v>
      </c>
      <c r="AH122" s="32">
        <f t="shared" ref="AH122" si="263">1/(1+$C$3)^AH121</f>
        <v>0.83028257631117186</v>
      </c>
      <c r="AI122" s="32">
        <f t="shared" ref="AI122" si="264">1/(1+$C$3)^AI121</f>
        <v>0.82497466447991807</v>
      </c>
      <c r="AJ122" s="32">
        <f t="shared" ref="AJ122" si="265">1/(1+$C$3)^AJ121</f>
        <v>0.81970068558765674</v>
      </c>
      <c r="AK122" s="32">
        <f t="shared" ref="AK122" si="266">1/(1+$C$3)^AK121</f>
        <v>0.81446042270456942</v>
      </c>
      <c r="AL122" s="32">
        <f t="shared" ref="AL122" si="267">1/(1+$C$3)^AL121</f>
        <v>0.80925366028764834</v>
      </c>
      <c r="AM122" s="32">
        <f t="shared" ref="AM122" si="268">1/(1+$C$3)^AM121</f>
        <v>0.80408018417182958</v>
      </c>
      <c r="AN122" s="32">
        <f t="shared" ref="AN122" si="269">1/(1+$C$3)^AN121</f>
        <v>0.79893978156118528</v>
      </c>
      <c r="AO122" s="32">
        <f t="shared" ref="AO122" si="270">1/(1+$C$3)^AO121</f>
        <v>0.79383224102017003</v>
      </c>
      <c r="AP122" s="32">
        <f t="shared" ref="AP122" si="271">1/(1+$C$3)^AP121</f>
        <v>0.78875735246492407</v>
      </c>
      <c r="AQ122" s="32">
        <f t="shared" ref="AQ122" si="272">1/(1+$C$3)^AQ121</f>
        <v>0.78371490715463277</v>
      </c>
      <c r="AR122" s="32">
        <f t="shared" ref="AR122" si="273">1/(1+$C$3)^AR121</f>
        <v>0.77870469768293937</v>
      </c>
      <c r="AS122" s="32">
        <f t="shared" ref="AS122" si="274">1/(1+$C$3)^AS121</f>
        <v>0.77372651796941616</v>
      </c>
      <c r="AT122" s="32">
        <f t="shared" ref="AT122" si="275">1/(1+$C$3)^AT121</f>
        <v>0.76878016325108522</v>
      </c>
      <c r="AU122" s="32">
        <f t="shared" ref="AU122" si="276">1/(1+$C$3)^AU121</f>
        <v>0.76386543007399843</v>
      </c>
      <c r="AV122" s="32">
        <f t="shared" ref="AV122" si="277">1/(1+$C$3)^AV121</f>
        <v>0.75898211628486734</v>
      </c>
      <c r="AW122" s="32">
        <f t="shared" ref="AW122" si="278">1/(1+$C$3)^AW121</f>
        <v>0.75413002102274962</v>
      </c>
      <c r="AX122" s="32">
        <f t="shared" ref="AX122" si="279">1/(1+$C$3)^AX121</f>
        <v>0.74930894471078535</v>
      </c>
      <c r="AY122" s="32">
        <f t="shared" ref="AY122" si="280">1/(1+$C$3)^AY121</f>
        <v>0.74451868904799035</v>
      </c>
      <c r="AZ122" s="32">
        <f t="shared" ref="AZ122" si="281">1/(1+$C$3)^AZ121</f>
        <v>0.73975905700109756</v>
      </c>
      <c r="BA122" s="32">
        <f t="shared" ref="BA122" si="282">1/(1+$C$3)^BA121</f>
        <v>0.73502985279645383</v>
      </c>
      <c r="BB122" s="32">
        <f t="shared" ref="BB122" si="283">1/(1+$C$3)^BB121</f>
        <v>0.73033088191196693</v>
      </c>
      <c r="BC122" s="32">
        <f t="shared" ref="BC122" si="284">1/(1+$C$3)^BC121</f>
        <v>0.72566195106910436</v>
      </c>
      <c r="BD122" s="32">
        <f t="shared" ref="BD122" si="285">1/(1+$C$3)^BD121</f>
        <v>0.7210228682249441</v>
      </c>
      <c r="BE122" s="32">
        <f t="shared" ref="BE122" si="286">1/(1+$C$3)^BE121</f>
        <v>0.71641344256427442</v>
      </c>
      <c r="BF122" s="32">
        <f t="shared" ref="BF122" si="287">1/(1+$C$3)^BF121</f>
        <v>0.71183348449174577</v>
      </c>
      <c r="BG122" s="32">
        <f t="shared" ref="BG122" si="288">1/(1+$C$3)^BG121</f>
        <v>0.70728280562407286</v>
      </c>
      <c r="BH122" s="32">
        <f t="shared" ref="BH122" si="289">1/(1+$C$3)^BH121</f>
        <v>0.7027612187822847</v>
      </c>
      <c r="BI122" s="32">
        <f t="shared" ref="BI122" si="290">1/(1+$C$3)^BI121</f>
        <v>0.69826853798402755</v>
      </c>
      <c r="BJ122" s="32">
        <f t="shared" ref="BJ122" si="291">1/(1+$C$3)^BJ121</f>
        <v>0.69380457843591259</v>
      </c>
      <c r="BK122" s="32">
        <f t="shared" ref="BK122" si="292">1/(1+$C$3)^BK121</f>
        <v>0.68936915652591713</v>
      </c>
      <c r="BL122" s="32">
        <f t="shared" ref="BL122" si="293">1/(1+$C$3)^BL121</f>
        <v>0.68496208981583118</v>
      </c>
      <c r="BM122" s="32">
        <f t="shared" ref="BM122" si="294">1/(1+$C$3)^BM121</f>
        <v>0.6805831970337537</v>
      </c>
      <c r="BN122" s="32">
        <f t="shared" ref="BN122" si="295">1/(1+$C$3)^BN121</f>
        <v>0.67623229806663598</v>
      </c>
      <c r="BO122" s="32">
        <f t="shared" ref="BO122" si="296">1/(1+$C$3)^BO121</f>
        <v>0.6719092139528744</v>
      </c>
      <c r="BP122" s="32">
        <f t="shared" ref="BP122" si="297">1/(1+$C$3)^BP121</f>
        <v>0.66761376687494822</v>
      </c>
      <c r="BQ122" s="32">
        <f t="shared" ref="BQ122" si="298">1/(1+$C$3)^BQ121</f>
        <v>0.66334578015210599</v>
      </c>
      <c r="BR122" s="32">
        <f t="shared" ref="BR122" si="299">1/(1+$C$3)^BR121</f>
        <v>0.65910507823309794</v>
      </c>
      <c r="BS122" s="32">
        <f t="shared" ref="BS122" si="300">1/(1+$C$3)^BS121</f>
        <v>0.65489148668895636</v>
      </c>
      <c r="BT122" s="32">
        <f t="shared" ref="BT122" si="301">1/(1+$C$3)^BT121</f>
        <v>0.65070483220581932</v>
      </c>
      <c r="BU122" s="32">
        <f t="shared" ref="BU122" si="302">1/(1+$C$3)^BU121</f>
        <v>0.64654494257780337</v>
      </c>
      <c r="BV122" s="32">
        <f t="shared" ref="BV122" si="303">1/(1+$C$3)^BV121</f>
        <v>0.64241164669991913</v>
      </c>
      <c r="BW122" s="32">
        <f t="shared" ref="BW122" si="304">1/(1+$C$3)^BW121</f>
        <v>0.63830477456103452</v>
      </c>
      <c r="BX122" s="32">
        <f t="shared" ref="BX122" si="305">1/(1+$C$3)^BX121</f>
        <v>0.63422415723688075</v>
      </c>
      <c r="BY122" s="32">
        <f t="shared" ref="BY122" si="306">1/(1+$C$3)^BY121</f>
        <v>0.63016962688310529</v>
      </c>
      <c r="BZ122" s="32">
        <f t="shared" ref="BZ122" si="307">1/(1+$C$3)^BZ121</f>
        <v>0.62614101672836675</v>
      </c>
      <c r="CA122" s="32">
        <f t="shared" ref="CA122" si="308">1/(1+$C$3)^CA121</f>
        <v>0.62213816106747644</v>
      </c>
      <c r="CB122" s="32">
        <f t="shared" ref="CB122" si="309">1/(1+$C$3)^CB121</f>
        <v>0.61816089525458173</v>
      </c>
      <c r="CC122" s="32">
        <f t="shared" ref="CC122" si="310">1/(1+$C$3)^CC121</f>
        <v>0.6142090556963945</v>
      </c>
      <c r="CD122" s="32">
        <f t="shared" ref="CD122" si="311">1/(1+$C$3)^CD121</f>
        <v>0.61028247984546113</v>
      </c>
      <c r="CE122" s="32">
        <f t="shared" ref="CE122" si="312">1/(1+$C$3)^CE121</f>
        <v>0.60638100619347812</v>
      </c>
      <c r="CF122" s="32">
        <f t="shared" ref="CF122" si="313">1/(1+$C$3)^CF121</f>
        <v>0.60250447426464759</v>
      </c>
      <c r="CG122" s="32">
        <f t="shared" ref="CG122" si="314">1/(1+$C$3)^CG121</f>
        <v>0.59865272460907726</v>
      </c>
      <c r="CH122" s="32">
        <f t="shared" ref="CH122" si="315">1/(1+$C$3)^CH121</f>
        <v>0.59482559879622154</v>
      </c>
      <c r="CI122" s="32">
        <f t="shared" ref="CI122" si="316">1/(1+$C$3)^CI121</f>
        <v>0.59102293940836537</v>
      </c>
      <c r="CJ122" s="32">
        <f t="shared" ref="CJ122" si="317">1/(1+$C$3)^CJ121</f>
        <v>0.58724459003414897</v>
      </c>
      <c r="CK122" s="32">
        <f t="shared" ref="CK122" si="318">1/(1+$C$3)^CK121</f>
        <v>0.58349039526213464</v>
      </c>
      <c r="CL122" s="32">
        <f t="shared" ref="CL122" si="319">1/(1+$C$3)^CL121</f>
        <v>0.57976020067441369</v>
      </c>
      <c r="CM122" s="32">
        <f t="shared" ref="CM122" si="320">1/(1+$C$3)^CM121</f>
        <v>0.57605385284025623</v>
      </c>
      <c r="CN122" s="32">
        <f t="shared" ref="CN122" si="321">1/(1+$C$3)^CN121</f>
        <v>0.57237119930979796</v>
      </c>
      <c r="CO122" s="32">
        <f t="shared" ref="CO122" si="322">1/(1+$C$3)^CO121</f>
        <v>0.56871208860777267</v>
      </c>
      <c r="CP122" s="32">
        <f t="shared" ref="CP122" si="323">1/(1+$C$3)^CP121</f>
        <v>0.56507637022727886</v>
      </c>
      <c r="CQ122" s="32">
        <f t="shared" ref="CQ122" si="324">1/(1+$C$3)^CQ121</f>
        <v>0.56146389462359103</v>
      </c>
      <c r="CR122" s="32">
        <f t="shared" ref="CR122" si="325">1/(1+$C$3)^CR121</f>
        <v>0.55787451320800707</v>
      </c>
      <c r="CS122" s="32">
        <f t="shared" ref="CS122" si="326">1/(1+$C$3)^CS121</f>
        <v>0.55430807834173834</v>
      </c>
      <c r="CT122" s="32">
        <f t="shared" ref="CT122" si="327">1/(1+$C$3)^CT121</f>
        <v>0.55076444332983476</v>
      </c>
      <c r="CU122" s="32">
        <f t="shared" ref="CU122" si="328">1/(1+$C$3)^CU121</f>
        <v>0.54724346241515309</v>
      </c>
      <c r="CV122" s="32">
        <f t="shared" ref="CV122" si="329">1/(1+$C$3)^CV121</f>
        <v>0.54374499077236016</v>
      </c>
      <c r="CW122" s="32">
        <f t="shared" ref="CW122" si="330">1/(1+$C$3)^CW121</f>
        <v>0.54026888450197663</v>
      </c>
      <c r="CX122" s="32">
        <f t="shared" ref="CX122" si="331">1/(1+$C$3)^CX121</f>
        <v>0.53681500062445731</v>
      </c>
      <c r="CY122" s="32">
        <f t="shared" ref="CY122" si="332">1/(1+$C$3)^CY121</f>
        <v>0.53338319707431137</v>
      </c>
      <c r="CZ122" s="32">
        <f t="shared" ref="CZ122" si="333">1/(1+$C$3)^CZ121</f>
        <v>0.52997333269425762</v>
      </c>
      <c r="DA122" s="32">
        <f t="shared" ref="DA122" si="334">1/(1+$C$3)^DA121</f>
        <v>0.52658526722941923</v>
      </c>
      <c r="DB122" s="32">
        <f t="shared" ref="DB122" si="335">1/(1+$C$3)^DB121</f>
        <v>0.52321886132155471</v>
      </c>
      <c r="DC122" s="32">
        <f t="shared" ref="DC122" si="336">1/(1+$C$3)^DC121</f>
        <v>0.51987397650332512</v>
      </c>
      <c r="DD122" s="32">
        <f t="shared" ref="DD122" si="337">1/(1+$C$3)^DD121</f>
        <v>0.51655047519259922</v>
      </c>
      <c r="DE122" s="32">
        <f t="shared" ref="DE122" si="338">1/(1+$C$3)^DE121</f>
        <v>0.51324822068679476</v>
      </c>
      <c r="DF122" s="32">
        <f t="shared" ref="DF122" si="339">1/(1+$C$3)^DF121</f>
        <v>0.50996707715725453</v>
      </c>
      <c r="DG122" s="32">
        <f t="shared" ref="DG122" si="340">1/(1+$C$3)^DG121</f>
        <v>0.5067069096436605</v>
      </c>
      <c r="DH122" s="32">
        <f t="shared" ref="DH122" si="341">1/(1+$C$3)^DH121</f>
        <v>0.50346758404848169</v>
      </c>
      <c r="DI122" s="32">
        <f t="shared" ref="DI122" si="342">1/(1+$C$3)^DI121</f>
        <v>0.50024896713145994</v>
      </c>
      <c r="DJ122" s="32">
        <f t="shared" ref="DJ122" si="343">1/(1+$C$3)^DJ121</f>
        <v>0.49705092650412713</v>
      </c>
      <c r="DK122" s="32">
        <f t="shared" ref="DK122" si="344">1/(1+$C$3)^DK121</f>
        <v>0.49387333062436228</v>
      </c>
      <c r="DL122" s="32">
        <f t="shared" ref="DL122" si="345">1/(1+$C$3)^DL121</f>
        <v>0.49071604879097919</v>
      </c>
      <c r="DM122" s="32">
        <f t="shared" ref="DM122" si="346">1/(1+$C$3)^DM121</f>
        <v>0.48757895113835131</v>
      </c>
      <c r="DN122" s="32">
        <f t="shared" ref="DN122" si="347">1/(1+$C$3)^DN121</f>
        <v>0.48446190863106925</v>
      </c>
      <c r="DO122" s="32">
        <f t="shared" ref="DO122" si="348">1/(1+$C$3)^DO121</f>
        <v>0.48136479305863433</v>
      </c>
      <c r="DP122" s="32">
        <f t="shared" ref="DP122" si="349">1/(1+$C$3)^DP121</f>
        <v>0.47828747703018454</v>
      </c>
      <c r="DQ122" s="32">
        <f t="shared" ref="DQ122" si="350">1/(1+$C$3)^DQ121</f>
        <v>0.47522983396925456</v>
      </c>
      <c r="DR122" s="32">
        <f t="shared" ref="DR122" si="351">1/(1+$C$3)^DR121</f>
        <v>0.47219173810856907</v>
      </c>
      <c r="DS122" s="32">
        <f t="shared" ref="DS122" si="352">1/(1+$C$3)^DS121</f>
        <v>0.46917306448487089</v>
      </c>
      <c r="DT122" s="32">
        <f t="shared" ref="DT122" si="353">1/(1+$C$3)^DT121</f>
        <v>0.46617368893377942</v>
      </c>
      <c r="DU122" s="32">
        <f t="shared" ref="DU122" si="354">1/(1+$C$3)^DU121</f>
        <v>0.46319348808468513</v>
      </c>
      <c r="DV122" s="32">
        <f t="shared" ref="DV122" si="355">1/(1+$C$3)^DV121</f>
        <v>0.46023233935567337</v>
      </c>
      <c r="DW122" s="32">
        <f t="shared" ref="DW122" si="356">1/(1+$C$3)^DW121</f>
        <v>0.4572901209484837</v>
      </c>
      <c r="DX122" s="32">
        <f t="shared" ref="DX122" si="357">1/(1+$C$3)^DX121</f>
        <v>0.45436671184349947</v>
      </c>
      <c r="DY122" s="32">
        <f t="shared" ref="DY122" si="358">1/(1+$C$3)^DY121</f>
        <v>0.45146199179476981</v>
      </c>
      <c r="DZ122" s="32">
        <f t="shared" ref="DZ122" si="359">1/(1+$C$3)^DZ121</f>
        <v>0.44857584132506412</v>
      </c>
      <c r="EA122" s="32">
        <f t="shared" ref="EA122" si="360">1/(1+$C$3)^EA121</f>
        <v>0.44570814172095774</v>
      </c>
      <c r="EB122" s="32">
        <f t="shared" ref="EB122" si="361">1/(1+$C$3)^EB121</f>
        <v>0.44285877502794874</v>
      </c>
      <c r="EC122" s="32">
        <f t="shared" ref="EC122" si="362">1/(1+$C$3)^EC121</f>
        <v>0.44002762404560608</v>
      </c>
      <c r="ED122" s="32">
        <f t="shared" ref="ED122" si="363">1/(1+$C$3)^ED121</f>
        <v>0.43721457232274924</v>
      </c>
      <c r="EE122" s="32">
        <f t="shared" ref="EE122" si="364">1/(1+$C$3)^EE121</f>
        <v>0.43441950415265829</v>
      </c>
      <c r="EF122" s="32">
        <f t="shared" ref="EF122" si="365">1/(1+$C$3)^EF121</f>
        <v>0.43164230456831448</v>
      </c>
      <c r="EG122" s="32">
        <f t="shared" ref="EG122" si="366">1/(1+$C$3)^EG121</f>
        <v>0.42888285933767151</v>
      </c>
      <c r="EH122" s="32">
        <f t="shared" ref="EH122" si="367">1/(1+$C$3)^EH121</f>
        <v>0.42614105495895693</v>
      </c>
      <c r="EI122" s="32">
        <f t="shared" ref="EI122" si="368">1/(1+$C$3)^EI121</f>
        <v>0.42341677865600358</v>
      </c>
      <c r="EJ122" s="32">
        <f t="shared" ref="EJ122" si="369">1/(1+$C$3)^EJ121</f>
        <v>0.4207099183736106</v>
      </c>
      <c r="EK122" s="32">
        <f t="shared" ref="EK122" si="370">1/(1+$C$3)^EK121</f>
        <v>0.41802036277293503</v>
      </c>
      <c r="EL122" s="32">
        <f t="shared" ref="EL122" si="371">1/(1+$C$3)^EL121</f>
        <v>0.41534800122691129</v>
      </c>
      <c r="EM122" s="32">
        <f t="shared" ref="EM122" si="372">1/(1+$C$3)^EM121</f>
        <v>0.41269272381570177</v>
      </c>
      <c r="EN122" s="32">
        <f t="shared" ref="EN122" si="373">1/(1+$C$3)^EN121</f>
        <v>0.41005442132217484</v>
      </c>
      <c r="EO122" s="32">
        <f t="shared" ref="EO122" si="374">1/(1+$C$3)^EO121</f>
        <v>0.40743298522741306</v>
      </c>
      <c r="EP122" s="32">
        <f t="shared" ref="EP122" si="375">1/(1+$C$3)^EP121</f>
        <v>0.40482830770624928</v>
      </c>
      <c r="EQ122" s="32">
        <f t="shared" ref="EQ122" si="376">1/(1+$C$3)^EQ121</f>
        <v>0.40224028162283176</v>
      </c>
      <c r="ER122" s="32">
        <f t="shared" ref="ER122" si="377">1/(1+$C$3)^ER121</f>
        <v>0.39966880052621712</v>
      </c>
      <c r="ES122" s="32">
        <f t="shared" ref="ES122" si="378">1/(1+$C$3)^ES121</f>
        <v>0.39711375864599219</v>
      </c>
      <c r="ET122" s="32">
        <f t="shared" ref="ET122" si="379">1/(1+$C$3)^ET121</f>
        <v>0.39457505088792322</v>
      </c>
      <c r="EU122" s="32">
        <f t="shared" ref="EU122" si="380">1/(1+$C$3)^EU121</f>
        <v>0.39205257282963296</v>
      </c>
      <c r="EV122" s="32">
        <f t="shared" ref="EV122" si="381">1/(1+$C$3)^EV121</f>
        <v>0.38954622071630618</v>
      </c>
      <c r="EW122" s="32">
        <f t="shared" ref="EW122" si="382">1/(1+$C$3)^EW121</f>
        <v>0.38705589145642144</v>
      </c>
      <c r="EX122" s="32">
        <f t="shared" ref="EX122" si="383">1/(1+$C$3)^EX121</f>
        <v>0.38458148261751052</v>
      </c>
      <c r="EY122" s="32">
        <f t="shared" ref="EY122" si="384">1/(1+$C$3)^EY121</f>
        <v>0.38212289242194619</v>
      </c>
      <c r="EZ122" s="32">
        <f t="shared" ref="EZ122" si="385">1/(1+$C$3)^EZ121</f>
        <v>0.3796800197427545</v>
      </c>
      <c r="FA122" s="32">
        <f t="shared" ref="FA122" si="386">1/(1+$C$3)^FA121</f>
        <v>0.37725276409945663</v>
      </c>
      <c r="FB122" s="32">
        <f t="shared" ref="FB122" si="387">1/(1+$C$3)^FB121</f>
        <v>0.37484102565393457</v>
      </c>
      <c r="FC122" s="32">
        <f t="shared" ref="FC122" si="388">1/(1+$C$3)^FC121</f>
        <v>0.37244470520632578</v>
      </c>
      <c r="FD122" s="32">
        <f t="shared" ref="FD122" si="389">1/(1+$C$3)^FD121</f>
        <v>0.37006370419094181</v>
      </c>
      <c r="FE122" s="32">
        <f t="shared" ref="FE122" si="390">1/(1+$C$3)^FE121</f>
        <v>0.36769792467221502</v>
      </c>
      <c r="FF122" s="32">
        <f t="shared" ref="FF122" si="391">1/(1+$C$3)^FF121</f>
        <v>0.36534726934066952</v>
      </c>
      <c r="FG122" s="32">
        <f t="shared" ref="FG122" si="392">1/(1+$C$3)^FG121</f>
        <v>0.3630116415089194</v>
      </c>
      <c r="FH122" s="32">
        <f t="shared" ref="FH122" si="393">1/(1+$C$3)^FH121</f>
        <v>0.36069094510769095</v>
      </c>
      <c r="FI122" s="32">
        <f t="shared" ref="FI122" si="394">1/(1+$C$3)^FI121</f>
        <v>0.35838508468187175</v>
      </c>
      <c r="FJ122" s="32">
        <f t="shared" ref="FJ122" si="395">1/(1+$C$3)^FJ121</f>
        <v>0.35609396538658394</v>
      </c>
      <c r="FK122" s="32">
        <f t="shared" ref="FK122" si="396">1/(1+$C$3)^FK121</f>
        <v>0.35381749298328352</v>
      </c>
      <c r="FL122" s="32">
        <f t="shared" ref="FL122" si="397">1/(1+$C$3)^FL121</f>
        <v>0.35155557383588387</v>
      </c>
      <c r="FM122" s="32">
        <f t="shared" ref="FM122" si="398">1/(1+$C$3)^FM121</f>
        <v>0.34930811490690433</v>
      </c>
      <c r="FN122" s="32">
        <f t="shared" ref="FN122" si="399">1/(1+$C$3)^FN121</f>
        <v>0.34707502375364324</v>
      </c>
      <c r="FO122" s="32">
        <f t="shared" ref="FO122" si="400">1/(1+$C$3)^FO121</f>
        <v>0.34485620852437582</v>
      </c>
      <c r="FP122" s="32">
        <f t="shared" ref="FP122" si="401">1/(1+$C$3)^FP121</f>
        <v>0.34265157795457579</v>
      </c>
      <c r="FQ122" s="32">
        <f t="shared" ref="FQ122" si="402">1/(1+$C$3)^FQ121</f>
        <v>0.34046104136316213</v>
      </c>
      <c r="FR122" s="32">
        <f t="shared" ref="FR122" si="403">1/(1+$C$3)^FR121</f>
        <v>0.33828450864876825</v>
      </c>
      <c r="FS122" s="32">
        <f t="shared" ref="FS122" si="404">1/(1+$C$3)^FS121</f>
        <v>0.33612189028603662</v>
      </c>
      <c r="FT122" s="32">
        <f t="shared" ref="FT122" si="405">1/(1+$C$3)^FT121</f>
        <v>0.33397309732193609</v>
      </c>
      <c r="FU122" s="32">
        <f t="shared" ref="FU122" si="406">1/(1+$C$3)^FU121</f>
        <v>0.33183804137210349</v>
      </c>
      <c r="FV122" s="32">
        <f t="shared" ref="FV122" si="407">1/(1+$C$3)^FV121</f>
        <v>0.32971663461720729</v>
      </c>
      <c r="FW122" s="32">
        <f t="shared" ref="FW122" si="408">1/(1+$C$3)^FW121</f>
        <v>0.32760878979933655</v>
      </c>
      <c r="FX122" s="32">
        <f t="shared" ref="FX122" si="409">1/(1+$C$3)^FX121</f>
        <v>0.32551442021841104</v>
      </c>
      <c r="FY122" s="32">
        <f t="shared" ref="FY122" si="410">1/(1+$C$3)^FY121</f>
        <v>0.32343343972861521</v>
      </c>
      <c r="FZ122" s="32">
        <f t="shared" ref="FZ122" si="411">1/(1+$C$3)^FZ121</f>
        <v>0.3213657627348549</v>
      </c>
      <c r="GA122" s="32">
        <f t="shared" ref="GA122" si="412">1/(1+$C$3)^GA121</f>
        <v>0.31931130418923687</v>
      </c>
      <c r="GB122" s="32">
        <f t="shared" ref="GB122" si="413">1/(1+$C$3)^GB121</f>
        <v>0.31726997958757025</v>
      </c>
      <c r="GC122" s="32">
        <f t="shared" ref="GC122" si="414">1/(1+$C$3)^GC121</f>
        <v>0.31524170496589093</v>
      </c>
      <c r="GD122" s="32">
        <f t="shared" ref="GD122" si="415">1/(1+$C$3)^GD121</f>
        <v>0.31322639689700765</v>
      </c>
      <c r="GE122" s="32">
        <f t="shared" ref="GE122" si="416">1/(1+$C$3)^GE121</f>
        <v>0.31122397248707101</v>
      </c>
      <c r="GF122" s="32">
        <f t="shared" ref="GF122" si="417">1/(1+$C$3)^GF121</f>
        <v>0.3092343493721631</v>
      </c>
      <c r="GG122" s="32">
        <f t="shared" ref="GG122" si="418">1/(1+$C$3)^GG121</f>
        <v>0.30725744571491065</v>
      </c>
      <c r="GH122" s="32">
        <f t="shared" ref="GH122" si="419">1/(1+$C$3)^GH121</f>
        <v>0.30529318020111795</v>
      </c>
      <c r="GI122" s="32">
        <f t="shared" ref="GI122" si="420">1/(1+$C$3)^GI121</f>
        <v>0.30334147203642281</v>
      </c>
      <c r="GJ122" s="32">
        <f t="shared" ref="GJ122" si="421">1/(1+$C$3)^GJ121</f>
        <v>0.30140224094297324</v>
      </c>
      <c r="GK122" s="32">
        <f t="shared" ref="GK122" si="422">1/(1+$C$3)^GK121</f>
        <v>0.29947540715612525</v>
      </c>
      <c r="GL122" s="32">
        <f t="shared" ref="GL122" si="423">1/(1+$C$3)^GL121</f>
        <v>0.29756089142116193</v>
      </c>
      <c r="GM122" s="32">
        <f t="shared" ref="GM122" si="424">1/(1+$C$3)^GM121</f>
        <v>0.29565861499003415</v>
      </c>
      <c r="GN122" s="32">
        <f t="shared" ref="GN122" si="425">1/(1+$C$3)^GN121</f>
        <v>0.29376849961812063</v>
      </c>
      <c r="GO122" s="32">
        <f t="shared" ref="GO122" si="426">1/(1+$C$3)^GO121</f>
        <v>0.29189046756101011</v>
      </c>
      <c r="GP122" s="32">
        <f t="shared" ref="GP122" si="427">1/(1+$C$3)^GP121</f>
        <v>0.29002444157130342</v>
      </c>
      <c r="GQ122" s="32">
        <f t="shared" ref="GQ122" si="428">1/(1+$C$3)^GQ121</f>
        <v>0.28817034489543614</v>
      </c>
      <c r="GR122" s="32">
        <f t="shared" ref="GR122" si="429">1/(1+$C$3)^GR121</f>
        <v>0.2863281012705215</v>
      </c>
      <c r="GS122" s="32">
        <f t="shared" ref="GS122" si="430">1/(1+$C$3)^GS121</f>
        <v>0.2844976349212136</v>
      </c>
      <c r="GT122" s="32">
        <f t="shared" ref="GT122" si="431">1/(1+$C$3)^GT121</f>
        <v>0.28267887055659074</v>
      </c>
      <c r="GU122" s="32">
        <f t="shared" ref="GU122" si="432">1/(1+$C$3)^GU121</f>
        <v>0.28087173336705823</v>
      </c>
      <c r="GV122" s="32">
        <f t="shared" ref="GV122" si="433">1/(1+$C$3)^GV121</f>
        <v>0.27907614902127154</v>
      </c>
      <c r="GW122" s="32">
        <f t="shared" ref="GW122" si="434">1/(1+$C$3)^GW121</f>
        <v>0.27729204366307891</v>
      </c>
      <c r="GX122" s="32">
        <f t="shared" ref="GX122" si="435">1/(1+$C$3)^GX121</f>
        <v>0.27551934390848332</v>
      </c>
      <c r="GY122" s="32">
        <f t="shared" ref="GY122" si="436">1/(1+$C$3)^GY121</f>
        <v>0.27375797684262426</v>
      </c>
      <c r="GZ122" s="32">
        <f t="shared" ref="GZ122" si="437">1/(1+$C$3)^GZ121</f>
        <v>0.2720078700167784</v>
      </c>
      <c r="HA122" s="32">
        <f t="shared" ref="HA122" si="438">1/(1+$C$3)^HA121</f>
        <v>0.27026895144537977</v>
      </c>
      <c r="HB122" s="32">
        <f t="shared" ref="HB122" si="439">1/(1+$C$3)^HB121</f>
        <v>0.26854114960305875</v>
      </c>
      <c r="HC122" s="32">
        <f t="shared" ref="HC122" si="440">1/(1+$C$3)^HC121</f>
        <v>0.26682439342170011</v>
      </c>
      <c r="HD122" s="32">
        <f t="shared" ref="HD122" si="441">1/(1+$C$3)^HD121</f>
        <v>0.26511861228751993</v>
      </c>
      <c r="HE122" s="32">
        <f t="shared" ref="HE122" si="442">1/(1+$C$3)^HE121</f>
        <v>0.26342373603816083</v>
      </c>
      <c r="HF122" s="32">
        <f t="shared" ref="HF122" si="443">1/(1+$C$3)^HF121</f>
        <v>0.26173969495980631</v>
      </c>
      <c r="HG122" s="32">
        <f t="shared" ref="HG122" si="444">1/(1+$C$3)^HG121</f>
        <v>0.26006641978431322</v>
      </c>
      <c r="HH122" s="32">
        <f t="shared" ref="HH122" si="445">1/(1+$C$3)^HH121</f>
        <v>0.2584038416863626</v>
      </c>
      <c r="HI122" s="32">
        <f t="shared" ref="HI122" si="446">1/(1+$C$3)^HI121</f>
        <v>0.25675189228062867</v>
      </c>
      <c r="HJ122" s="32">
        <f t="shared" ref="HJ122" si="447">1/(1+$C$3)^HJ121</f>
        <v>0.25511050361896609</v>
      </c>
      <c r="HK122" s="32">
        <f t="shared" ref="HK122" si="448">1/(1+$C$3)^HK121</f>
        <v>0.25347960818761517</v>
      </c>
      <c r="HL122" s="32">
        <f t="shared" ref="HL122" si="449">1/(1+$C$3)^HL121</f>
        <v>0.25185913890442446</v>
      </c>
      <c r="HM122" s="32">
        <f t="shared" ref="HM122" si="450">1/(1+$C$3)^HM121</f>
        <v>0.25024902911609243</v>
      </c>
      <c r="HN122" s="32">
        <f t="shared" ref="HN122" si="451">1/(1+$C$3)^HN121</f>
        <v>0.2486492125954248</v>
      </c>
      <c r="HO122" s="32">
        <f t="shared" ref="HO122" si="452">1/(1+$C$3)^HO121</f>
        <v>0.24705962353861127</v>
      </c>
      <c r="HP122" s="32">
        <f t="shared" ref="HP122" si="453">1/(1+$C$3)^HP121</f>
        <v>0.24548019656251843</v>
      </c>
      <c r="HQ122" s="32">
        <f t="shared" ref="HQ122" si="454">1/(1+$C$3)^HQ121</f>
        <v>0.24391086670200079</v>
      </c>
      <c r="HR122" s="32">
        <f t="shared" ref="HR122" si="455">1/(1+$C$3)^HR121</f>
        <v>0.24235156940722805</v>
      </c>
      <c r="HS122" s="32">
        <f t="shared" ref="HS122" si="456">1/(1+$C$3)^HS121</f>
        <v>0.24080224054103078</v>
      </c>
      <c r="HT122" s="32">
        <f t="shared" ref="HT122" si="457">1/(1+$C$3)^HT121</f>
        <v>0.23926281637626168</v>
      </c>
      <c r="HU122" s="32">
        <f t="shared" ref="HU122" si="458">1/(1+$C$3)^HU121</f>
        <v>0.23773323359317472</v>
      </c>
      <c r="HV122" s="32">
        <f t="shared" ref="HV122" si="459">1/(1+$C$3)^HV121</f>
        <v>0.23621342927682051</v>
      </c>
      <c r="HW122" s="32">
        <f t="shared" ref="HW122" si="460">1/(1+$C$3)^HW121</f>
        <v>0.23470334091445849</v>
      </c>
      <c r="HX122" s="32">
        <f t="shared" ref="HX122" si="461">1/(1+$C$3)^HX121</f>
        <v>0.23320290639298566</v>
      </c>
      <c r="HY122" s="32">
        <f t="shared" ref="HY122" si="462">1/(1+$C$3)^HY121</f>
        <v>0.23171206399638192</v>
      </c>
      <c r="HZ122" s="32">
        <f t="shared" ref="HZ122" si="463">1/(1+$C$3)^HZ121</f>
        <v>0.23023075240317117</v>
      </c>
      <c r="IA122" s="32">
        <f t="shared" ref="IA122" si="464">1/(1+$C$3)^IA121</f>
        <v>0.22875891068389939</v>
      </c>
      <c r="IB122" s="32">
        <f t="shared" ref="IB122" si="465">1/(1+$C$3)^IB121</f>
        <v>0.22729647829862826</v>
      </c>
      <c r="IC122" s="32">
        <f t="shared" ref="IC122" si="466">1/(1+$C$3)^IC121</f>
        <v>0.2258433950944452</v>
      </c>
      <c r="ID122" s="32">
        <f t="shared" ref="ID122" si="467">1/(1+$C$3)^ID121</f>
        <v>0.22439960130298897</v>
      </c>
      <c r="IE122" s="32">
        <f t="shared" ref="IE122" si="468">1/(1+$C$3)^IE121</f>
        <v>0.22296503753799152</v>
      </c>
      <c r="IF122" s="32">
        <f t="shared" ref="IF122" si="469">1/(1+$C$3)^IF121</f>
        <v>0.22153964479283492</v>
      </c>
      <c r="IG122" s="32">
        <f t="shared" ref="IG122" si="470">1/(1+$C$3)^IG121</f>
        <v>0.2201233644381248</v>
      </c>
      <c r="IH122" s="32">
        <f t="shared" ref="IH122" si="471">1/(1+$C$3)^IH121</f>
        <v>0.21871613821927821</v>
      </c>
      <c r="II122" s="32">
        <f t="shared" ref="II122" si="472">1/(1+$C$3)^II121</f>
        <v>0.21731790825412822</v>
      </c>
      <c r="IJ122" s="32">
        <f t="shared" ref="IJ122" si="473">1/(1+$C$3)^IJ121</f>
        <v>0.21592861703054228</v>
      </c>
      <c r="IK122" s="32">
        <f t="shared" ref="IK122" si="474">1/(1+$C$3)^IK121</f>
        <v>0.21454820740405739</v>
      </c>
      <c r="IL122" s="32">
        <f t="shared" ref="IL122" si="475">1/(1+$C$3)^IL121</f>
        <v>0.21317662259552891</v>
      </c>
      <c r="IM122" s="32">
        <f t="shared" ref="IM122" si="476">1/(1+$C$3)^IM121</f>
        <v>0.21181380618879572</v>
      </c>
      <c r="IN122" s="32">
        <f t="shared" ref="IN122" si="477">1/(1+$C$3)^IN121</f>
        <v>0.21045970212835952</v>
      </c>
      <c r="IO122" s="32">
        <f t="shared" ref="IO122" si="478">1/(1+$C$3)^IO121</f>
        <v>0.20911425471707895</v>
      </c>
      <c r="IP122" s="32">
        <f t="shared" ref="IP122" si="479">1/(1+$C$3)^IP121</f>
        <v>0.20777740861387869</v>
      </c>
      <c r="IQ122" s="32">
        <f t="shared" ref="IQ122" si="480">1/(1+$C$3)^IQ121</f>
        <v>0.20644910883147369</v>
      </c>
      <c r="IR122" s="32">
        <f t="shared" ref="IR122" si="481">1/(1+$C$3)^IR121</f>
        <v>0.2051293007341064</v>
      </c>
      <c r="IS122" s="32">
        <f t="shared" ref="IS122" si="482">1/(1+$C$3)^IS121</f>
        <v>0.20381793003530074</v>
      </c>
      <c r="IT122" s="32">
        <f t="shared" ref="IT122" si="483">1/(1+$C$3)^IT121</f>
        <v>0.20251494279562801</v>
      </c>
      <c r="IU122" s="32">
        <f t="shared" ref="IU122" si="484">1/(1+$C$3)^IU121</f>
        <v>0.20122028542048911</v>
      </c>
      <c r="IV122" s="32">
        <f t="shared" ref="IV122" si="485">1/(1+$C$3)^IV121</f>
        <v>0.19993390465790961</v>
      </c>
      <c r="IW122" s="32">
        <f t="shared" ref="IW122" si="486">1/(1+$C$3)^IW121</f>
        <v>0.19865574759634949</v>
      </c>
      <c r="IX122" s="32">
        <f t="shared" ref="IX122" si="487">1/(1+$C$3)^IX121</f>
        <v>0.19738576166252675</v>
      </c>
      <c r="IY122" s="32">
        <f t="shared" ref="IY122" si="488">1/(1+$C$3)^IY121</f>
        <v>0.19612389461925531</v>
      </c>
      <c r="IZ122" s="32">
        <f t="shared" ref="IZ122" si="489">1/(1+$C$3)^IZ121</f>
        <v>0.19487009456329585</v>
      </c>
      <c r="JA122" s="32">
        <f t="shared" ref="JA122" si="490">1/(1+$C$3)^JA121</f>
        <v>0.19362430992322124</v>
      </c>
      <c r="JB122" s="32">
        <f t="shared" ref="JB122" si="491">1/(1+$C$3)^JB121</f>
        <v>0.19238648945729517</v>
      </c>
      <c r="JC122" s="32">
        <f t="shared" ref="JC122" si="492">1/(1+$C$3)^JC121</f>
        <v>0.1911565822513645</v>
      </c>
      <c r="JD122" s="32">
        <f t="shared" ref="JD122" si="493">1/(1+$C$3)^JD121</f>
        <v>0.18993453771676527</v>
      </c>
      <c r="JE122" s="32">
        <f t="shared" ref="JE122" si="494">1/(1+$C$3)^JE121</f>
        <v>0.18872030558824146</v>
      </c>
      <c r="JF122" s="32">
        <f t="shared" ref="JF122" si="495">1/(1+$C$3)^JF121</f>
        <v>0.18751383592187787</v>
      </c>
      <c r="JG122" s="32">
        <f t="shared" ref="JG122" si="496">1/(1+$C$3)^JG121</f>
        <v>0.18631507909304554</v>
      </c>
      <c r="JH122" s="32">
        <f t="shared" ref="JH122" si="497">1/(1+$C$3)^JH121</f>
        <v>0.18512398579436073</v>
      </c>
      <c r="JI122" s="32">
        <f t="shared" ref="JI122" si="498">1/(1+$C$3)^JI121</f>
        <v>0.18394050703365694</v>
      </c>
      <c r="JJ122" s="32">
        <f t="shared" ref="JJ122" si="499">1/(1+$C$3)^JJ121</f>
        <v>0.18276459413196924</v>
      </c>
      <c r="JK122" s="32">
        <f t="shared" ref="JK122" si="500">1/(1+$C$3)^JK121</f>
        <v>0.18159619872153274</v>
      </c>
      <c r="JL122" s="32">
        <f t="shared" ref="JL122" si="501">1/(1+$C$3)^JL121</f>
        <v>0.18043527274379251</v>
      </c>
      <c r="JM122" s="32">
        <f t="shared" ref="JM122" si="502">1/(1+$C$3)^JM121</f>
        <v>0.1792817684474271</v>
      </c>
      <c r="JN122" s="32">
        <f t="shared" ref="JN122" si="503">1/(1+$C$3)^JN121</f>
        <v>0.17813563838638441</v>
      </c>
      <c r="JO122" s="32">
        <f t="shared" ref="JO122" si="504">1/(1+$C$3)^JO121</f>
        <v>0.17699683541793013</v>
      </c>
      <c r="JP122" s="32">
        <f t="shared" ref="JP122" si="505">1/(1+$C$3)^JP121</f>
        <v>0.1758653127007086</v>
      </c>
      <c r="JQ122" s="32">
        <f t="shared" ref="JQ122" si="506">1/(1+$C$3)^JQ121</f>
        <v>0.17474102369281622</v>
      </c>
      <c r="JR122" s="32">
        <f t="shared" ref="JR122" si="507">1/(1+$C$3)^JR121</f>
        <v>0.17362392214988695</v>
      </c>
      <c r="JS122" s="32">
        <f t="shared" ref="JS122" si="508">1/(1+$C$3)^JS121</f>
        <v>0.17251396212319034</v>
      </c>
      <c r="JT122" s="32">
        <f t="shared" ref="JT122" si="509">1/(1+$C$3)^JT121</f>
        <v>0.17141109795774148</v>
      </c>
      <c r="JU122" s="32">
        <f t="shared" ref="JU122" si="510">1/(1+$C$3)^JU121</f>
        <v>0.17031528429042314</v>
      </c>
      <c r="JV122" s="32">
        <f t="shared" ref="JV122" si="511">1/(1+$C$3)^JV121</f>
        <v>0.16922647604811972</v>
      </c>
      <c r="JW122" s="32">
        <f t="shared" ref="JW122" si="512">1/(1+$C$3)^JW121</f>
        <v>0.16814462844586373</v>
      </c>
      <c r="JX122" s="32">
        <f t="shared" ref="JX122" si="513">1/(1+$C$3)^JX121</f>
        <v>0.16706969698499308</v>
      </c>
      <c r="JY122" s="32">
        <f t="shared" ref="JY122" si="514">1/(1+$C$3)^JY121</f>
        <v>0.16600163745132143</v>
      </c>
      <c r="JZ122" s="32">
        <f t="shared" ref="JZ122" si="515">1/(1+$C$3)^JZ121</f>
        <v>0.16494040591331893</v>
      </c>
      <c r="KA122" s="32">
        <f t="shared" ref="KA122" si="516">1/(1+$C$3)^KA121</f>
        <v>0.1638859587203057</v>
      </c>
      <c r="KB122" s="32">
        <f t="shared" ref="KB122" si="517">1/(1+$C$3)^KB121</f>
        <v>0.16283825250065614</v>
      </c>
      <c r="KC122" s="32">
        <f t="shared" ref="KC122" si="518">1/(1+$C$3)^KC121</f>
        <v>0.16179724416001504</v>
      </c>
      <c r="KD122" s="32">
        <f t="shared" ref="KD122" si="519">1/(1+$C$3)^KD121</f>
        <v>0.16076289087952494</v>
      </c>
      <c r="KE122" s="32">
        <f t="shared" ref="KE122" si="520">1/(1+$C$3)^KE121</f>
        <v>0.15973515011406511</v>
      </c>
      <c r="KF122" s="32">
        <f t="shared" ref="KF122" si="521">1/(1+$C$3)^KF121</f>
        <v>0.15871397959050138</v>
      </c>
      <c r="KG122" s="32">
        <f t="shared" ref="KG122" si="522">1/(1+$C$3)^KG121</f>
        <v>0.15769933730594735</v>
      </c>
      <c r="KH122" s="32">
        <f t="shared" ref="KH122" si="523">1/(1+$C$3)^KH121</f>
        <v>0.15669118152603681</v>
      </c>
      <c r="KI122" s="32">
        <f t="shared" ref="KI122" si="524">1/(1+$C$3)^KI121</f>
        <v>0.15568947078320716</v>
      </c>
      <c r="KJ122" s="32">
        <f t="shared" ref="KJ122" si="525">1/(1+$C$3)^KJ121</f>
        <v>0.15469416387499363</v>
      </c>
      <c r="KK122" s="32">
        <f t="shared" ref="KK122" si="526">1/(1+$C$3)^KK121</f>
        <v>0.15370521986233465</v>
      </c>
      <c r="KL122" s="32">
        <f t="shared" ref="KL122" si="527">1/(1+$C$3)^KL121</f>
        <v>0.15272259806788793</v>
      </c>
      <c r="KM122" s="32">
        <f t="shared" ref="KM122" si="528">1/(1+$C$3)^KM121</f>
        <v>0.15174625807435718</v>
      </c>
      <c r="KN122" s="32">
        <f t="shared" ref="KN122" si="529">1/(1+$C$3)^KN121</f>
        <v>0.15077615972282979</v>
      </c>
      <c r="KO122" s="32">
        <f t="shared" ref="KO122" si="530">1/(1+$C$3)^KO121</f>
        <v>0.14981226311112505</v>
      </c>
      <c r="KP122" s="32">
        <f t="shared" ref="KP122" si="531">1/(1+$C$3)^KP121</f>
        <v>0.14885452859215276</v>
      </c>
      <c r="KQ122" s="32">
        <f t="shared" ref="KQ122" si="532">1/(1+$C$3)^KQ121</f>
        <v>0.14790291677228257</v>
      </c>
      <c r="KR122" s="32">
        <f t="shared" ref="KR122" si="533">1/(1+$C$3)^KR121</f>
        <v>0.14695738850972354</v>
      </c>
      <c r="KS122" s="32">
        <f t="shared" ref="KS122" si="534">1/(1+$C$3)^KS121</f>
        <v>0.14601790491291425</v>
      </c>
      <c r="KT122" s="32">
        <f t="shared" ref="KT122" si="535">1/(1+$C$3)^KT121</f>
        <v>0.14508442733892296</v>
      </c>
      <c r="KU122" s="32">
        <f t="shared" ref="KU122" si="536">1/(1+$C$3)^KU121</f>
        <v>0.14415691739185849</v>
      </c>
      <c r="KV122" s="32">
        <f t="shared" ref="KV122" si="537">1/(1+$C$3)^KV121</f>
        <v>0.1432353369212904</v>
      </c>
      <c r="KW122" s="32">
        <f t="shared" ref="KW122" si="538">1/(1+$C$3)^KW121</f>
        <v>0.14231964802068028</v>
      </c>
      <c r="KX122" s="32">
        <f t="shared" ref="KX122" si="539">1/(1+$C$3)^KX121</f>
        <v>0.1414098130258222</v>
      </c>
      <c r="KY122" s="32">
        <f t="shared" ref="KY122" si="540">1/(1+$C$3)^KY121</f>
        <v>0.1405057945132937</v>
      </c>
      <c r="KZ122" s="32">
        <f t="shared" ref="KZ122" si="541">1/(1+$C$3)^KZ121</f>
        <v>0.1396075552989165</v>
      </c>
      <c r="LA122" s="32">
        <f t="shared" ref="LA122" si="542">1/(1+$C$3)^LA121</f>
        <v>0.13871505843622695</v>
      </c>
      <c r="LB122" s="32">
        <f t="shared" ref="LB122" si="543">1/(1+$C$3)^LB121</f>
        <v>0.13782826721495628</v>
      </c>
      <c r="LC122" s="32">
        <f t="shared" ref="LC122" si="544">1/(1+$C$3)^LC121</f>
        <v>0.13694714515952094</v>
      </c>
      <c r="LD122" s="32">
        <f t="shared" ref="LD122" si="545">1/(1+$C$3)^LD121</f>
        <v>0.1360716560275218</v>
      </c>
      <c r="LE122" s="32">
        <f t="shared" ref="LE122" si="546">1/(1+$C$3)^LE121</f>
        <v>0.13520176380825394</v>
      </c>
      <c r="LF122" s="32">
        <f t="shared" ref="LF122" si="547">1/(1+$C$3)^LF121</f>
        <v>0.134337432721225</v>
      </c>
      <c r="LG122" s="32">
        <f t="shared" ref="LG122" si="548">1/(1+$C$3)^LG121</f>
        <v>0.13347862721468379</v>
      </c>
      <c r="LH122" s="32">
        <f t="shared" ref="LH122" si="549">1/(1+$C$3)^LH121</f>
        <v>0.1326253119641578</v>
      </c>
      <c r="LI122" s="32">
        <f t="shared" ref="LI122" si="550">1/(1+$C$3)^LI121</f>
        <v>0.13177745187100029</v>
      </c>
      <c r="LJ122" s="32">
        <f t="shared" ref="LJ122" si="551">1/(1+$C$3)^LJ121</f>
        <v>0.13093501206094646</v>
      </c>
      <c r="LK122" s="32">
        <f t="shared" ref="LK122" si="552">1/(1+$C$3)^LK121</f>
        <v>0.13009795788267933</v>
      </c>
      <c r="LL122" s="32">
        <f t="shared" ref="LL122" si="553">1/(1+$C$3)^LL121</f>
        <v>0.12926625490640417</v>
      </c>
      <c r="LM122" s="32">
        <f t="shared" ref="LM122" si="554">1/(1+$C$3)^LM121</f>
        <v>0.12843986892243237</v>
      </c>
      <c r="LN122" s="32">
        <f t="shared" ref="LN122" si="555">1/(1+$C$3)^LN121</f>
        <v>0.12761876593977436</v>
      </c>
      <c r="LO122" s="32">
        <f t="shared" ref="LO122" si="556">1/(1+$C$3)^LO121</f>
        <v>0.1268029121847416</v>
      </c>
      <c r="LP122" s="32">
        <f t="shared" ref="LP122" si="557">1/(1+$C$3)^LP121</f>
        <v>0.12599227409955724</v>
      </c>
      <c r="LQ122" s="32">
        <f t="shared" ref="LQ122" si="558">1/(1+$C$3)^LQ121</f>
        <v>0.12518681834097589</v>
      </c>
      <c r="LR122" s="32">
        <f t="shared" ref="LR122" si="559">1/(1+$C$3)^LR121</f>
        <v>0.12438651177891205</v>
      </c>
      <c r="LS122" s="32">
        <f t="shared" ref="LS122" si="560">1/(1+$C$3)^LS121</f>
        <v>0.12359132149507761</v>
      </c>
      <c r="LT122" s="32">
        <f t="shared" ref="LT122" si="561">1/(1+$C$3)^LT121</f>
        <v>0.1228012147816276</v>
      </c>
      <c r="LU122" s="32">
        <f t="shared" ref="LU122" si="562">1/(1+$C$3)^LU121</f>
        <v>0.12201615913981509</v>
      </c>
      <c r="LV122" s="32">
        <f t="shared" ref="LV122" si="563">1/(1+$C$3)^LV121</f>
        <v>0.12123612227865414</v>
      </c>
      <c r="LW122" s="32">
        <f t="shared" ref="LW122" si="564">1/(1+$C$3)^LW121</f>
        <v>0.120461072113592</v>
      </c>
      <c r="LX122" s="32">
        <f t="shared" ref="LX122" si="565">1/(1+$C$3)^LX121</f>
        <v>0.11969097676518906</v>
      </c>
      <c r="LY122" s="32">
        <f t="shared" ref="LY122" si="566">1/(1+$C$3)^LY121</f>
        <v>0.11892580455780774</v>
      </c>
      <c r="LZ122" s="32">
        <f t="shared" ref="LZ122" si="567">1/(1+$C$3)^LZ121</f>
        <v>0.1181655240183096</v>
      </c>
      <c r="MA122" s="32">
        <f t="shared" ref="MA122" si="568">1/(1+$C$3)^MA121</f>
        <v>0.11741010387476077</v>
      </c>
      <c r="MB122" s="32">
        <f t="shared" ref="MB122" si="569">1/(1+$C$3)^MB121</f>
        <v>0.11665951305514562</v>
      </c>
      <c r="MC122" s="32">
        <f t="shared" ref="MC122" si="570">1/(1+$C$3)^MC121</f>
        <v>0.11591372068608882</v>
      </c>
      <c r="MD122" s="32">
        <f t="shared" ref="MD122" si="571">1/(1+$C$3)^MD121</f>
        <v>0.11517269609158527</v>
      </c>
      <c r="ME122" s="32">
        <f t="shared" ref="ME122" si="572">1/(1+$C$3)^ME121</f>
        <v>0.11443640879173855</v>
      </c>
      <c r="MF122" s="32">
        <f t="shared" ref="MF122" si="573">1/(1+$C$3)^MF121</f>
        <v>0.11370482850150708</v>
      </c>
      <c r="MG122" s="32">
        <f t="shared" ref="MG122" si="574">1/(1+$C$3)^MG121</f>
        <v>0.11297792512945844</v>
      </c>
      <c r="MH122" s="32">
        <f t="shared" ref="MH122" si="575">1/(1+$C$3)^MH121</f>
        <v>0.11225566877653163</v>
      </c>
      <c r="MI122" s="32">
        <f t="shared" ref="MI122" si="576">1/(1+$C$3)^MI121</f>
        <v>0.11153802973480746</v>
      </c>
      <c r="MJ122" s="32">
        <f t="shared" ref="MJ122" si="577">1/(1+$C$3)^MJ121</f>
        <v>0.11082497848628618</v>
      </c>
      <c r="MK122" s="32">
        <f t="shared" ref="MK122" si="578">1/(1+$C$3)^MK121</f>
        <v>0.11011648570167384</v>
      </c>
      <c r="ML122" s="32">
        <f t="shared" ref="ML122" si="579">1/(1+$C$3)^ML121</f>
        <v>0.10941252223917555</v>
      </c>
      <c r="MM122" s="32">
        <f t="shared" ref="MM122" si="580">1/(1+$C$3)^MM121</f>
        <v>0.10871305914329701</v>
      </c>
      <c r="MN122" s="32">
        <f t="shared" ref="MN122" si="581">1/(1+$C$3)^MN121</f>
        <v>0.10801806764365336</v>
      </c>
      <c r="MO122" s="32">
        <f t="shared" ref="MO122" si="582">1/(1+$C$3)^MO121</f>
        <v>0.10732751915378595</v>
      </c>
      <c r="MP122" s="32">
        <f t="shared" ref="MP122" si="583">1/(1+$C$3)^MP121</f>
        <v>0.10664138526998634</v>
      </c>
      <c r="MQ122" s="32">
        <f t="shared" ref="MQ122" si="584">1/(1+$C$3)^MQ121</f>
        <v>0.10595963777012829</v>
      </c>
      <c r="MR122" s="32">
        <f t="shared" ref="MR122" si="585">1/(1+$C$3)^MR121</f>
        <v>0.10528224861250655</v>
      </c>
      <c r="MS122" s="32">
        <f t="shared" ref="MS122" si="586">1/(1+$C$3)^MS121</f>
        <v>0.10460918993468375</v>
      </c>
      <c r="MT122" s="32">
        <f t="shared" ref="MT122" si="587">1/(1+$C$3)^MT121</f>
        <v>0.10394043405234416</v>
      </c>
      <c r="MU122" s="32">
        <f t="shared" ref="MU122" si="588">1/(1+$C$3)^MU121</f>
        <v>0.10327595345815506</v>
      </c>
      <c r="MV122" s="32">
        <f t="shared" ref="MV122" si="589">1/(1+$C$3)^MV121</f>
        <v>0.10261572082063539</v>
      </c>
      <c r="MW122" s="32">
        <f t="shared" ref="MW122" si="590">1/(1+$C$3)^MW121</f>
        <v>0.10195970898303136</v>
      </c>
      <c r="MX122" s="32">
        <f t="shared" ref="MX122" si="591">1/(1+$C$3)^MX121</f>
        <v>0.10130789096219962</v>
      </c>
      <c r="MY122" s="32">
        <f t="shared" ref="MY122" si="592">1/(1+$C$3)^MY121</f>
        <v>0.10066023994749727</v>
      </c>
      <c r="MZ122" s="32">
        <f t="shared" ref="MZ122" si="593">1/(1+$C$3)^MZ121</f>
        <v>0.10001672929967906</v>
      </c>
      <c r="NA122" s="32">
        <f t="shared" ref="NA122" si="594">1/(1+$C$3)^NA121</f>
        <v>9.93773325498018E-2</v>
      </c>
      <c r="NB122" s="32">
        <f t="shared" ref="NB122" si="595">1/(1+$C$3)^NB121</f>
        <v>9.8742023398135537E-2</v>
      </c>
      <c r="NC122" s="32">
        <f t="shared" ref="NC122" si="596">1/(1+$C$3)^NC121</f>
        <v>9.8110775713081785E-2</v>
      </c>
      <c r="ND122" s="32">
        <f t="shared" ref="ND122" si="597">1/(1+$C$3)^ND121</f>
        <v>9.7483563530098669E-2</v>
      </c>
      <c r="NE122" s="32">
        <f t="shared" ref="NE122" si="598">1/(1+$C$3)^NE121</f>
        <v>9.6860361050633115E-2</v>
      </c>
      <c r="NF122" s="32">
        <f t="shared" ref="NF122" si="599">1/(1+$C$3)^NF121</f>
        <v>9.6241142641059374E-2</v>
      </c>
      <c r="NG122" s="32">
        <f t="shared" ref="NG122" si="600">1/(1+$C$3)^NG121</f>
        <v>9.5625882831625056E-2</v>
      </c>
      <c r="NH122" s="32">
        <f t="shared" ref="NH122" si="601">1/(1+$C$3)^NH121</f>
        <v>9.501455631540312E-2</v>
      </c>
      <c r="NI122" s="32">
        <f t="shared" ref="NI122" si="602">1/(1+$C$3)^NI121</f>
        <v>9.4407137947251293E-2</v>
      </c>
      <c r="NJ122" s="32">
        <f t="shared" ref="NJ122" si="603">1/(1+$C$3)^NJ121</f>
        <v>9.380360274277745E-2</v>
      </c>
      <c r="NK122" s="32">
        <f t="shared" ref="NK122" si="604">1/(1+$C$3)^NK121</f>
        <v>9.3203925877312285E-2</v>
      </c>
      <c r="NL122" s="32">
        <f t="shared" ref="NL122" si="605">1/(1+$C$3)^NL121</f>
        <v>9.2608082684888016E-2</v>
      </c>
      <c r="NM122" s="32">
        <f t="shared" ref="NM122" si="606">1/(1+$C$3)^NM121</f>
        <v>9.2016048657223931E-2</v>
      </c>
      <c r="NN122" s="32">
        <f t="shared" ref="NN122" si="607">1/(1+$C$3)^NN121</f>
        <v>9.1427799442718102E-2</v>
      </c>
      <c r="NO122" s="32">
        <f t="shared" ref="NO122" si="608">1/(1+$C$3)^NO121</f>
        <v>9.0843310845446112E-2</v>
      </c>
      <c r="NP122" s="32">
        <f t="shared" ref="NP122" si="609">1/(1+$C$3)^NP121</f>
        <v>9.0262558824165451E-2</v>
      </c>
      <c r="NQ122" s="32">
        <f t="shared" ref="NQ122" si="610">1/(1+$C$3)^NQ121</f>
        <v>8.968551949132697E-2</v>
      </c>
      <c r="NR122" s="32">
        <f t="shared" ref="NR122" si="611">1/(1+$C$3)^NR121</f>
        <v>8.9112169112092049E-2</v>
      </c>
      <c r="NS122" s="32">
        <f t="shared" ref="NS122" si="612">1/(1+$C$3)^NS121</f>
        <v>8.8542484103356536E-2</v>
      </c>
      <c r="NT122" s="32">
        <f t="shared" ref="NT122" si="613">1/(1+$C$3)^NT121</f>
        <v>8.7976441032780697E-2</v>
      </c>
      <c r="NU122" s="32">
        <f t="shared" ref="NU122" si="614">1/(1+$C$3)^NU121</f>
        <v>8.7414016617825274E-2</v>
      </c>
      <c r="NV122" s="32">
        <f t="shared" ref="NV122" si="615">1/(1+$C$3)^NV121</f>
        <v>8.6855187724793934E-2</v>
      </c>
      <c r="NW122" s="32">
        <f t="shared" ref="NW122" si="616">1/(1+$C$3)^NW121</f>
        <v>8.6299931367881735E-2</v>
      </c>
      <c r="NX122" s="32">
        <f t="shared" ref="NX122" si="617">1/(1+$C$3)^NX121</f>
        <v>8.5748224708229667E-2</v>
      </c>
      <c r="NY122" s="32">
        <f t="shared" ref="NY122" si="618">1/(1+$C$3)^NY121</f>
        <v>8.5200045052985118E-2</v>
      </c>
      <c r="NZ122" s="32">
        <f t="shared" ref="NZ122" si="619">1/(1+$C$3)^NZ121</f>
        <v>8.4655369854368626E-2</v>
      </c>
      <c r="OA122" s="32">
        <f t="shared" ref="OA122" si="620">1/(1+$C$3)^OA121</f>
        <v>8.4114176708746408E-2</v>
      </c>
      <c r="OB122" s="32">
        <f t="shared" ref="OB122" si="621">1/(1+$C$3)^OB121</f>
        <v>8.3576443355708796E-2</v>
      </c>
      <c r="OC122" s="32">
        <f t="shared" ref="OC122" si="622">1/(1+$C$3)^OC121</f>
        <v>8.3042147677154621E-2</v>
      </c>
      <c r="OD122" s="32">
        <f t="shared" ref="OD122" si="623">1/(1+$C$3)^OD121</f>
        <v>8.2511267696381535E-2</v>
      </c>
      <c r="OE122" s="32">
        <f t="shared" ref="OE122" si="624">1/(1+$C$3)^OE121</f>
        <v>8.1983781577182002E-2</v>
      </c>
      <c r="OF122" s="32">
        <f t="shared" ref="OF122" si="625">1/(1+$C$3)^OF121</f>
        <v>8.1459667622945098E-2</v>
      </c>
      <c r="OG122" s="32">
        <f t="shared" ref="OG122" si="626">1/(1+$C$3)^OG121</f>
        <v>8.0938904275764154E-2</v>
      </c>
      <c r="OH122" s="32">
        <f t="shared" ref="OH122" si="627">1/(1+$C$3)^OH121</f>
        <v>8.0421470115549953E-2</v>
      </c>
      <c r="OI122" s="32">
        <f t="shared" ref="OI122" si="628">1/(1+$C$3)^OI121</f>
        <v>7.9907343859149799E-2</v>
      </c>
      <c r="OJ122" s="32">
        <f t="shared" ref="OJ122" si="629">1/(1+$C$3)^OJ121</f>
        <v>7.9396504359471931E-2</v>
      </c>
      <c r="OK122" s="32">
        <f t="shared" ref="OK122" si="630">1/(1+$C$3)^OK121</f>
        <v>7.8888930604615853E-2</v>
      </c>
      <c r="OL122" s="32">
        <f t="shared" ref="OL122" si="631">1/(1+$C$3)^OL121</f>
        <v>7.8384601717007993E-2</v>
      </c>
      <c r="OM122" s="32">
        <f t="shared" ref="OM122" si="632">1/(1+$C$3)^OM121</f>
        <v>7.7883496952542972E-2</v>
      </c>
      <c r="ON122" s="32">
        <f t="shared" ref="ON122" si="633">1/(1+$C$3)^ON121</f>
        <v>7.7385595699730358E-2</v>
      </c>
      <c r="OO122" s="32">
        <f t="shared" ref="OO122" si="634">1/(1+$C$3)^OO121</f>
        <v>7.6890877478846875E-2</v>
      </c>
      <c r="OP122" s="32">
        <f t="shared" ref="OP122" si="635">1/(1+$C$3)^OP121</f>
        <v>7.6399321941094042E-2</v>
      </c>
      <c r="OQ122" s="32">
        <f t="shared" ref="OQ122" si="636">1/(1+$C$3)^OQ121</f>
        <v>7.5910908867761126E-2</v>
      </c>
      <c r="OR122" s="32">
        <f t="shared" ref="OR122" si="637">1/(1+$C$3)^OR121</f>
        <v>7.5425618169393624E-2</v>
      </c>
      <c r="OS122" s="32">
        <f t="shared" ref="OS122" si="638">1/(1+$C$3)^OS121</f>
        <v>7.4943429884966828E-2</v>
      </c>
      <c r="OT122" s="32">
        <f t="shared" ref="OT122" si="639">1/(1+$C$3)^OT121</f>
        <v>7.4464324181064787E-2</v>
      </c>
      <c r="OU122" s="32">
        <f t="shared" ref="OU122" si="640">1/(1+$C$3)^OU121</f>
        <v>7.3988281351064639E-2</v>
      </c>
      <c r="OV122" s="32">
        <f t="shared" ref="OV122" si="641">1/(1+$C$3)^OV121</f>
        <v>7.3515281814325859E-2</v>
      </c>
      <c r="OW122" s="32">
        <f t="shared" ref="OW122" si="642">1/(1+$C$3)^OW121</f>
        <v>7.3045306115385067E-2</v>
      </c>
      <c r="OX122" s="32">
        <f t="shared" ref="OX122" si="643">1/(1+$C$3)^OX121</f>
        <v>7.257833492315556E-2</v>
      </c>
      <c r="OY122" s="32">
        <f t="shared" ref="OY122" si="644">1/(1+$C$3)^OY121</f>
        <v>7.2114349030132391E-2</v>
      </c>
      <c r="OZ122" s="32">
        <f t="shared" ref="OZ122" si="645">1/(1+$C$3)^OZ121</f>
        <v>7.1653329351602194E-2</v>
      </c>
      <c r="PA122" s="32">
        <f t="shared" ref="PA122" si="646">1/(1+$C$3)^PA121</f>
        <v>7.119525692485823E-2</v>
      </c>
      <c r="PB122" s="32">
        <f t="shared" ref="PB122" si="647">1/(1+$C$3)^PB121</f>
        <v>7.0740112908420388E-2</v>
      </c>
      <c r="PC122" s="32">
        <f t="shared" ref="PC122" si="648">1/(1+$C$3)^PC121</f>
        <v>7.0287878581260302E-2</v>
      </c>
      <c r="PD122" s="32">
        <f t="shared" ref="PD122" si="649">1/(1+$C$3)^PD121</f>
        <v>6.9838535342031147E-2</v>
      </c>
      <c r="PE122" s="32">
        <f t="shared" ref="PE122" si="650">1/(1+$C$3)^PE121</f>
        <v>6.9392064708302628E-2</v>
      </c>
      <c r="PF122" s="32">
        <f t="shared" ref="PF122" si="651">1/(1+$C$3)^PF121</f>
        <v>6.8948448315800756E-2</v>
      </c>
      <c r="PG122" s="32">
        <f t="shared" ref="PG122" si="652">1/(1+$C$3)^PG121</f>
        <v>6.8507667917652462E-2</v>
      </c>
      <c r="PH122" s="32">
        <f t="shared" ref="PH122" si="653">1/(1+$C$3)^PH121</f>
        <v>6.8069705383635076E-2</v>
      </c>
      <c r="PI122" s="32">
        <f t="shared" ref="PI122" si="654">1/(1+$C$3)^PI121</f>
        <v>6.763454269943063E-2</v>
      </c>
      <c r="PJ122" s="32">
        <f t="shared" ref="PJ122" si="655">1/(1+$C$3)^PJ121</f>
        <v>6.7202161965884799E-2</v>
      </c>
      <c r="PK122" s="32">
        <f t="shared" ref="PK122" si="656">1/(1+$C$3)^PK121</f>
        <v>6.6772545398270766E-2</v>
      </c>
      <c r="PL122" s="32">
        <f t="shared" ref="PL122" si="657">1/(1+$C$3)^PL121</f>
        <v>6.6345675325557588E-2</v>
      </c>
      <c r="PM122" s="32">
        <f t="shared" ref="PM122" si="658">1/(1+$C$3)^PM121</f>
        <v>6.5921534189683564E-2</v>
      </c>
      <c r="PN122" s="32">
        <f t="shared" ref="PN122" si="659">1/(1+$C$3)^PN121</f>
        <v>6.5500104544833723E-2</v>
      </c>
      <c r="PO122" s="32">
        <f t="shared" ref="PO122" si="660">1/(1+$C$3)^PO121</f>
        <v>6.5081369056722529E-2</v>
      </c>
      <c r="PP122" s="32">
        <f t="shared" ref="PP122" si="661">1/(1+$C$3)^PP121</f>
        <v>6.466531050188068E-2</v>
      </c>
      <c r="PQ122" s="32">
        <f t="shared" ref="PQ122" si="662">1/(1+$C$3)^PQ121</f>
        <v>6.4251911766946876E-2</v>
      </c>
      <c r="PR122" s="32">
        <f t="shared" ref="PR122" si="663">1/(1+$C$3)^PR121</f>
        <v>6.384115584796364E-2</v>
      </c>
      <c r="PS122" s="32">
        <f t="shared" ref="PS122" si="664">1/(1+$C$3)^PS121</f>
        <v>6.3433025849678193E-2</v>
      </c>
      <c r="PT122" s="32">
        <f t="shared" ref="PT122" si="665">1/(1+$C$3)^PT121</f>
        <v>6.3027504984847299E-2</v>
      </c>
      <c r="PU122" s="32">
        <f t="shared" ref="PU122" si="666">1/(1+$C$3)^PU121</f>
        <v>6.2624576573546892E-2</v>
      </c>
      <c r="PV122" s="32">
        <f t="shared" ref="PV122" si="667">1/(1+$C$3)^PV121</f>
        <v>6.2224224042485926E-2</v>
      </c>
      <c r="PW122" s="32">
        <f t="shared" ref="PW122" si="668">1/(1+$C$3)^PW121</f>
        <v>6.1826430924324771E-2</v>
      </c>
      <c r="PX122" s="32">
        <f t="shared" ref="PX122" si="669">1/(1+$C$3)^PX121</f>
        <v>6.143118085699778E-2</v>
      </c>
      <c r="PY122" s="32">
        <f t="shared" ref="PY122" si="670">1/(1+$C$3)^PY121</f>
        <v>6.1038457583040343E-2</v>
      </c>
      <c r="PZ122" s="32">
        <f t="shared" ref="PZ122" si="671">1/(1+$C$3)^PZ121</f>
        <v>6.0648244948920127E-2</v>
      </c>
      <c r="QA122" s="32">
        <f t="shared" ref="QA122" si="672">1/(1+$C$3)^QA121</f>
        <v>6.0260526904372724E-2</v>
      </c>
      <c r="QB122" s="32">
        <f t="shared" ref="QB122" si="673">1/(1+$C$3)^QB121</f>
        <v>5.9875287501741391E-2</v>
      </c>
      <c r="QC122" s="32">
        <f t="shared" ref="QC122" si="674">1/(1+$C$3)^QC121</f>
        <v>5.9492510895321198E-2</v>
      </c>
      <c r="QD122" s="32">
        <f t="shared" ref="QD122" si="675">1/(1+$C$3)^QD121</f>
        <v>5.9112181340707094E-2</v>
      </c>
      <c r="QE122" s="32">
        <f t="shared" ref="QE122" si="676">1/(1+$C$3)^QE121</f>
        <v>5.8734283194146489E-2</v>
      </c>
      <c r="QF122" s="32">
        <f t="shared" ref="QF122" si="677">1/(1+$C$3)^QF121</f>
        <v>5.8358800911895659E-2</v>
      </c>
      <c r="QG122" s="32">
        <f t="shared" ref="QG122" si="678">1/(1+$C$3)^QG121</f>
        <v>5.7985719049580463E-2</v>
      </c>
      <c r="QH122" s="32">
        <f t="shared" ref="QH122" si="679">1/(1+$C$3)^QH121</f>
        <v>5.7615022261561046E-2</v>
      </c>
      <c r="QI122" s="32">
        <f t="shared" ref="QI122" si="680">1/(1+$C$3)^QI121</f>
        <v>5.7246695300300722E-2</v>
      </c>
      <c r="QJ122" s="32">
        <f t="shared" ref="QJ122" si="681">1/(1+$C$3)^QJ121</f>
        <v>5.6880723015738696E-2</v>
      </c>
      <c r="QK122" s="32">
        <f t="shared" ref="QK122" si="682">1/(1+$C$3)^QK121</f>
        <v>5.6517090354666989E-2</v>
      </c>
      <c r="QL122" s="32">
        <f t="shared" ref="QL122" si="683">1/(1+$C$3)^QL121</f>
        <v>5.6155782360111227E-2</v>
      </c>
      <c r="QM122" s="32">
        <f t="shared" ref="QM122" si="684">1/(1+$C$3)^QM121</f>
        <v>5.5796784170715479E-2</v>
      </c>
      <c r="QN122" s="32">
        <f t="shared" ref="QN122" si="685">1/(1+$C$3)^QN121</f>
        <v>5.5440081020130941E-2</v>
      </c>
      <c r="QO122" s="32">
        <f t="shared" ref="QO122" si="686">1/(1+$C$3)^QO121</f>
        <v>5.508565823640852E-2</v>
      </c>
      <c r="QP122" s="32">
        <f t="shared" ref="QP122" si="687">1/(1+$C$3)^QP121</f>
        <v>5.473350124139547E-2</v>
      </c>
      <c r="QQ122" s="32">
        <f t="shared" ref="QQ122" si="688">1/(1+$C$3)^QQ121</f>
        <v>5.4383595550135645E-2</v>
      </c>
      <c r="QR122" s="32">
        <f t="shared" ref="QR122" si="689">1/(1+$C$3)^QR121</f>
        <v>5.4035926770273759E-2</v>
      </c>
      <c r="QS122" s="32">
        <f t="shared" ref="QS122" si="690">1/(1+$C$3)^QS121</f>
        <v>5.3690480601463385E-2</v>
      </c>
      <c r="QT122" s="32">
        <f t="shared" ref="QT122" si="691">1/(1+$C$3)^QT121</f>
        <v>5.3347242834778756E-2</v>
      </c>
      <c r="QU122" s="32">
        <f t="shared" ref="QU122" si="692">1/(1+$C$3)^QU121</f>
        <v>5.3006199352130308E-2</v>
      </c>
      <c r="QV122" s="32">
        <f t="shared" ref="QV122" si="693">1/(1+$C$3)^QV121</f>
        <v>5.2667336125683986E-2</v>
      </c>
      <c r="QW122" s="32">
        <f t="shared" ref="QW122" si="694">1/(1+$C$3)^QW121</f>
        <v>5.2330639217284251E-2</v>
      </c>
      <c r="QX122" s="32">
        <f t="shared" ref="QX122" si="695">1/(1+$C$3)^QX121</f>
        <v>5.1996094777880766E-2</v>
      </c>
      <c r="QY122" s="32">
        <f t="shared" ref="QY122" si="696">1/(1+$C$3)^QY121</f>
        <v>5.166368904695879E-2</v>
      </c>
      <c r="QZ122" s="32">
        <f t="shared" ref="QZ122" si="697">1/(1+$C$3)^QZ121</f>
        <v>5.1333408351973087E-2</v>
      </c>
      <c r="RA122" s="32">
        <f t="shared" ref="RA122" si="698">1/(1+$C$3)^RA121</f>
        <v>5.1005239107785684E-2</v>
      </c>
      <c r="RB122" s="32">
        <f t="shared" ref="RB122" si="699">1/(1+$C$3)^RB121</f>
        <v>5.0679167816106936E-2</v>
      </c>
      <c r="RC122" s="32">
        <f t="shared" ref="RC122" si="700">1/(1+$C$3)^RC121</f>
        <v>5.035518106494042E-2</v>
      </c>
      <c r="RD122" s="32">
        <f t="shared" ref="RD122" si="701">1/(1+$C$3)^RD121</f>
        <v>5.0033265528031265E-2</v>
      </c>
      <c r="RE122" s="32">
        <f t="shared" ref="RE122" si="702">1/(1+$C$3)^RE121</f>
        <v>4.9713407964317967E-2</v>
      </c>
      <c r="RF122" s="32">
        <f t="shared" ref="RF122" si="703">1/(1+$C$3)^RF121</f>
        <v>4.939559521738774E-2</v>
      </c>
      <c r="RG122" s="32">
        <f t="shared" ref="RG122" si="704">1/(1+$C$3)^RG121</f>
        <v>4.9079814214935492E-2</v>
      </c>
      <c r="RH122" s="32">
        <f t="shared" ref="RH122" si="705">1/(1+$C$3)^RH121</f>
        <v>4.8766051968225914E-2</v>
      </c>
      <c r="RI122" s="32">
        <f t="shared" ref="RI122" si="706">1/(1+$C$3)^RI121</f>
        <v>4.8454295571559503E-2</v>
      </c>
      <c r="RJ122" s="32">
        <f t="shared" ref="RJ122" si="707">1/(1+$C$3)^RJ121</f>
        <v>4.8144532201741461E-2</v>
      </c>
      <c r="RK122" s="32">
        <f t="shared" ref="RK122" si="708">1/(1+$C$3)^RK121</f>
        <v>4.7836749117554443E-2</v>
      </c>
      <c r="RL122" s="32">
        <f t="shared" ref="RL122" si="709">1/(1+$C$3)^RL121</f>
        <v>4.7530933659234345E-2</v>
      </c>
      <c r="RM122" s="32">
        <f t="shared" ref="RM122" si="710">1/(1+$C$3)^RM121</f>
        <v>4.7227073247949711E-2</v>
      </c>
      <c r="RN122" s="32">
        <f t="shared" ref="RN122" si="711">1/(1+$C$3)^RN121</f>
        <v>4.692515538528419E-2</v>
      </c>
      <c r="RO122" s="32">
        <f t="shared" ref="RO122" si="712">1/(1+$C$3)^RO121</f>
        <v>4.6625167652722614E-2</v>
      </c>
      <c r="RP122" s="32">
        <f t="shared" ref="RP122" si="713">1/(1+$C$3)^RP121</f>
        <v>4.6327097711140068E-2</v>
      </c>
      <c r="RQ122" s="32">
        <f t="shared" ref="RQ122" si="714">1/(1+$C$3)^RQ121</f>
        <v>4.6030933300294417E-2</v>
      </c>
      <c r="RR122" s="32">
        <f t="shared" ref="RR122" si="715">1/(1+$C$3)^RR121</f>
        <v>4.5736662238321998E-2</v>
      </c>
    </row>
    <row r="123" spans="1:486" s="9" customFormat="1">
      <c r="A123" s="137"/>
      <c r="B123" s="220" t="s">
        <v>252</v>
      </c>
      <c r="C123" s="220" t="s">
        <v>253</v>
      </c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2"/>
      <c r="IG123" s="32"/>
      <c r="IH123" s="32"/>
      <c r="II123" s="32"/>
      <c r="IJ123" s="32"/>
      <c r="IK123" s="32"/>
      <c r="IL123" s="32"/>
      <c r="IM123" s="32"/>
      <c r="IN123" s="32"/>
      <c r="IO123" s="32"/>
      <c r="IP123" s="32"/>
      <c r="IQ123" s="32"/>
      <c r="IR123" s="32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  <c r="KE123" s="32"/>
      <c r="KF123" s="32"/>
      <c r="KG123" s="32"/>
      <c r="KH123" s="32"/>
      <c r="KI123" s="32"/>
      <c r="KJ123" s="32"/>
      <c r="KK123" s="32"/>
      <c r="KL123" s="32"/>
      <c r="KM123" s="32"/>
      <c r="KN123" s="32"/>
      <c r="KO123" s="32"/>
      <c r="KP123" s="32"/>
      <c r="KQ123" s="32"/>
      <c r="KR123" s="32"/>
      <c r="KS123" s="32"/>
      <c r="KT123" s="32"/>
      <c r="KU123" s="32"/>
      <c r="KV123" s="32"/>
      <c r="KW123" s="32"/>
      <c r="KX123" s="32"/>
      <c r="KY123" s="32"/>
      <c r="KZ123" s="32"/>
      <c r="LA123" s="32"/>
      <c r="LB123" s="32"/>
      <c r="LC123" s="32"/>
      <c r="LD123" s="32"/>
      <c r="LE123" s="32"/>
      <c r="LF123" s="32"/>
      <c r="LG123" s="32"/>
      <c r="LH123" s="32"/>
      <c r="LI123" s="32"/>
      <c r="LJ123" s="32"/>
      <c r="LK123" s="32"/>
      <c r="LL123" s="32"/>
      <c r="LM123" s="32"/>
      <c r="LN123" s="32"/>
      <c r="LO123" s="32"/>
      <c r="LP123" s="32"/>
      <c r="LQ123" s="32"/>
      <c r="LR123" s="32"/>
      <c r="LS123" s="32"/>
      <c r="LT123" s="32"/>
      <c r="LU123" s="32"/>
      <c r="LV123" s="32"/>
      <c r="LW123" s="32"/>
      <c r="LX123" s="32"/>
      <c r="LY123" s="32"/>
      <c r="LZ123" s="32"/>
      <c r="MA123" s="32"/>
      <c r="MB123" s="32"/>
      <c r="MC123" s="32"/>
      <c r="MD123" s="32"/>
      <c r="ME123" s="32"/>
      <c r="MF123" s="32"/>
      <c r="MG123" s="32"/>
      <c r="MH123" s="32"/>
      <c r="MI123" s="32"/>
      <c r="MJ123" s="32"/>
      <c r="MK123" s="32"/>
      <c r="ML123" s="32"/>
      <c r="MM123" s="32"/>
      <c r="MN123" s="32"/>
      <c r="MO123" s="32"/>
      <c r="MP123" s="32"/>
      <c r="MQ123" s="32"/>
      <c r="MR123" s="32"/>
      <c r="MS123" s="32"/>
      <c r="MT123" s="32"/>
      <c r="MU123" s="32"/>
      <c r="MV123" s="32"/>
      <c r="MW123" s="32"/>
      <c r="MX123" s="32"/>
      <c r="MY123" s="32"/>
      <c r="MZ123" s="32"/>
      <c r="NA123" s="32"/>
      <c r="NB123" s="32"/>
      <c r="NC123" s="32"/>
      <c r="ND123" s="32"/>
      <c r="NE123" s="32"/>
      <c r="NF123" s="32"/>
      <c r="NG123" s="32"/>
      <c r="NH123" s="32"/>
      <c r="NI123" s="32"/>
      <c r="NJ123" s="32"/>
      <c r="NK123" s="32"/>
      <c r="NL123" s="32"/>
      <c r="NM123" s="32"/>
      <c r="NN123" s="32"/>
      <c r="NO123" s="32"/>
      <c r="NP123" s="32"/>
      <c r="NQ123" s="32"/>
      <c r="NR123" s="32"/>
      <c r="NS123" s="32"/>
      <c r="NT123" s="32"/>
      <c r="NU123" s="32"/>
      <c r="NV123" s="32"/>
      <c r="NW123" s="32"/>
      <c r="NX123" s="32"/>
      <c r="NY123" s="32"/>
      <c r="NZ123" s="32"/>
      <c r="OA123" s="32"/>
      <c r="OB123" s="32"/>
      <c r="OC123" s="32"/>
      <c r="OD123" s="32"/>
      <c r="OE123" s="32"/>
      <c r="OF123" s="32"/>
      <c r="OG123" s="32"/>
      <c r="OH123" s="32"/>
      <c r="OI123" s="32"/>
      <c r="OJ123" s="32"/>
      <c r="OK123" s="32"/>
      <c r="OL123" s="32"/>
      <c r="OM123" s="32"/>
      <c r="ON123" s="32"/>
      <c r="OO123" s="32"/>
      <c r="OP123" s="32"/>
      <c r="OQ123" s="32"/>
      <c r="OR123" s="32"/>
      <c r="OS123" s="32"/>
      <c r="OT123" s="32"/>
      <c r="OU123" s="32"/>
      <c r="OV123" s="32"/>
      <c r="OW123" s="32"/>
      <c r="OX123" s="32"/>
      <c r="OY123" s="32"/>
      <c r="OZ123" s="32"/>
      <c r="PA123" s="32"/>
      <c r="PB123" s="32"/>
      <c r="PC123" s="32"/>
      <c r="PD123" s="32"/>
      <c r="PE123" s="32"/>
      <c r="PF123" s="32"/>
      <c r="PG123" s="32"/>
      <c r="PH123" s="32"/>
      <c r="PI123" s="32"/>
      <c r="PJ123" s="32"/>
      <c r="PK123" s="32"/>
      <c r="PL123" s="32"/>
      <c r="PM123" s="32"/>
      <c r="PN123" s="32"/>
      <c r="PO123" s="32"/>
      <c r="PP123" s="32"/>
      <c r="PQ123" s="32"/>
      <c r="PR123" s="32"/>
      <c r="PS123" s="32"/>
      <c r="PT123" s="32"/>
      <c r="PU123" s="32"/>
      <c r="PV123" s="32"/>
      <c r="PW123" s="32"/>
      <c r="PX123" s="32"/>
      <c r="PY123" s="32"/>
      <c r="PZ123" s="32"/>
      <c r="QA123" s="32"/>
      <c r="QB123" s="32"/>
      <c r="QC123" s="32"/>
      <c r="QD123" s="32"/>
      <c r="QE123" s="32"/>
      <c r="QF123" s="32"/>
      <c r="QG123" s="32"/>
      <c r="QH123" s="32"/>
      <c r="QI123" s="32"/>
      <c r="QJ123" s="32"/>
      <c r="QK123" s="32"/>
      <c r="QL123" s="32"/>
      <c r="QM123" s="32"/>
      <c r="QN123" s="32"/>
      <c r="QO123" s="32"/>
      <c r="QP123" s="32"/>
      <c r="QQ123" s="32"/>
      <c r="QR123" s="32"/>
      <c r="QS123" s="32"/>
      <c r="QT123" s="32"/>
      <c r="QU123" s="32"/>
      <c r="QV123" s="32"/>
      <c r="QW123" s="32"/>
      <c r="QX123" s="32"/>
      <c r="QY123" s="32"/>
      <c r="QZ123" s="32"/>
      <c r="RA123" s="32"/>
      <c r="RB123" s="32"/>
      <c r="RC123" s="32"/>
      <c r="RD123" s="32"/>
      <c r="RE123" s="32"/>
      <c r="RF123" s="32"/>
      <c r="RG123" s="32"/>
      <c r="RH123" s="32"/>
      <c r="RI123" s="32"/>
      <c r="RJ123" s="32"/>
      <c r="RK123" s="32"/>
      <c r="RL123" s="32"/>
      <c r="RM123" s="32"/>
      <c r="RN123" s="32"/>
      <c r="RO123" s="32"/>
      <c r="RP123" s="32"/>
      <c r="RQ123" s="32"/>
      <c r="RR123" s="32"/>
    </row>
    <row r="124" spans="1:486" s="9" customFormat="1" ht="28.8">
      <c r="A124" s="132" t="s">
        <v>265</v>
      </c>
      <c r="B124" s="145">
        <f>SUM(E113:RR113)</f>
        <v>10598557605.952982</v>
      </c>
      <c r="C124" s="145">
        <f>SUMPRODUCT(E113:RR113,E$122:RR$122)</f>
        <v>4859565328.3831749</v>
      </c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  <c r="EW124" s="32"/>
      <c r="EX124" s="32"/>
      <c r="EY124" s="32"/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2"/>
      <c r="FP124" s="32"/>
      <c r="FQ124" s="32"/>
      <c r="FR124" s="32"/>
      <c r="FS124" s="32"/>
      <c r="FT124" s="32"/>
      <c r="FU124" s="32"/>
      <c r="FV124" s="32"/>
      <c r="FW124" s="32"/>
      <c r="FX124" s="32"/>
      <c r="FY124" s="32"/>
      <c r="FZ124" s="32"/>
      <c r="GA124" s="32"/>
      <c r="GB124" s="32"/>
      <c r="GC124" s="32"/>
      <c r="GD124" s="32"/>
      <c r="GE124" s="32"/>
      <c r="GF124" s="32"/>
      <c r="GG124" s="32"/>
      <c r="GH124" s="32"/>
      <c r="GI124" s="32"/>
      <c r="GJ124" s="32"/>
      <c r="GK124" s="32"/>
      <c r="GL124" s="32"/>
      <c r="GM124" s="32"/>
      <c r="GN124" s="32"/>
      <c r="GO124" s="32"/>
      <c r="GP124" s="32"/>
      <c r="GQ124" s="32"/>
      <c r="GR124" s="32"/>
      <c r="GS124" s="32"/>
      <c r="GT124" s="32"/>
      <c r="GU124" s="32"/>
      <c r="GV124" s="32"/>
      <c r="GW124" s="32"/>
      <c r="GX124" s="32"/>
      <c r="GY124" s="32"/>
      <c r="GZ124" s="32"/>
      <c r="HA124" s="32"/>
      <c r="HB124" s="32"/>
      <c r="HC124" s="32"/>
      <c r="HD124" s="32"/>
      <c r="HE124" s="32"/>
      <c r="HF124" s="32"/>
      <c r="HG124" s="32"/>
      <c r="HH124" s="32"/>
      <c r="HI124" s="32"/>
      <c r="HJ124" s="32"/>
      <c r="HK124" s="32"/>
      <c r="HL124" s="32"/>
      <c r="HM124" s="32"/>
      <c r="HN124" s="32"/>
      <c r="HO124" s="32"/>
      <c r="HP124" s="32"/>
      <c r="HQ124" s="32"/>
      <c r="HR124" s="32"/>
      <c r="HS124" s="32"/>
      <c r="HT124" s="32"/>
      <c r="HU124" s="32"/>
      <c r="HV124" s="32"/>
      <c r="HW124" s="32"/>
      <c r="HX124" s="32"/>
      <c r="HY124" s="32"/>
      <c r="HZ124" s="32"/>
      <c r="IA124" s="32"/>
      <c r="IB124" s="32"/>
      <c r="IC124" s="32"/>
      <c r="ID124" s="32"/>
      <c r="IE124" s="32"/>
      <c r="IF124" s="32"/>
      <c r="IG124" s="32"/>
      <c r="IH124" s="32"/>
      <c r="II124" s="32"/>
      <c r="IJ124" s="32"/>
      <c r="IK124" s="32"/>
      <c r="IL124" s="32"/>
      <c r="IM124" s="32"/>
      <c r="IN124" s="32"/>
      <c r="IO124" s="32"/>
      <c r="IP124" s="32"/>
      <c r="IQ124" s="32"/>
      <c r="IR124" s="32"/>
      <c r="IS124" s="32"/>
      <c r="IT124" s="32"/>
      <c r="IU124" s="32"/>
      <c r="IV124" s="32"/>
      <c r="IW124" s="32"/>
      <c r="IX124" s="32"/>
      <c r="IY124" s="32"/>
      <c r="IZ124" s="32"/>
      <c r="JA124" s="32"/>
      <c r="JB124" s="32"/>
      <c r="JC124" s="32"/>
      <c r="JD124" s="32"/>
      <c r="JE124" s="32"/>
      <c r="JF124" s="32"/>
      <c r="JG124" s="32"/>
      <c r="JH124" s="32"/>
      <c r="JI124" s="32"/>
      <c r="JJ124" s="32"/>
      <c r="JK124" s="32"/>
      <c r="JL124" s="32"/>
      <c r="JM124" s="32"/>
      <c r="JN124" s="32"/>
      <c r="JO124" s="32"/>
      <c r="JP124" s="32"/>
      <c r="JQ124" s="32"/>
      <c r="JR124" s="32"/>
      <c r="JS124" s="32"/>
      <c r="JT124" s="32"/>
      <c r="JU124" s="32"/>
      <c r="JV124" s="32"/>
      <c r="JW124" s="32"/>
      <c r="JX124" s="32"/>
      <c r="JY124" s="32"/>
      <c r="JZ124" s="32"/>
      <c r="KA124" s="32"/>
      <c r="KB124" s="32"/>
      <c r="KC124" s="32"/>
      <c r="KD124" s="32"/>
      <c r="KE124" s="32"/>
      <c r="KF124" s="32"/>
      <c r="KG124" s="32"/>
      <c r="KH124" s="32"/>
      <c r="KI124" s="32"/>
      <c r="KJ124" s="32"/>
      <c r="KK124" s="32"/>
      <c r="KL124" s="32"/>
      <c r="KM124" s="32"/>
      <c r="KN124" s="32"/>
      <c r="KO124" s="32"/>
      <c r="KP124" s="32"/>
      <c r="KQ124" s="32"/>
      <c r="KR124" s="32"/>
      <c r="KS124" s="32"/>
      <c r="KT124" s="32"/>
      <c r="KU124" s="32"/>
      <c r="KV124" s="32"/>
      <c r="KW124" s="32"/>
      <c r="KX124" s="32"/>
      <c r="KY124" s="32"/>
      <c r="KZ124" s="32"/>
      <c r="LA124" s="32"/>
      <c r="LB124" s="32"/>
      <c r="LC124" s="32"/>
      <c r="LD124" s="32"/>
      <c r="LE124" s="32"/>
      <c r="LF124" s="32"/>
      <c r="LG124" s="32"/>
      <c r="LH124" s="32"/>
      <c r="LI124" s="32"/>
      <c r="LJ124" s="32"/>
      <c r="LK124" s="32"/>
      <c r="LL124" s="32"/>
      <c r="LM124" s="32"/>
      <c r="LN124" s="32"/>
      <c r="LO124" s="32"/>
      <c r="LP124" s="32"/>
      <c r="LQ124" s="32"/>
      <c r="LR124" s="32"/>
      <c r="LS124" s="32"/>
      <c r="LT124" s="32"/>
      <c r="LU124" s="32"/>
      <c r="LV124" s="32"/>
      <c r="LW124" s="32"/>
      <c r="LX124" s="32"/>
      <c r="LY124" s="32"/>
      <c r="LZ124" s="32"/>
      <c r="MA124" s="32"/>
      <c r="MB124" s="32"/>
      <c r="MC124" s="32"/>
      <c r="MD124" s="32"/>
      <c r="ME124" s="32"/>
      <c r="MF124" s="32"/>
      <c r="MG124" s="32"/>
      <c r="MH124" s="32"/>
      <c r="MI124" s="32"/>
      <c r="MJ124" s="32"/>
      <c r="MK124" s="32"/>
      <c r="ML124" s="32"/>
      <c r="MM124" s="32"/>
      <c r="MN124" s="32"/>
      <c r="MO124" s="32"/>
      <c r="MP124" s="32"/>
      <c r="MQ124" s="32"/>
      <c r="MR124" s="32"/>
      <c r="MS124" s="32"/>
      <c r="MT124" s="32"/>
      <c r="MU124" s="32"/>
      <c r="MV124" s="32"/>
      <c r="MW124" s="32"/>
      <c r="MX124" s="32"/>
      <c r="MY124" s="32"/>
      <c r="MZ124" s="32"/>
      <c r="NA124" s="32"/>
      <c r="NB124" s="32"/>
      <c r="NC124" s="32"/>
      <c r="ND124" s="32"/>
      <c r="NE124" s="32"/>
      <c r="NF124" s="32"/>
      <c r="NG124" s="32"/>
      <c r="NH124" s="32"/>
      <c r="NI124" s="32"/>
      <c r="NJ124" s="32"/>
      <c r="NK124" s="32"/>
      <c r="NL124" s="32"/>
      <c r="NM124" s="32"/>
      <c r="NN124" s="32"/>
      <c r="NO124" s="32"/>
      <c r="NP124" s="32"/>
      <c r="NQ124" s="32"/>
      <c r="NR124" s="32"/>
      <c r="NS124" s="32"/>
      <c r="NT124" s="32"/>
      <c r="NU124" s="32"/>
      <c r="NV124" s="32"/>
      <c r="NW124" s="32"/>
      <c r="NX124" s="32"/>
      <c r="NY124" s="32"/>
      <c r="NZ124" s="32"/>
      <c r="OA124" s="32"/>
      <c r="OB124" s="32"/>
      <c r="OC124" s="32"/>
      <c r="OD124" s="32"/>
      <c r="OE124" s="32"/>
      <c r="OF124" s="32"/>
      <c r="OG124" s="32"/>
      <c r="OH124" s="32"/>
      <c r="OI124" s="32"/>
      <c r="OJ124" s="32"/>
      <c r="OK124" s="32"/>
      <c r="OL124" s="32"/>
      <c r="OM124" s="32"/>
      <c r="ON124" s="32"/>
      <c r="OO124" s="32"/>
      <c r="OP124" s="32"/>
      <c r="OQ124" s="32"/>
      <c r="OR124" s="32"/>
      <c r="OS124" s="32"/>
      <c r="OT124" s="32"/>
      <c r="OU124" s="32"/>
      <c r="OV124" s="32"/>
      <c r="OW124" s="32"/>
      <c r="OX124" s="32"/>
      <c r="OY124" s="32"/>
      <c r="OZ124" s="32"/>
      <c r="PA124" s="32"/>
      <c r="PB124" s="32"/>
      <c r="PC124" s="32"/>
      <c r="PD124" s="32"/>
      <c r="PE124" s="32"/>
      <c r="PF124" s="32"/>
      <c r="PG124" s="32"/>
      <c r="PH124" s="32"/>
      <c r="PI124" s="32"/>
      <c r="PJ124" s="32"/>
      <c r="PK124" s="32"/>
      <c r="PL124" s="32"/>
      <c r="PM124" s="32"/>
      <c r="PN124" s="32"/>
      <c r="PO124" s="32"/>
      <c r="PP124" s="32"/>
      <c r="PQ124" s="32"/>
      <c r="PR124" s="32"/>
      <c r="PS124" s="32"/>
      <c r="PT124" s="32"/>
      <c r="PU124" s="32"/>
      <c r="PV124" s="32"/>
      <c r="PW124" s="32"/>
      <c r="PX124" s="32"/>
      <c r="PY124" s="32"/>
      <c r="PZ124" s="32"/>
      <c r="QA124" s="32"/>
      <c r="QB124" s="32"/>
      <c r="QC124" s="32"/>
      <c r="QD124" s="32"/>
      <c r="QE124" s="32"/>
      <c r="QF124" s="32"/>
      <c r="QG124" s="32"/>
      <c r="QH124" s="32"/>
      <c r="QI124" s="32"/>
      <c r="QJ124" s="32"/>
      <c r="QK124" s="32"/>
      <c r="QL124" s="32"/>
      <c r="QM124" s="32"/>
      <c r="QN124" s="32"/>
      <c r="QO124" s="32"/>
      <c r="QP124" s="32"/>
      <c r="QQ124" s="32"/>
      <c r="QR124" s="32"/>
      <c r="QS124" s="32"/>
      <c r="QT124" s="32"/>
      <c r="QU124" s="32"/>
      <c r="QV124" s="32"/>
      <c r="QW124" s="32"/>
      <c r="QX124" s="32"/>
      <c r="QY124" s="32"/>
      <c r="QZ124" s="32"/>
      <c r="RA124" s="32"/>
      <c r="RB124" s="32"/>
      <c r="RC124" s="32"/>
      <c r="RD124" s="32"/>
      <c r="RE124" s="32"/>
      <c r="RF124" s="32"/>
      <c r="RG124" s="32"/>
      <c r="RH124" s="32"/>
      <c r="RI124" s="32"/>
      <c r="RJ124" s="32"/>
      <c r="RK124" s="32"/>
      <c r="RL124" s="32"/>
      <c r="RM124" s="32"/>
      <c r="RN124" s="32"/>
      <c r="RO124" s="32"/>
      <c r="RP124" s="32"/>
      <c r="RQ124" s="32"/>
      <c r="RR124" s="32"/>
    </row>
    <row r="125" spans="1:486" s="9" customFormat="1" ht="28.8">
      <c r="A125" s="132" t="s">
        <v>266</v>
      </c>
      <c r="B125" s="145">
        <f ca="1">SUM(E114:RR114)</f>
        <v>23472357450.120037</v>
      </c>
      <c r="C125" s="145">
        <f ca="1">SUMPRODUCT(E114:RR114,E$122:RR$122)</f>
        <v>11608565280.24437</v>
      </c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  <c r="FQ125" s="32"/>
      <c r="FR125" s="32"/>
      <c r="FS125" s="32"/>
      <c r="FT125" s="32"/>
      <c r="FU125" s="32"/>
      <c r="FV125" s="32"/>
      <c r="FW125" s="32"/>
      <c r="FX125" s="32"/>
      <c r="FY125" s="32"/>
      <c r="FZ125" s="32"/>
      <c r="GA125" s="32"/>
      <c r="GB125" s="32"/>
      <c r="GC125" s="32"/>
      <c r="GD125" s="32"/>
      <c r="GE125" s="32"/>
      <c r="GF125" s="32"/>
      <c r="GG125" s="32"/>
      <c r="GH125" s="32"/>
      <c r="GI125" s="32"/>
      <c r="GJ125" s="32"/>
      <c r="GK125" s="32"/>
      <c r="GL125" s="32"/>
      <c r="GM125" s="32"/>
      <c r="GN125" s="32"/>
      <c r="GO125" s="32"/>
      <c r="GP125" s="32"/>
      <c r="GQ125" s="32"/>
      <c r="GR125" s="32"/>
      <c r="GS125" s="32"/>
      <c r="GT125" s="32"/>
      <c r="GU125" s="32"/>
      <c r="GV125" s="32"/>
      <c r="GW125" s="32"/>
      <c r="GX125" s="32"/>
      <c r="GY125" s="32"/>
      <c r="GZ125" s="32"/>
      <c r="HA125" s="32"/>
      <c r="HB125" s="32"/>
      <c r="HC125" s="32"/>
      <c r="HD125" s="32"/>
      <c r="HE125" s="32"/>
      <c r="HF125" s="32"/>
      <c r="HG125" s="32"/>
      <c r="HH125" s="32"/>
      <c r="HI125" s="32"/>
      <c r="HJ125" s="32"/>
      <c r="HK125" s="32"/>
      <c r="HL125" s="32"/>
      <c r="HM125" s="32"/>
      <c r="HN125" s="32"/>
      <c r="HO125" s="32"/>
      <c r="HP125" s="32"/>
      <c r="HQ125" s="32"/>
      <c r="HR125" s="32"/>
      <c r="HS125" s="32"/>
      <c r="HT125" s="32"/>
      <c r="HU125" s="32"/>
      <c r="HV125" s="32"/>
      <c r="HW125" s="32"/>
      <c r="HX125" s="32"/>
      <c r="HY125" s="32"/>
      <c r="HZ125" s="32"/>
      <c r="IA125" s="32"/>
      <c r="IB125" s="32"/>
      <c r="IC125" s="32"/>
      <c r="ID125" s="32"/>
      <c r="IE125" s="32"/>
      <c r="IF125" s="32"/>
      <c r="IG125" s="32"/>
      <c r="IH125" s="32"/>
      <c r="II125" s="32"/>
      <c r="IJ125" s="32"/>
      <c r="IK125" s="32"/>
      <c r="IL125" s="32"/>
      <c r="IM125" s="32"/>
      <c r="IN125" s="32"/>
      <c r="IO125" s="32"/>
      <c r="IP125" s="32"/>
      <c r="IQ125" s="32"/>
      <c r="IR125" s="32"/>
      <c r="IS125" s="32"/>
      <c r="IT125" s="32"/>
      <c r="IU125" s="32"/>
      <c r="IV125" s="32"/>
      <c r="IW125" s="32"/>
      <c r="IX125" s="32"/>
      <c r="IY125" s="32"/>
      <c r="IZ125" s="32"/>
      <c r="JA125" s="32"/>
      <c r="JB125" s="32"/>
      <c r="JC125" s="32"/>
      <c r="JD125" s="32"/>
      <c r="JE125" s="32"/>
      <c r="JF125" s="32"/>
      <c r="JG125" s="32"/>
      <c r="JH125" s="32"/>
      <c r="JI125" s="32"/>
      <c r="JJ125" s="32"/>
      <c r="JK125" s="32"/>
      <c r="JL125" s="32"/>
      <c r="JM125" s="32"/>
      <c r="JN125" s="32"/>
      <c r="JO125" s="32"/>
      <c r="JP125" s="32"/>
      <c r="JQ125" s="32"/>
      <c r="JR125" s="32"/>
      <c r="JS125" s="32"/>
      <c r="JT125" s="32"/>
      <c r="JU125" s="32"/>
      <c r="JV125" s="32"/>
      <c r="JW125" s="32"/>
      <c r="JX125" s="32"/>
      <c r="JY125" s="32"/>
      <c r="JZ125" s="32"/>
      <c r="KA125" s="32"/>
      <c r="KB125" s="32"/>
      <c r="KC125" s="32"/>
      <c r="KD125" s="32"/>
      <c r="KE125" s="32"/>
      <c r="KF125" s="32"/>
      <c r="KG125" s="32"/>
      <c r="KH125" s="32"/>
      <c r="KI125" s="32"/>
      <c r="KJ125" s="32"/>
      <c r="KK125" s="32"/>
      <c r="KL125" s="32"/>
      <c r="KM125" s="32"/>
      <c r="KN125" s="32"/>
      <c r="KO125" s="32"/>
      <c r="KP125" s="32"/>
      <c r="KQ125" s="32"/>
      <c r="KR125" s="32"/>
      <c r="KS125" s="32"/>
      <c r="KT125" s="32"/>
      <c r="KU125" s="32"/>
      <c r="KV125" s="32"/>
      <c r="KW125" s="32"/>
      <c r="KX125" s="32"/>
      <c r="KY125" s="32"/>
      <c r="KZ125" s="32"/>
      <c r="LA125" s="32"/>
      <c r="LB125" s="32"/>
      <c r="LC125" s="32"/>
      <c r="LD125" s="32"/>
      <c r="LE125" s="32"/>
      <c r="LF125" s="32"/>
      <c r="LG125" s="32"/>
      <c r="LH125" s="32"/>
      <c r="LI125" s="32"/>
      <c r="LJ125" s="32"/>
      <c r="LK125" s="32"/>
      <c r="LL125" s="32"/>
      <c r="LM125" s="32"/>
      <c r="LN125" s="32"/>
      <c r="LO125" s="32"/>
      <c r="LP125" s="32"/>
      <c r="LQ125" s="32"/>
      <c r="LR125" s="32"/>
      <c r="LS125" s="32"/>
      <c r="LT125" s="32"/>
      <c r="LU125" s="32"/>
      <c r="LV125" s="32"/>
      <c r="LW125" s="32"/>
      <c r="LX125" s="32"/>
      <c r="LY125" s="32"/>
      <c r="LZ125" s="32"/>
      <c r="MA125" s="32"/>
      <c r="MB125" s="32"/>
      <c r="MC125" s="32"/>
      <c r="MD125" s="32"/>
      <c r="ME125" s="32"/>
      <c r="MF125" s="32"/>
      <c r="MG125" s="32"/>
      <c r="MH125" s="32"/>
      <c r="MI125" s="32"/>
      <c r="MJ125" s="32"/>
      <c r="MK125" s="32"/>
      <c r="ML125" s="32"/>
      <c r="MM125" s="32"/>
      <c r="MN125" s="32"/>
      <c r="MO125" s="32"/>
      <c r="MP125" s="32"/>
      <c r="MQ125" s="32"/>
      <c r="MR125" s="32"/>
      <c r="MS125" s="32"/>
      <c r="MT125" s="32"/>
      <c r="MU125" s="32"/>
      <c r="MV125" s="32"/>
      <c r="MW125" s="32"/>
      <c r="MX125" s="32"/>
      <c r="MY125" s="32"/>
      <c r="MZ125" s="32"/>
      <c r="NA125" s="32"/>
      <c r="NB125" s="32"/>
      <c r="NC125" s="32"/>
      <c r="ND125" s="32"/>
      <c r="NE125" s="32"/>
      <c r="NF125" s="32"/>
      <c r="NG125" s="32"/>
      <c r="NH125" s="32"/>
      <c r="NI125" s="32"/>
      <c r="NJ125" s="32"/>
      <c r="NK125" s="32"/>
      <c r="NL125" s="32"/>
      <c r="NM125" s="32"/>
      <c r="NN125" s="32"/>
      <c r="NO125" s="32"/>
      <c r="NP125" s="32"/>
      <c r="NQ125" s="32"/>
      <c r="NR125" s="32"/>
      <c r="NS125" s="32"/>
      <c r="NT125" s="32"/>
      <c r="NU125" s="32"/>
      <c r="NV125" s="32"/>
      <c r="NW125" s="32"/>
      <c r="NX125" s="32"/>
      <c r="NY125" s="32"/>
      <c r="NZ125" s="32"/>
      <c r="OA125" s="32"/>
      <c r="OB125" s="32"/>
      <c r="OC125" s="32"/>
      <c r="OD125" s="32"/>
      <c r="OE125" s="32"/>
      <c r="OF125" s="32"/>
      <c r="OG125" s="32"/>
      <c r="OH125" s="32"/>
      <c r="OI125" s="32"/>
      <c r="OJ125" s="32"/>
      <c r="OK125" s="32"/>
      <c r="OL125" s="32"/>
      <c r="OM125" s="32"/>
      <c r="ON125" s="32"/>
      <c r="OO125" s="32"/>
      <c r="OP125" s="32"/>
      <c r="OQ125" s="32"/>
      <c r="OR125" s="32"/>
      <c r="OS125" s="32"/>
      <c r="OT125" s="32"/>
      <c r="OU125" s="32"/>
      <c r="OV125" s="32"/>
      <c r="OW125" s="32"/>
      <c r="OX125" s="32"/>
      <c r="OY125" s="32"/>
      <c r="OZ125" s="32"/>
      <c r="PA125" s="32"/>
      <c r="PB125" s="32"/>
      <c r="PC125" s="32"/>
      <c r="PD125" s="32"/>
      <c r="PE125" s="32"/>
      <c r="PF125" s="32"/>
      <c r="PG125" s="32"/>
      <c r="PH125" s="32"/>
      <c r="PI125" s="32"/>
      <c r="PJ125" s="32"/>
      <c r="PK125" s="32"/>
      <c r="PL125" s="32"/>
      <c r="PM125" s="32"/>
      <c r="PN125" s="32"/>
      <c r="PO125" s="32"/>
      <c r="PP125" s="32"/>
      <c r="PQ125" s="32"/>
      <c r="PR125" s="32"/>
      <c r="PS125" s="32"/>
      <c r="PT125" s="32"/>
      <c r="PU125" s="32"/>
      <c r="PV125" s="32"/>
      <c r="PW125" s="32"/>
      <c r="PX125" s="32"/>
      <c r="PY125" s="32"/>
      <c r="PZ125" s="32"/>
      <c r="QA125" s="32"/>
      <c r="QB125" s="32"/>
      <c r="QC125" s="32"/>
      <c r="QD125" s="32"/>
      <c r="QE125" s="32"/>
      <c r="QF125" s="32"/>
      <c r="QG125" s="32"/>
      <c r="QH125" s="32"/>
      <c r="QI125" s="32"/>
      <c r="QJ125" s="32"/>
      <c r="QK125" s="32"/>
      <c r="QL125" s="32"/>
      <c r="QM125" s="32"/>
      <c r="QN125" s="32"/>
      <c r="QO125" s="32"/>
      <c r="QP125" s="32"/>
      <c r="QQ125" s="32"/>
      <c r="QR125" s="32"/>
      <c r="QS125" s="32"/>
      <c r="QT125" s="32"/>
      <c r="QU125" s="32"/>
      <c r="QV125" s="32"/>
      <c r="QW125" s="32"/>
      <c r="QX125" s="32"/>
      <c r="QY125" s="32"/>
      <c r="QZ125" s="32"/>
      <c r="RA125" s="32"/>
      <c r="RB125" s="32"/>
      <c r="RC125" s="32"/>
      <c r="RD125" s="32"/>
      <c r="RE125" s="32"/>
      <c r="RF125" s="32"/>
      <c r="RG125" s="32"/>
      <c r="RH125" s="32"/>
      <c r="RI125" s="32"/>
      <c r="RJ125" s="32"/>
      <c r="RK125" s="32"/>
      <c r="RL125" s="32"/>
      <c r="RM125" s="32"/>
      <c r="RN125" s="32"/>
      <c r="RO125" s="32"/>
      <c r="RP125" s="32"/>
      <c r="RQ125" s="32"/>
      <c r="RR125" s="32"/>
    </row>
    <row r="126" spans="1:486" s="9" customFormat="1" ht="28.8">
      <c r="A126" s="132" t="s">
        <v>267</v>
      </c>
      <c r="B126" s="145">
        <f ca="1">_xll.RiskOutput("Portfolio AB1: Total Expense")+B124+B125</f>
        <v>34070915056.073021</v>
      </c>
      <c r="C126" s="145">
        <f ca="1">_xll.RiskOutput("Portfolio AB1: Total Expense PV")+SUMPRODUCT(E115:RR115,E$122:RR$122)</f>
        <v>16468130608.627541</v>
      </c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  <c r="GR126" s="32"/>
      <c r="GS126" s="32"/>
      <c r="GT126" s="32"/>
      <c r="GU126" s="32"/>
      <c r="GV126" s="32"/>
      <c r="GW126" s="32"/>
      <c r="GX126" s="32"/>
      <c r="GY126" s="32"/>
      <c r="GZ126" s="32"/>
      <c r="HA126" s="32"/>
      <c r="HB126" s="32"/>
      <c r="HC126" s="32"/>
      <c r="HD126" s="32"/>
      <c r="HE126" s="32"/>
      <c r="HF126" s="32"/>
      <c r="HG126" s="32"/>
      <c r="HH126" s="32"/>
      <c r="HI126" s="32"/>
      <c r="HJ126" s="32"/>
      <c r="HK126" s="32"/>
      <c r="HL126" s="32"/>
      <c r="HM126" s="32"/>
      <c r="HN126" s="32"/>
      <c r="HO126" s="32"/>
      <c r="HP126" s="32"/>
      <c r="HQ126" s="32"/>
      <c r="HR126" s="32"/>
      <c r="HS126" s="32"/>
      <c r="HT126" s="32"/>
      <c r="HU126" s="32"/>
      <c r="HV126" s="32"/>
      <c r="HW126" s="32"/>
      <c r="HX126" s="32"/>
      <c r="HY126" s="32"/>
      <c r="HZ126" s="32"/>
      <c r="IA126" s="32"/>
      <c r="IB126" s="32"/>
      <c r="IC126" s="32"/>
      <c r="ID126" s="32"/>
      <c r="IE126" s="32"/>
      <c r="IF126" s="32"/>
      <c r="IG126" s="32"/>
      <c r="IH126" s="32"/>
      <c r="II126" s="32"/>
      <c r="IJ126" s="32"/>
      <c r="IK126" s="32"/>
      <c r="IL126" s="32"/>
      <c r="IM126" s="32"/>
      <c r="IN126" s="32"/>
      <c r="IO126" s="32"/>
      <c r="IP126" s="32"/>
      <c r="IQ126" s="32"/>
      <c r="IR126" s="32"/>
      <c r="IS126" s="32"/>
      <c r="IT126" s="32"/>
      <c r="IU126" s="32"/>
      <c r="IV126" s="32"/>
      <c r="IW126" s="32"/>
      <c r="IX126" s="32"/>
      <c r="IY126" s="32"/>
      <c r="IZ126" s="32"/>
      <c r="JA126" s="32"/>
      <c r="JB126" s="32"/>
      <c r="JC126" s="32"/>
      <c r="JD126" s="32"/>
      <c r="JE126" s="32"/>
      <c r="JF126" s="32"/>
      <c r="JG126" s="32"/>
      <c r="JH126" s="32"/>
      <c r="JI126" s="32"/>
      <c r="JJ126" s="32"/>
      <c r="JK126" s="32"/>
      <c r="JL126" s="32"/>
      <c r="JM126" s="32"/>
      <c r="JN126" s="32"/>
      <c r="JO126" s="32"/>
      <c r="JP126" s="32"/>
      <c r="JQ126" s="32"/>
      <c r="JR126" s="32"/>
      <c r="JS126" s="32"/>
      <c r="JT126" s="32"/>
      <c r="JU126" s="32"/>
      <c r="JV126" s="32"/>
      <c r="JW126" s="32"/>
      <c r="JX126" s="32"/>
      <c r="JY126" s="32"/>
      <c r="JZ126" s="32"/>
      <c r="KA126" s="32"/>
      <c r="KB126" s="32"/>
      <c r="KC126" s="32"/>
      <c r="KD126" s="32"/>
      <c r="KE126" s="32"/>
      <c r="KF126" s="32"/>
      <c r="KG126" s="32"/>
      <c r="KH126" s="32"/>
      <c r="KI126" s="32"/>
      <c r="KJ126" s="32"/>
      <c r="KK126" s="32"/>
      <c r="KL126" s="32"/>
      <c r="KM126" s="32"/>
      <c r="KN126" s="32"/>
      <c r="KO126" s="32"/>
      <c r="KP126" s="32"/>
      <c r="KQ126" s="32"/>
      <c r="KR126" s="32"/>
      <c r="KS126" s="32"/>
      <c r="KT126" s="32"/>
      <c r="KU126" s="32"/>
      <c r="KV126" s="32"/>
      <c r="KW126" s="32"/>
      <c r="KX126" s="32"/>
      <c r="KY126" s="32"/>
      <c r="KZ126" s="32"/>
      <c r="LA126" s="32"/>
      <c r="LB126" s="32"/>
      <c r="LC126" s="32"/>
      <c r="LD126" s="32"/>
      <c r="LE126" s="32"/>
      <c r="LF126" s="32"/>
      <c r="LG126" s="32"/>
      <c r="LH126" s="32"/>
      <c r="LI126" s="32"/>
      <c r="LJ126" s="32"/>
      <c r="LK126" s="32"/>
      <c r="LL126" s="32"/>
      <c r="LM126" s="32"/>
      <c r="LN126" s="32"/>
      <c r="LO126" s="32"/>
      <c r="LP126" s="32"/>
      <c r="LQ126" s="32"/>
      <c r="LR126" s="32"/>
      <c r="LS126" s="32"/>
      <c r="LT126" s="32"/>
      <c r="LU126" s="32"/>
      <c r="LV126" s="32"/>
      <c r="LW126" s="32"/>
      <c r="LX126" s="32"/>
      <c r="LY126" s="32"/>
      <c r="LZ126" s="32"/>
      <c r="MA126" s="32"/>
      <c r="MB126" s="32"/>
      <c r="MC126" s="32"/>
      <c r="MD126" s="32"/>
      <c r="ME126" s="32"/>
      <c r="MF126" s="32"/>
      <c r="MG126" s="32"/>
      <c r="MH126" s="32"/>
      <c r="MI126" s="32"/>
      <c r="MJ126" s="32"/>
      <c r="MK126" s="32"/>
      <c r="ML126" s="32"/>
      <c r="MM126" s="32"/>
      <c r="MN126" s="32"/>
      <c r="MO126" s="32"/>
      <c r="MP126" s="32"/>
      <c r="MQ126" s="32"/>
      <c r="MR126" s="32"/>
      <c r="MS126" s="32"/>
      <c r="MT126" s="32"/>
      <c r="MU126" s="32"/>
      <c r="MV126" s="32"/>
      <c r="MW126" s="32"/>
      <c r="MX126" s="32"/>
      <c r="MY126" s="32"/>
      <c r="MZ126" s="32"/>
      <c r="NA126" s="32"/>
      <c r="NB126" s="32"/>
      <c r="NC126" s="32"/>
      <c r="ND126" s="32"/>
      <c r="NE126" s="32"/>
      <c r="NF126" s="32"/>
      <c r="NG126" s="32"/>
      <c r="NH126" s="32"/>
      <c r="NI126" s="32"/>
      <c r="NJ126" s="32"/>
      <c r="NK126" s="32"/>
      <c r="NL126" s="32"/>
      <c r="NM126" s="32"/>
      <c r="NN126" s="32"/>
      <c r="NO126" s="32"/>
      <c r="NP126" s="32"/>
      <c r="NQ126" s="32"/>
      <c r="NR126" s="32"/>
      <c r="NS126" s="32"/>
      <c r="NT126" s="32"/>
      <c r="NU126" s="32"/>
      <c r="NV126" s="32"/>
      <c r="NW126" s="32"/>
      <c r="NX126" s="32"/>
      <c r="NY126" s="32"/>
      <c r="NZ126" s="32"/>
      <c r="OA126" s="32"/>
      <c r="OB126" s="32"/>
      <c r="OC126" s="32"/>
      <c r="OD126" s="32"/>
      <c r="OE126" s="32"/>
      <c r="OF126" s="32"/>
      <c r="OG126" s="32"/>
      <c r="OH126" s="32"/>
      <c r="OI126" s="32"/>
      <c r="OJ126" s="32"/>
      <c r="OK126" s="32"/>
      <c r="OL126" s="32"/>
      <c r="OM126" s="32"/>
      <c r="ON126" s="32"/>
      <c r="OO126" s="32"/>
      <c r="OP126" s="32"/>
      <c r="OQ126" s="32"/>
      <c r="OR126" s="32"/>
      <c r="OS126" s="32"/>
      <c r="OT126" s="32"/>
      <c r="OU126" s="32"/>
      <c r="OV126" s="32"/>
      <c r="OW126" s="32"/>
      <c r="OX126" s="32"/>
      <c r="OY126" s="32"/>
      <c r="OZ126" s="32"/>
      <c r="PA126" s="32"/>
      <c r="PB126" s="32"/>
      <c r="PC126" s="32"/>
      <c r="PD126" s="32"/>
      <c r="PE126" s="32"/>
      <c r="PF126" s="32"/>
      <c r="PG126" s="32"/>
      <c r="PH126" s="32"/>
      <c r="PI126" s="32"/>
      <c r="PJ126" s="32"/>
      <c r="PK126" s="32"/>
      <c r="PL126" s="32"/>
      <c r="PM126" s="32"/>
      <c r="PN126" s="32"/>
      <c r="PO126" s="32"/>
      <c r="PP126" s="32"/>
      <c r="PQ126" s="32"/>
      <c r="PR126" s="32"/>
      <c r="PS126" s="32"/>
      <c r="PT126" s="32"/>
      <c r="PU126" s="32"/>
      <c r="PV126" s="32"/>
      <c r="PW126" s="32"/>
      <c r="PX126" s="32"/>
      <c r="PY126" s="32"/>
      <c r="PZ126" s="32"/>
      <c r="QA126" s="32"/>
      <c r="QB126" s="32"/>
      <c r="QC126" s="32"/>
      <c r="QD126" s="32"/>
      <c r="QE126" s="32"/>
      <c r="QF126" s="32"/>
      <c r="QG126" s="32"/>
      <c r="QH126" s="32"/>
      <c r="QI126" s="32"/>
      <c r="QJ126" s="32"/>
      <c r="QK126" s="32"/>
      <c r="QL126" s="32"/>
      <c r="QM126" s="32"/>
      <c r="QN126" s="32"/>
      <c r="QO126" s="32"/>
      <c r="QP126" s="32"/>
      <c r="QQ126" s="32"/>
      <c r="QR126" s="32"/>
      <c r="QS126" s="32"/>
      <c r="QT126" s="32"/>
      <c r="QU126" s="32"/>
      <c r="QV126" s="32"/>
      <c r="QW126" s="32"/>
      <c r="QX126" s="32"/>
      <c r="QY126" s="32"/>
      <c r="QZ126" s="32"/>
      <c r="RA126" s="32"/>
      <c r="RB126" s="32"/>
      <c r="RC126" s="32"/>
      <c r="RD126" s="32"/>
      <c r="RE126" s="32"/>
      <c r="RF126" s="32"/>
      <c r="RG126" s="32"/>
      <c r="RH126" s="32"/>
      <c r="RI126" s="32"/>
      <c r="RJ126" s="32"/>
      <c r="RK126" s="32"/>
      <c r="RL126" s="32"/>
      <c r="RM126" s="32"/>
      <c r="RN126" s="32"/>
      <c r="RO126" s="32"/>
      <c r="RP126" s="32"/>
      <c r="RQ126" s="32"/>
      <c r="RR126" s="32"/>
    </row>
    <row r="127" spans="1:486" s="9" customFormat="1">
      <c r="A127" s="132"/>
      <c r="B127" s="41"/>
      <c r="C127" s="146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  <c r="FQ127" s="32"/>
      <c r="FR127" s="32"/>
      <c r="FS127" s="32"/>
      <c r="FT127" s="32"/>
      <c r="FU127" s="32"/>
      <c r="FV127" s="32"/>
      <c r="FW127" s="32"/>
      <c r="FX127" s="32"/>
      <c r="FY127" s="32"/>
      <c r="FZ127" s="32"/>
      <c r="GA127" s="32"/>
      <c r="GB127" s="32"/>
      <c r="GC127" s="32"/>
      <c r="GD127" s="32"/>
      <c r="GE127" s="32"/>
      <c r="GF127" s="32"/>
      <c r="GG127" s="32"/>
      <c r="GH127" s="32"/>
      <c r="GI127" s="32"/>
      <c r="GJ127" s="32"/>
      <c r="GK127" s="32"/>
      <c r="GL127" s="32"/>
      <c r="GM127" s="32"/>
      <c r="GN127" s="32"/>
      <c r="GO127" s="32"/>
      <c r="GP127" s="32"/>
      <c r="GQ127" s="32"/>
      <c r="GR127" s="32"/>
      <c r="GS127" s="32"/>
      <c r="GT127" s="32"/>
      <c r="GU127" s="32"/>
      <c r="GV127" s="32"/>
      <c r="GW127" s="32"/>
      <c r="GX127" s="32"/>
      <c r="GY127" s="32"/>
      <c r="GZ127" s="32"/>
      <c r="HA127" s="32"/>
      <c r="HB127" s="32"/>
      <c r="HC127" s="32"/>
      <c r="HD127" s="32"/>
      <c r="HE127" s="32"/>
      <c r="HF127" s="32"/>
      <c r="HG127" s="32"/>
      <c r="HH127" s="32"/>
      <c r="HI127" s="32"/>
      <c r="HJ127" s="32"/>
      <c r="HK127" s="32"/>
      <c r="HL127" s="32"/>
      <c r="HM127" s="32"/>
      <c r="HN127" s="32"/>
      <c r="HO127" s="32"/>
      <c r="HP127" s="32"/>
      <c r="HQ127" s="32"/>
      <c r="HR127" s="32"/>
      <c r="HS127" s="32"/>
      <c r="HT127" s="32"/>
      <c r="HU127" s="32"/>
      <c r="HV127" s="32"/>
      <c r="HW127" s="32"/>
      <c r="HX127" s="32"/>
      <c r="HY127" s="32"/>
      <c r="HZ127" s="32"/>
      <c r="IA127" s="32"/>
      <c r="IB127" s="32"/>
      <c r="IC127" s="32"/>
      <c r="ID127" s="32"/>
      <c r="IE127" s="32"/>
      <c r="IF127" s="32"/>
      <c r="IG127" s="32"/>
      <c r="IH127" s="32"/>
      <c r="II127" s="32"/>
      <c r="IJ127" s="32"/>
      <c r="IK127" s="32"/>
      <c r="IL127" s="32"/>
      <c r="IM127" s="32"/>
      <c r="IN127" s="32"/>
      <c r="IO127" s="32"/>
      <c r="IP127" s="32"/>
      <c r="IQ127" s="32"/>
      <c r="IR127" s="32"/>
      <c r="IS127" s="32"/>
      <c r="IT127" s="32"/>
      <c r="IU127" s="32"/>
      <c r="IV127" s="32"/>
      <c r="IW127" s="32"/>
      <c r="IX127" s="32"/>
      <c r="IY127" s="32"/>
      <c r="IZ127" s="32"/>
      <c r="JA127" s="32"/>
      <c r="JB127" s="32"/>
      <c r="JC127" s="32"/>
      <c r="JD127" s="32"/>
      <c r="JE127" s="32"/>
      <c r="JF127" s="32"/>
      <c r="JG127" s="32"/>
      <c r="JH127" s="32"/>
      <c r="JI127" s="32"/>
      <c r="JJ127" s="32"/>
      <c r="JK127" s="32"/>
      <c r="JL127" s="32"/>
      <c r="JM127" s="32"/>
      <c r="JN127" s="32"/>
      <c r="JO127" s="32"/>
      <c r="JP127" s="32"/>
      <c r="JQ127" s="32"/>
      <c r="JR127" s="32"/>
      <c r="JS127" s="32"/>
      <c r="JT127" s="32"/>
      <c r="JU127" s="32"/>
      <c r="JV127" s="32"/>
      <c r="JW127" s="32"/>
      <c r="JX127" s="32"/>
      <c r="JY127" s="32"/>
      <c r="JZ127" s="32"/>
      <c r="KA127" s="32"/>
      <c r="KB127" s="32"/>
      <c r="KC127" s="32"/>
      <c r="KD127" s="32"/>
      <c r="KE127" s="32"/>
      <c r="KF127" s="32"/>
      <c r="KG127" s="32"/>
      <c r="KH127" s="32"/>
      <c r="KI127" s="32"/>
      <c r="KJ127" s="32"/>
      <c r="KK127" s="32"/>
      <c r="KL127" s="32"/>
      <c r="KM127" s="32"/>
      <c r="KN127" s="32"/>
      <c r="KO127" s="32"/>
      <c r="KP127" s="32"/>
      <c r="KQ127" s="32"/>
      <c r="KR127" s="32"/>
      <c r="KS127" s="32"/>
      <c r="KT127" s="32"/>
      <c r="KU127" s="32"/>
      <c r="KV127" s="32"/>
      <c r="KW127" s="32"/>
      <c r="KX127" s="32"/>
      <c r="KY127" s="32"/>
      <c r="KZ127" s="32"/>
      <c r="LA127" s="32"/>
      <c r="LB127" s="32"/>
      <c r="LC127" s="32"/>
      <c r="LD127" s="32"/>
      <c r="LE127" s="32"/>
      <c r="LF127" s="32"/>
      <c r="LG127" s="32"/>
      <c r="LH127" s="32"/>
      <c r="LI127" s="32"/>
      <c r="LJ127" s="32"/>
      <c r="LK127" s="32"/>
      <c r="LL127" s="32"/>
      <c r="LM127" s="32"/>
      <c r="LN127" s="32"/>
      <c r="LO127" s="32"/>
      <c r="LP127" s="32"/>
      <c r="LQ127" s="32"/>
      <c r="LR127" s="32"/>
      <c r="LS127" s="32"/>
      <c r="LT127" s="32"/>
      <c r="LU127" s="32"/>
      <c r="LV127" s="32"/>
      <c r="LW127" s="32"/>
      <c r="LX127" s="32"/>
      <c r="LY127" s="32"/>
      <c r="LZ127" s="32"/>
      <c r="MA127" s="32"/>
      <c r="MB127" s="32"/>
      <c r="MC127" s="32"/>
      <c r="MD127" s="32"/>
      <c r="ME127" s="32"/>
      <c r="MF127" s="32"/>
      <c r="MG127" s="32"/>
      <c r="MH127" s="32"/>
      <c r="MI127" s="32"/>
      <c r="MJ127" s="32"/>
      <c r="MK127" s="32"/>
      <c r="ML127" s="32"/>
      <c r="MM127" s="32"/>
      <c r="MN127" s="32"/>
      <c r="MO127" s="32"/>
      <c r="MP127" s="32"/>
      <c r="MQ127" s="32"/>
      <c r="MR127" s="32"/>
      <c r="MS127" s="32"/>
      <c r="MT127" s="32"/>
      <c r="MU127" s="32"/>
      <c r="MV127" s="32"/>
      <c r="MW127" s="32"/>
      <c r="MX127" s="32"/>
      <c r="MY127" s="32"/>
      <c r="MZ127" s="32"/>
      <c r="NA127" s="32"/>
      <c r="NB127" s="32"/>
      <c r="NC127" s="32"/>
      <c r="ND127" s="32"/>
      <c r="NE127" s="32"/>
      <c r="NF127" s="32"/>
      <c r="NG127" s="32"/>
      <c r="NH127" s="32"/>
      <c r="NI127" s="32"/>
      <c r="NJ127" s="32"/>
      <c r="NK127" s="32"/>
      <c r="NL127" s="32"/>
      <c r="NM127" s="32"/>
      <c r="NN127" s="32"/>
      <c r="NO127" s="32"/>
      <c r="NP127" s="32"/>
      <c r="NQ127" s="32"/>
      <c r="NR127" s="32"/>
      <c r="NS127" s="32"/>
      <c r="NT127" s="32"/>
      <c r="NU127" s="32"/>
      <c r="NV127" s="32"/>
      <c r="NW127" s="32"/>
      <c r="NX127" s="32"/>
      <c r="NY127" s="32"/>
      <c r="NZ127" s="32"/>
      <c r="OA127" s="32"/>
      <c r="OB127" s="32"/>
      <c r="OC127" s="32"/>
      <c r="OD127" s="32"/>
      <c r="OE127" s="32"/>
      <c r="OF127" s="32"/>
      <c r="OG127" s="32"/>
      <c r="OH127" s="32"/>
      <c r="OI127" s="32"/>
      <c r="OJ127" s="32"/>
      <c r="OK127" s="32"/>
      <c r="OL127" s="32"/>
      <c r="OM127" s="32"/>
      <c r="ON127" s="32"/>
      <c r="OO127" s="32"/>
      <c r="OP127" s="32"/>
      <c r="OQ127" s="32"/>
      <c r="OR127" s="32"/>
      <c r="OS127" s="32"/>
      <c r="OT127" s="32"/>
      <c r="OU127" s="32"/>
      <c r="OV127" s="32"/>
      <c r="OW127" s="32"/>
      <c r="OX127" s="32"/>
      <c r="OY127" s="32"/>
      <c r="OZ127" s="32"/>
      <c r="PA127" s="32"/>
      <c r="PB127" s="32"/>
      <c r="PC127" s="32"/>
      <c r="PD127" s="32"/>
      <c r="PE127" s="32"/>
      <c r="PF127" s="32"/>
      <c r="PG127" s="32"/>
      <c r="PH127" s="32"/>
      <c r="PI127" s="32"/>
      <c r="PJ127" s="32"/>
      <c r="PK127" s="32"/>
      <c r="PL127" s="32"/>
      <c r="PM127" s="32"/>
      <c r="PN127" s="32"/>
      <c r="PO127" s="32"/>
      <c r="PP127" s="32"/>
      <c r="PQ127" s="32"/>
      <c r="PR127" s="32"/>
      <c r="PS127" s="32"/>
      <c r="PT127" s="32"/>
      <c r="PU127" s="32"/>
      <c r="PV127" s="32"/>
      <c r="PW127" s="32"/>
      <c r="PX127" s="32"/>
      <c r="PY127" s="32"/>
      <c r="PZ127" s="32"/>
      <c r="QA127" s="32"/>
      <c r="QB127" s="32"/>
      <c r="QC127" s="32"/>
      <c r="QD127" s="32"/>
      <c r="QE127" s="32"/>
      <c r="QF127" s="32"/>
      <c r="QG127" s="32"/>
      <c r="QH127" s="32"/>
      <c r="QI127" s="32"/>
      <c r="QJ127" s="32"/>
      <c r="QK127" s="32"/>
      <c r="QL127" s="32"/>
      <c r="QM127" s="32"/>
      <c r="QN127" s="32"/>
      <c r="QO127" s="32"/>
      <c r="QP127" s="32"/>
      <c r="QQ127" s="32"/>
      <c r="QR127" s="32"/>
      <c r="QS127" s="32"/>
      <c r="QT127" s="32"/>
      <c r="QU127" s="32"/>
      <c r="QV127" s="32"/>
      <c r="QW127" s="32"/>
      <c r="QX127" s="32"/>
      <c r="QY127" s="32"/>
      <c r="QZ127" s="32"/>
      <c r="RA127" s="32"/>
      <c r="RB127" s="32"/>
      <c r="RC127" s="32"/>
      <c r="RD127" s="32"/>
      <c r="RE127" s="32"/>
      <c r="RF127" s="32"/>
      <c r="RG127" s="32"/>
      <c r="RH127" s="32"/>
      <c r="RI127" s="32"/>
      <c r="RJ127" s="32"/>
      <c r="RK127" s="32"/>
      <c r="RL127" s="32"/>
      <c r="RM127" s="32"/>
      <c r="RN127" s="32"/>
      <c r="RO127" s="32"/>
      <c r="RP127" s="32"/>
      <c r="RQ127" s="32"/>
      <c r="RR127" s="32"/>
    </row>
    <row r="128" spans="1:486" s="9" customFormat="1" ht="28.8">
      <c r="A128" s="132" t="s">
        <v>268</v>
      </c>
      <c r="B128" s="145">
        <f>SUM(E117:RR117)</f>
        <v>10598557605.952982</v>
      </c>
      <c r="C128" s="145">
        <f>SUMPRODUCT(E117:RR117,E$122:RR$122)</f>
        <v>4859565328.3831749</v>
      </c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  <c r="FK128" s="32"/>
      <c r="FL128" s="32"/>
      <c r="FM128" s="32"/>
      <c r="FN128" s="32"/>
      <c r="FO128" s="32"/>
      <c r="FP128" s="32"/>
      <c r="FQ128" s="32"/>
      <c r="FR128" s="32"/>
      <c r="FS128" s="32"/>
      <c r="FT128" s="32"/>
      <c r="FU128" s="32"/>
      <c r="FV128" s="32"/>
      <c r="FW128" s="32"/>
      <c r="FX128" s="32"/>
      <c r="FY128" s="32"/>
      <c r="FZ128" s="32"/>
      <c r="GA128" s="32"/>
      <c r="GB128" s="32"/>
      <c r="GC128" s="32"/>
      <c r="GD128" s="32"/>
      <c r="GE128" s="32"/>
      <c r="GF128" s="32"/>
      <c r="GG128" s="32"/>
      <c r="GH128" s="32"/>
      <c r="GI128" s="32"/>
      <c r="GJ128" s="32"/>
      <c r="GK128" s="32"/>
      <c r="GL128" s="32"/>
      <c r="GM128" s="32"/>
      <c r="GN128" s="32"/>
      <c r="GO128" s="32"/>
      <c r="GP128" s="32"/>
      <c r="GQ128" s="32"/>
      <c r="GR128" s="32"/>
      <c r="GS128" s="32"/>
      <c r="GT128" s="32"/>
      <c r="GU128" s="32"/>
      <c r="GV128" s="32"/>
      <c r="GW128" s="32"/>
      <c r="GX128" s="32"/>
      <c r="GY128" s="32"/>
      <c r="GZ128" s="32"/>
      <c r="HA128" s="32"/>
      <c r="HB128" s="32"/>
      <c r="HC128" s="32"/>
      <c r="HD128" s="32"/>
      <c r="HE128" s="32"/>
      <c r="HF128" s="32"/>
      <c r="HG128" s="32"/>
      <c r="HH128" s="32"/>
      <c r="HI128" s="32"/>
      <c r="HJ128" s="32"/>
      <c r="HK128" s="32"/>
      <c r="HL128" s="32"/>
      <c r="HM128" s="32"/>
      <c r="HN128" s="32"/>
      <c r="HO128" s="32"/>
      <c r="HP128" s="32"/>
      <c r="HQ128" s="32"/>
      <c r="HR128" s="32"/>
      <c r="HS128" s="32"/>
      <c r="HT128" s="32"/>
      <c r="HU128" s="32"/>
      <c r="HV128" s="32"/>
      <c r="HW128" s="32"/>
      <c r="HX128" s="32"/>
      <c r="HY128" s="32"/>
      <c r="HZ128" s="32"/>
      <c r="IA128" s="32"/>
      <c r="IB128" s="32"/>
      <c r="IC128" s="32"/>
      <c r="ID128" s="32"/>
      <c r="IE128" s="32"/>
      <c r="IF128" s="32"/>
      <c r="IG128" s="32"/>
      <c r="IH128" s="32"/>
      <c r="II128" s="32"/>
      <c r="IJ128" s="32"/>
      <c r="IK128" s="32"/>
      <c r="IL128" s="32"/>
      <c r="IM128" s="32"/>
      <c r="IN128" s="32"/>
      <c r="IO128" s="32"/>
      <c r="IP128" s="32"/>
      <c r="IQ128" s="32"/>
      <c r="IR128" s="32"/>
      <c r="IS128" s="32"/>
      <c r="IT128" s="32"/>
      <c r="IU128" s="32"/>
      <c r="IV128" s="32"/>
      <c r="IW128" s="32"/>
      <c r="IX128" s="32"/>
      <c r="IY128" s="32"/>
      <c r="IZ128" s="32"/>
      <c r="JA128" s="32"/>
      <c r="JB128" s="32"/>
      <c r="JC128" s="32"/>
      <c r="JD128" s="32"/>
      <c r="JE128" s="32"/>
      <c r="JF128" s="32"/>
      <c r="JG128" s="32"/>
      <c r="JH128" s="32"/>
      <c r="JI128" s="32"/>
      <c r="JJ128" s="32"/>
      <c r="JK128" s="32"/>
      <c r="JL128" s="32"/>
      <c r="JM128" s="32"/>
      <c r="JN128" s="32"/>
      <c r="JO128" s="32"/>
      <c r="JP128" s="32"/>
      <c r="JQ128" s="32"/>
      <c r="JR128" s="32"/>
      <c r="JS128" s="32"/>
      <c r="JT128" s="32"/>
      <c r="JU128" s="32"/>
      <c r="JV128" s="32"/>
      <c r="JW128" s="32"/>
      <c r="JX128" s="32"/>
      <c r="JY128" s="32"/>
      <c r="JZ128" s="32"/>
      <c r="KA128" s="32"/>
      <c r="KB128" s="32"/>
      <c r="KC128" s="32"/>
      <c r="KD128" s="32"/>
      <c r="KE128" s="32"/>
      <c r="KF128" s="32"/>
      <c r="KG128" s="32"/>
      <c r="KH128" s="32"/>
      <c r="KI128" s="32"/>
      <c r="KJ128" s="32"/>
      <c r="KK128" s="32"/>
      <c r="KL128" s="32"/>
      <c r="KM128" s="32"/>
      <c r="KN128" s="32"/>
      <c r="KO128" s="32"/>
      <c r="KP128" s="32"/>
      <c r="KQ128" s="32"/>
      <c r="KR128" s="32"/>
      <c r="KS128" s="32"/>
      <c r="KT128" s="32"/>
      <c r="KU128" s="32"/>
      <c r="KV128" s="32"/>
      <c r="KW128" s="32"/>
      <c r="KX128" s="32"/>
      <c r="KY128" s="32"/>
      <c r="KZ128" s="32"/>
      <c r="LA128" s="32"/>
      <c r="LB128" s="32"/>
      <c r="LC128" s="32"/>
      <c r="LD128" s="32"/>
      <c r="LE128" s="32"/>
      <c r="LF128" s="32"/>
      <c r="LG128" s="32"/>
      <c r="LH128" s="32"/>
      <c r="LI128" s="32"/>
      <c r="LJ128" s="32"/>
      <c r="LK128" s="32"/>
      <c r="LL128" s="32"/>
      <c r="LM128" s="32"/>
      <c r="LN128" s="32"/>
      <c r="LO128" s="32"/>
      <c r="LP128" s="32"/>
      <c r="LQ128" s="32"/>
      <c r="LR128" s="32"/>
      <c r="LS128" s="32"/>
      <c r="LT128" s="32"/>
      <c r="LU128" s="32"/>
      <c r="LV128" s="32"/>
      <c r="LW128" s="32"/>
      <c r="LX128" s="32"/>
      <c r="LY128" s="32"/>
      <c r="LZ128" s="32"/>
      <c r="MA128" s="32"/>
      <c r="MB128" s="32"/>
      <c r="MC128" s="32"/>
      <c r="MD128" s="32"/>
      <c r="ME128" s="32"/>
      <c r="MF128" s="32"/>
      <c r="MG128" s="32"/>
      <c r="MH128" s="32"/>
      <c r="MI128" s="32"/>
      <c r="MJ128" s="32"/>
      <c r="MK128" s="32"/>
      <c r="ML128" s="32"/>
      <c r="MM128" s="32"/>
      <c r="MN128" s="32"/>
      <c r="MO128" s="32"/>
      <c r="MP128" s="32"/>
      <c r="MQ128" s="32"/>
      <c r="MR128" s="32"/>
      <c r="MS128" s="32"/>
      <c r="MT128" s="32"/>
      <c r="MU128" s="32"/>
      <c r="MV128" s="32"/>
      <c r="MW128" s="32"/>
      <c r="MX128" s="32"/>
      <c r="MY128" s="32"/>
      <c r="MZ128" s="32"/>
      <c r="NA128" s="32"/>
      <c r="NB128" s="32"/>
      <c r="NC128" s="32"/>
      <c r="ND128" s="32"/>
      <c r="NE128" s="32"/>
      <c r="NF128" s="32"/>
      <c r="NG128" s="32"/>
      <c r="NH128" s="32"/>
      <c r="NI128" s="32"/>
      <c r="NJ128" s="32"/>
      <c r="NK128" s="32"/>
      <c r="NL128" s="32"/>
      <c r="NM128" s="32"/>
      <c r="NN128" s="32"/>
      <c r="NO128" s="32"/>
      <c r="NP128" s="32"/>
      <c r="NQ128" s="32"/>
      <c r="NR128" s="32"/>
      <c r="NS128" s="32"/>
      <c r="NT128" s="32"/>
      <c r="NU128" s="32"/>
      <c r="NV128" s="32"/>
      <c r="NW128" s="32"/>
      <c r="NX128" s="32"/>
      <c r="NY128" s="32"/>
      <c r="NZ128" s="32"/>
      <c r="OA128" s="32"/>
      <c r="OB128" s="32"/>
      <c r="OC128" s="32"/>
      <c r="OD128" s="32"/>
      <c r="OE128" s="32"/>
      <c r="OF128" s="32"/>
      <c r="OG128" s="32"/>
      <c r="OH128" s="32"/>
      <c r="OI128" s="32"/>
      <c r="OJ128" s="32"/>
      <c r="OK128" s="32"/>
      <c r="OL128" s="32"/>
      <c r="OM128" s="32"/>
      <c r="ON128" s="32"/>
      <c r="OO128" s="32"/>
      <c r="OP128" s="32"/>
      <c r="OQ128" s="32"/>
      <c r="OR128" s="32"/>
      <c r="OS128" s="32"/>
      <c r="OT128" s="32"/>
      <c r="OU128" s="32"/>
      <c r="OV128" s="32"/>
      <c r="OW128" s="32"/>
      <c r="OX128" s="32"/>
      <c r="OY128" s="32"/>
      <c r="OZ128" s="32"/>
      <c r="PA128" s="32"/>
      <c r="PB128" s="32"/>
      <c r="PC128" s="32"/>
      <c r="PD128" s="32"/>
      <c r="PE128" s="32"/>
      <c r="PF128" s="32"/>
      <c r="PG128" s="32"/>
      <c r="PH128" s="32"/>
      <c r="PI128" s="32"/>
      <c r="PJ128" s="32"/>
      <c r="PK128" s="32"/>
      <c r="PL128" s="32"/>
      <c r="PM128" s="32"/>
      <c r="PN128" s="32"/>
      <c r="PO128" s="32"/>
      <c r="PP128" s="32"/>
      <c r="PQ128" s="32"/>
      <c r="PR128" s="32"/>
      <c r="PS128" s="32"/>
      <c r="PT128" s="32"/>
      <c r="PU128" s="32"/>
      <c r="PV128" s="32"/>
      <c r="PW128" s="32"/>
      <c r="PX128" s="32"/>
      <c r="PY128" s="32"/>
      <c r="PZ128" s="32"/>
      <c r="QA128" s="32"/>
      <c r="QB128" s="32"/>
      <c r="QC128" s="32"/>
      <c r="QD128" s="32"/>
      <c r="QE128" s="32"/>
      <c r="QF128" s="32"/>
      <c r="QG128" s="32"/>
      <c r="QH128" s="32"/>
      <c r="QI128" s="32"/>
      <c r="QJ128" s="32"/>
      <c r="QK128" s="32"/>
      <c r="QL128" s="32"/>
      <c r="QM128" s="32"/>
      <c r="QN128" s="32"/>
      <c r="QO128" s="32"/>
      <c r="QP128" s="32"/>
      <c r="QQ128" s="32"/>
      <c r="QR128" s="32"/>
      <c r="QS128" s="32"/>
      <c r="QT128" s="32"/>
      <c r="QU128" s="32"/>
      <c r="QV128" s="32"/>
      <c r="QW128" s="32"/>
      <c r="QX128" s="32"/>
      <c r="QY128" s="32"/>
      <c r="QZ128" s="32"/>
      <c r="RA128" s="32"/>
      <c r="RB128" s="32"/>
      <c r="RC128" s="32"/>
      <c r="RD128" s="32"/>
      <c r="RE128" s="32"/>
      <c r="RF128" s="32"/>
      <c r="RG128" s="32"/>
      <c r="RH128" s="32"/>
      <c r="RI128" s="32"/>
      <c r="RJ128" s="32"/>
      <c r="RK128" s="32"/>
      <c r="RL128" s="32"/>
      <c r="RM128" s="32"/>
      <c r="RN128" s="32"/>
      <c r="RO128" s="32"/>
      <c r="RP128" s="32"/>
      <c r="RQ128" s="32"/>
      <c r="RR128" s="32"/>
    </row>
    <row r="129" spans="1:486" s="9" customFormat="1" ht="28.8">
      <c r="A129" s="132" t="s">
        <v>269</v>
      </c>
      <c r="B129" s="145">
        <f t="shared" ref="B129" ca="1" si="716">SUM(E118:RR118)</f>
        <v>14656125990.864733</v>
      </c>
      <c r="C129" s="145">
        <f ca="1">SUMPRODUCT(E118:RR118,E$122:RR$122)</f>
        <v>8268800973.0217543</v>
      </c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  <c r="FQ129" s="32"/>
      <c r="FR129" s="32"/>
      <c r="FS129" s="32"/>
      <c r="FT129" s="32"/>
      <c r="FU129" s="32"/>
      <c r="FV129" s="32"/>
      <c r="FW129" s="32"/>
      <c r="FX129" s="32"/>
      <c r="FY129" s="32"/>
      <c r="FZ129" s="32"/>
      <c r="GA129" s="32"/>
      <c r="GB129" s="32"/>
      <c r="GC129" s="32"/>
      <c r="GD129" s="32"/>
      <c r="GE129" s="32"/>
      <c r="GF129" s="32"/>
      <c r="GG129" s="32"/>
      <c r="GH129" s="32"/>
      <c r="GI129" s="32"/>
      <c r="GJ129" s="32"/>
      <c r="GK129" s="32"/>
      <c r="GL129" s="32"/>
      <c r="GM129" s="32"/>
      <c r="GN129" s="32"/>
      <c r="GO129" s="32"/>
      <c r="GP129" s="32"/>
      <c r="GQ129" s="32"/>
      <c r="GR129" s="32"/>
      <c r="GS129" s="32"/>
      <c r="GT129" s="32"/>
      <c r="GU129" s="32"/>
      <c r="GV129" s="32"/>
      <c r="GW129" s="32"/>
      <c r="GX129" s="32"/>
      <c r="GY129" s="32"/>
      <c r="GZ129" s="32"/>
      <c r="HA129" s="32"/>
      <c r="HB129" s="32"/>
      <c r="HC129" s="32"/>
      <c r="HD129" s="32"/>
      <c r="HE129" s="32"/>
      <c r="HF129" s="32"/>
      <c r="HG129" s="32"/>
      <c r="HH129" s="32"/>
      <c r="HI129" s="32"/>
      <c r="HJ129" s="32"/>
      <c r="HK129" s="32"/>
      <c r="HL129" s="32"/>
      <c r="HM129" s="32"/>
      <c r="HN129" s="32"/>
      <c r="HO129" s="32"/>
      <c r="HP129" s="32"/>
      <c r="HQ129" s="32"/>
      <c r="HR129" s="32"/>
      <c r="HS129" s="32"/>
      <c r="HT129" s="32"/>
      <c r="HU129" s="32"/>
      <c r="HV129" s="32"/>
      <c r="HW129" s="32"/>
      <c r="HX129" s="32"/>
      <c r="HY129" s="32"/>
      <c r="HZ129" s="32"/>
      <c r="IA129" s="32"/>
      <c r="IB129" s="32"/>
      <c r="IC129" s="32"/>
      <c r="ID129" s="32"/>
      <c r="IE129" s="32"/>
      <c r="IF129" s="32"/>
      <c r="IG129" s="32"/>
      <c r="IH129" s="32"/>
      <c r="II129" s="32"/>
      <c r="IJ129" s="32"/>
      <c r="IK129" s="32"/>
      <c r="IL129" s="32"/>
      <c r="IM129" s="32"/>
      <c r="IN129" s="32"/>
      <c r="IO129" s="32"/>
      <c r="IP129" s="32"/>
      <c r="IQ129" s="32"/>
      <c r="IR129" s="32"/>
      <c r="IS129" s="32"/>
      <c r="IT129" s="32"/>
      <c r="IU129" s="32"/>
      <c r="IV129" s="32"/>
      <c r="IW129" s="32"/>
      <c r="IX129" s="32"/>
      <c r="IY129" s="32"/>
      <c r="IZ129" s="32"/>
      <c r="JA129" s="32"/>
      <c r="JB129" s="32"/>
      <c r="JC129" s="32"/>
      <c r="JD129" s="32"/>
      <c r="JE129" s="32"/>
      <c r="JF129" s="32"/>
      <c r="JG129" s="32"/>
      <c r="JH129" s="32"/>
      <c r="JI129" s="32"/>
      <c r="JJ129" s="32"/>
      <c r="JK129" s="32"/>
      <c r="JL129" s="32"/>
      <c r="JM129" s="32"/>
      <c r="JN129" s="32"/>
      <c r="JO129" s="32"/>
      <c r="JP129" s="32"/>
      <c r="JQ129" s="32"/>
      <c r="JR129" s="32"/>
      <c r="JS129" s="32"/>
      <c r="JT129" s="32"/>
      <c r="JU129" s="32"/>
      <c r="JV129" s="32"/>
      <c r="JW129" s="32"/>
      <c r="JX129" s="32"/>
      <c r="JY129" s="32"/>
      <c r="JZ129" s="32"/>
      <c r="KA129" s="32"/>
      <c r="KB129" s="32"/>
      <c r="KC129" s="32"/>
      <c r="KD129" s="32"/>
      <c r="KE129" s="32"/>
      <c r="KF129" s="32"/>
      <c r="KG129" s="32"/>
      <c r="KH129" s="32"/>
      <c r="KI129" s="32"/>
      <c r="KJ129" s="32"/>
      <c r="KK129" s="32"/>
      <c r="KL129" s="32"/>
      <c r="KM129" s="32"/>
      <c r="KN129" s="32"/>
      <c r="KO129" s="32"/>
      <c r="KP129" s="32"/>
      <c r="KQ129" s="32"/>
      <c r="KR129" s="32"/>
      <c r="KS129" s="32"/>
      <c r="KT129" s="32"/>
      <c r="KU129" s="32"/>
      <c r="KV129" s="32"/>
      <c r="KW129" s="32"/>
      <c r="KX129" s="32"/>
      <c r="KY129" s="32"/>
      <c r="KZ129" s="32"/>
      <c r="LA129" s="32"/>
      <c r="LB129" s="32"/>
      <c r="LC129" s="32"/>
      <c r="LD129" s="32"/>
      <c r="LE129" s="32"/>
      <c r="LF129" s="32"/>
      <c r="LG129" s="32"/>
      <c r="LH129" s="32"/>
      <c r="LI129" s="32"/>
      <c r="LJ129" s="32"/>
      <c r="LK129" s="32"/>
      <c r="LL129" s="32"/>
      <c r="LM129" s="32"/>
      <c r="LN129" s="32"/>
      <c r="LO129" s="32"/>
      <c r="LP129" s="32"/>
      <c r="LQ129" s="32"/>
      <c r="LR129" s="32"/>
      <c r="LS129" s="32"/>
      <c r="LT129" s="32"/>
      <c r="LU129" s="32"/>
      <c r="LV129" s="32"/>
      <c r="LW129" s="32"/>
      <c r="LX129" s="32"/>
      <c r="LY129" s="32"/>
      <c r="LZ129" s="32"/>
      <c r="MA129" s="32"/>
      <c r="MB129" s="32"/>
      <c r="MC129" s="32"/>
      <c r="MD129" s="32"/>
      <c r="ME129" s="32"/>
      <c r="MF129" s="32"/>
      <c r="MG129" s="32"/>
      <c r="MH129" s="32"/>
      <c r="MI129" s="32"/>
      <c r="MJ129" s="32"/>
      <c r="MK129" s="32"/>
      <c r="ML129" s="32"/>
      <c r="MM129" s="32"/>
      <c r="MN129" s="32"/>
      <c r="MO129" s="32"/>
      <c r="MP129" s="32"/>
      <c r="MQ129" s="32"/>
      <c r="MR129" s="32"/>
      <c r="MS129" s="32"/>
      <c r="MT129" s="32"/>
      <c r="MU129" s="32"/>
      <c r="MV129" s="32"/>
      <c r="MW129" s="32"/>
      <c r="MX129" s="32"/>
      <c r="MY129" s="32"/>
      <c r="MZ129" s="32"/>
      <c r="NA129" s="32"/>
      <c r="NB129" s="32"/>
      <c r="NC129" s="32"/>
      <c r="ND129" s="32"/>
      <c r="NE129" s="32"/>
      <c r="NF129" s="32"/>
      <c r="NG129" s="32"/>
      <c r="NH129" s="32"/>
      <c r="NI129" s="32"/>
      <c r="NJ129" s="32"/>
      <c r="NK129" s="32"/>
      <c r="NL129" s="32"/>
      <c r="NM129" s="32"/>
      <c r="NN129" s="32"/>
      <c r="NO129" s="32"/>
      <c r="NP129" s="32"/>
      <c r="NQ129" s="32"/>
      <c r="NR129" s="32"/>
      <c r="NS129" s="32"/>
      <c r="NT129" s="32"/>
      <c r="NU129" s="32"/>
      <c r="NV129" s="32"/>
      <c r="NW129" s="32"/>
      <c r="NX129" s="32"/>
      <c r="NY129" s="32"/>
      <c r="NZ129" s="32"/>
      <c r="OA129" s="32"/>
      <c r="OB129" s="32"/>
      <c r="OC129" s="32"/>
      <c r="OD129" s="32"/>
      <c r="OE129" s="32"/>
      <c r="OF129" s="32"/>
      <c r="OG129" s="32"/>
      <c r="OH129" s="32"/>
      <c r="OI129" s="32"/>
      <c r="OJ129" s="32"/>
      <c r="OK129" s="32"/>
      <c r="OL129" s="32"/>
      <c r="OM129" s="32"/>
      <c r="ON129" s="32"/>
      <c r="OO129" s="32"/>
      <c r="OP129" s="32"/>
      <c r="OQ129" s="32"/>
      <c r="OR129" s="32"/>
      <c r="OS129" s="32"/>
      <c r="OT129" s="32"/>
      <c r="OU129" s="32"/>
      <c r="OV129" s="32"/>
      <c r="OW129" s="32"/>
      <c r="OX129" s="32"/>
      <c r="OY129" s="32"/>
      <c r="OZ129" s="32"/>
      <c r="PA129" s="32"/>
      <c r="PB129" s="32"/>
      <c r="PC129" s="32"/>
      <c r="PD129" s="32"/>
      <c r="PE129" s="32"/>
      <c r="PF129" s="32"/>
      <c r="PG129" s="32"/>
      <c r="PH129" s="32"/>
      <c r="PI129" s="32"/>
      <c r="PJ129" s="32"/>
      <c r="PK129" s="32"/>
      <c r="PL129" s="32"/>
      <c r="PM129" s="32"/>
      <c r="PN129" s="32"/>
      <c r="PO129" s="32"/>
      <c r="PP129" s="32"/>
      <c r="PQ129" s="32"/>
      <c r="PR129" s="32"/>
      <c r="PS129" s="32"/>
      <c r="PT129" s="32"/>
      <c r="PU129" s="32"/>
      <c r="PV129" s="32"/>
      <c r="PW129" s="32"/>
      <c r="PX129" s="32"/>
      <c r="PY129" s="32"/>
      <c r="PZ129" s="32"/>
      <c r="QA129" s="32"/>
      <c r="QB129" s="32"/>
      <c r="QC129" s="32"/>
      <c r="QD129" s="32"/>
      <c r="QE129" s="32"/>
      <c r="QF129" s="32"/>
      <c r="QG129" s="32"/>
      <c r="QH129" s="32"/>
      <c r="QI129" s="32"/>
      <c r="QJ129" s="32"/>
      <c r="QK129" s="32"/>
      <c r="QL129" s="32"/>
      <c r="QM129" s="32"/>
      <c r="QN129" s="32"/>
      <c r="QO129" s="32"/>
      <c r="QP129" s="32"/>
      <c r="QQ129" s="32"/>
      <c r="QR129" s="32"/>
      <c r="QS129" s="32"/>
      <c r="QT129" s="32"/>
      <c r="QU129" s="32"/>
      <c r="QV129" s="32"/>
      <c r="QW129" s="32"/>
      <c r="QX129" s="32"/>
      <c r="QY129" s="32"/>
      <c r="QZ129" s="32"/>
      <c r="RA129" s="32"/>
      <c r="RB129" s="32"/>
      <c r="RC129" s="32"/>
      <c r="RD129" s="32"/>
      <c r="RE129" s="32"/>
      <c r="RF129" s="32"/>
      <c r="RG129" s="32"/>
      <c r="RH129" s="32"/>
      <c r="RI129" s="32"/>
      <c r="RJ129" s="32"/>
      <c r="RK129" s="32"/>
      <c r="RL129" s="32"/>
      <c r="RM129" s="32"/>
      <c r="RN129" s="32"/>
      <c r="RO129" s="32"/>
      <c r="RP129" s="32"/>
      <c r="RQ129" s="32"/>
      <c r="RR129" s="32"/>
    </row>
    <row r="130" spans="1:486" s="9" customFormat="1" ht="28.8">
      <c r="A130" s="132" t="s">
        <v>270</v>
      </c>
      <c r="B130" s="145">
        <f ca="1">_xll.RiskOutput("Portfolio AB2: Total Expense")+SUM(E119:RR119)</f>
        <v>25254683596.817692</v>
      </c>
      <c r="C130" s="145">
        <f ca="1">_xll.RiskOutput("Portfolio AB2: Total Expense PV")+SUMPRODUCT(E119:RR119,E$122:RR$122)</f>
        <v>13128366301.404922</v>
      </c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  <c r="FQ130" s="32"/>
      <c r="FR130" s="32"/>
      <c r="FS130" s="32"/>
      <c r="FT130" s="32"/>
      <c r="FU130" s="32"/>
      <c r="FV130" s="32"/>
      <c r="FW130" s="32"/>
      <c r="FX130" s="32"/>
      <c r="FY130" s="32"/>
      <c r="FZ130" s="32"/>
      <c r="GA130" s="32"/>
      <c r="GB130" s="32"/>
      <c r="GC130" s="32"/>
      <c r="GD130" s="32"/>
      <c r="GE130" s="32"/>
      <c r="GF130" s="32"/>
      <c r="GG130" s="32"/>
      <c r="GH130" s="32"/>
      <c r="GI130" s="32"/>
      <c r="GJ130" s="32"/>
      <c r="GK130" s="32"/>
      <c r="GL130" s="32"/>
      <c r="GM130" s="32"/>
      <c r="GN130" s="32"/>
      <c r="GO130" s="32"/>
      <c r="GP130" s="32"/>
      <c r="GQ130" s="32"/>
      <c r="GR130" s="32"/>
      <c r="GS130" s="32"/>
      <c r="GT130" s="32"/>
      <c r="GU130" s="32"/>
      <c r="GV130" s="32"/>
      <c r="GW130" s="32"/>
      <c r="GX130" s="32"/>
      <c r="GY130" s="32"/>
      <c r="GZ130" s="32"/>
      <c r="HA130" s="32"/>
      <c r="HB130" s="32"/>
      <c r="HC130" s="32"/>
      <c r="HD130" s="32"/>
      <c r="HE130" s="32"/>
      <c r="HF130" s="32"/>
      <c r="HG130" s="32"/>
      <c r="HH130" s="32"/>
      <c r="HI130" s="32"/>
      <c r="HJ130" s="32"/>
      <c r="HK130" s="32"/>
      <c r="HL130" s="32"/>
      <c r="HM130" s="32"/>
      <c r="HN130" s="32"/>
      <c r="HO130" s="32"/>
      <c r="HP130" s="32"/>
      <c r="HQ130" s="32"/>
      <c r="HR130" s="32"/>
      <c r="HS130" s="32"/>
      <c r="HT130" s="32"/>
      <c r="HU130" s="32"/>
      <c r="HV130" s="32"/>
      <c r="HW130" s="32"/>
      <c r="HX130" s="32"/>
      <c r="HY130" s="32"/>
      <c r="HZ130" s="32"/>
      <c r="IA130" s="32"/>
      <c r="IB130" s="32"/>
      <c r="IC130" s="32"/>
      <c r="ID130" s="32"/>
      <c r="IE130" s="32"/>
      <c r="IF130" s="32"/>
      <c r="IG130" s="32"/>
      <c r="IH130" s="32"/>
      <c r="II130" s="32"/>
      <c r="IJ130" s="32"/>
      <c r="IK130" s="32"/>
      <c r="IL130" s="32"/>
      <c r="IM130" s="32"/>
      <c r="IN130" s="32"/>
      <c r="IO130" s="32"/>
      <c r="IP130" s="32"/>
      <c r="IQ130" s="32"/>
      <c r="IR130" s="32"/>
      <c r="IS130" s="32"/>
      <c r="IT130" s="32"/>
      <c r="IU130" s="32"/>
      <c r="IV130" s="32"/>
      <c r="IW130" s="32"/>
      <c r="IX130" s="32"/>
      <c r="IY130" s="32"/>
      <c r="IZ130" s="32"/>
      <c r="JA130" s="32"/>
      <c r="JB130" s="32"/>
      <c r="JC130" s="32"/>
      <c r="JD130" s="32"/>
      <c r="JE130" s="32"/>
      <c r="JF130" s="32"/>
      <c r="JG130" s="32"/>
      <c r="JH130" s="32"/>
      <c r="JI130" s="32"/>
      <c r="JJ130" s="32"/>
      <c r="JK130" s="32"/>
      <c r="JL130" s="32"/>
      <c r="JM130" s="32"/>
      <c r="JN130" s="32"/>
      <c r="JO130" s="32"/>
      <c r="JP130" s="32"/>
      <c r="JQ130" s="32"/>
      <c r="JR130" s="32"/>
      <c r="JS130" s="32"/>
      <c r="JT130" s="32"/>
      <c r="JU130" s="32"/>
      <c r="JV130" s="32"/>
      <c r="JW130" s="32"/>
      <c r="JX130" s="32"/>
      <c r="JY130" s="32"/>
      <c r="JZ130" s="32"/>
      <c r="KA130" s="32"/>
      <c r="KB130" s="32"/>
      <c r="KC130" s="32"/>
      <c r="KD130" s="32"/>
      <c r="KE130" s="32"/>
      <c r="KF130" s="32"/>
      <c r="KG130" s="32"/>
      <c r="KH130" s="32"/>
      <c r="KI130" s="32"/>
      <c r="KJ130" s="32"/>
      <c r="KK130" s="32"/>
      <c r="KL130" s="32"/>
      <c r="KM130" s="32"/>
      <c r="KN130" s="32"/>
      <c r="KO130" s="32"/>
      <c r="KP130" s="32"/>
      <c r="KQ130" s="32"/>
      <c r="KR130" s="32"/>
      <c r="KS130" s="32"/>
      <c r="KT130" s="32"/>
      <c r="KU130" s="32"/>
      <c r="KV130" s="32"/>
      <c r="KW130" s="32"/>
      <c r="KX130" s="32"/>
      <c r="KY130" s="32"/>
      <c r="KZ130" s="32"/>
      <c r="LA130" s="32"/>
      <c r="LB130" s="32"/>
      <c r="LC130" s="32"/>
      <c r="LD130" s="32"/>
      <c r="LE130" s="32"/>
      <c r="LF130" s="32"/>
      <c r="LG130" s="32"/>
      <c r="LH130" s="32"/>
      <c r="LI130" s="32"/>
      <c r="LJ130" s="32"/>
      <c r="LK130" s="32"/>
      <c r="LL130" s="32"/>
      <c r="LM130" s="32"/>
      <c r="LN130" s="32"/>
      <c r="LO130" s="32"/>
      <c r="LP130" s="32"/>
      <c r="LQ130" s="32"/>
      <c r="LR130" s="32"/>
      <c r="LS130" s="32"/>
      <c r="LT130" s="32"/>
      <c r="LU130" s="32"/>
      <c r="LV130" s="32"/>
      <c r="LW130" s="32"/>
      <c r="LX130" s="32"/>
      <c r="LY130" s="32"/>
      <c r="LZ130" s="32"/>
      <c r="MA130" s="32"/>
      <c r="MB130" s="32"/>
      <c r="MC130" s="32"/>
      <c r="MD130" s="32"/>
      <c r="ME130" s="32"/>
      <c r="MF130" s="32"/>
      <c r="MG130" s="32"/>
      <c r="MH130" s="32"/>
      <c r="MI130" s="32"/>
      <c r="MJ130" s="32"/>
      <c r="MK130" s="32"/>
      <c r="ML130" s="32"/>
      <c r="MM130" s="32"/>
      <c r="MN130" s="32"/>
      <c r="MO130" s="32"/>
      <c r="MP130" s="32"/>
      <c r="MQ130" s="32"/>
      <c r="MR130" s="32"/>
      <c r="MS130" s="32"/>
      <c r="MT130" s="32"/>
      <c r="MU130" s="32"/>
      <c r="MV130" s="32"/>
      <c r="MW130" s="32"/>
      <c r="MX130" s="32"/>
      <c r="MY130" s="32"/>
      <c r="MZ130" s="32"/>
      <c r="NA130" s="32"/>
      <c r="NB130" s="32"/>
      <c r="NC130" s="32"/>
      <c r="ND130" s="32"/>
      <c r="NE130" s="32"/>
      <c r="NF130" s="32"/>
      <c r="NG130" s="32"/>
      <c r="NH130" s="32"/>
      <c r="NI130" s="32"/>
      <c r="NJ130" s="32"/>
      <c r="NK130" s="32"/>
      <c r="NL130" s="32"/>
      <c r="NM130" s="32"/>
      <c r="NN130" s="32"/>
      <c r="NO130" s="32"/>
      <c r="NP130" s="32"/>
      <c r="NQ130" s="32"/>
      <c r="NR130" s="32"/>
      <c r="NS130" s="32"/>
      <c r="NT130" s="32"/>
      <c r="NU130" s="32"/>
      <c r="NV130" s="32"/>
      <c r="NW130" s="32"/>
      <c r="NX130" s="32"/>
      <c r="NY130" s="32"/>
      <c r="NZ130" s="32"/>
      <c r="OA130" s="32"/>
      <c r="OB130" s="32"/>
      <c r="OC130" s="32"/>
      <c r="OD130" s="32"/>
      <c r="OE130" s="32"/>
      <c r="OF130" s="32"/>
      <c r="OG130" s="32"/>
      <c r="OH130" s="32"/>
      <c r="OI130" s="32"/>
      <c r="OJ130" s="32"/>
      <c r="OK130" s="32"/>
      <c r="OL130" s="32"/>
      <c r="OM130" s="32"/>
      <c r="ON130" s="32"/>
      <c r="OO130" s="32"/>
      <c r="OP130" s="32"/>
      <c r="OQ130" s="32"/>
      <c r="OR130" s="32"/>
      <c r="OS130" s="32"/>
      <c r="OT130" s="32"/>
      <c r="OU130" s="32"/>
      <c r="OV130" s="32"/>
      <c r="OW130" s="32"/>
      <c r="OX130" s="32"/>
      <c r="OY130" s="32"/>
      <c r="OZ130" s="32"/>
      <c r="PA130" s="32"/>
      <c r="PB130" s="32"/>
      <c r="PC130" s="32"/>
      <c r="PD130" s="32"/>
      <c r="PE130" s="32"/>
      <c r="PF130" s="32"/>
      <c r="PG130" s="32"/>
      <c r="PH130" s="32"/>
      <c r="PI130" s="32"/>
      <c r="PJ130" s="32"/>
      <c r="PK130" s="32"/>
      <c r="PL130" s="32"/>
      <c r="PM130" s="32"/>
      <c r="PN130" s="32"/>
      <c r="PO130" s="32"/>
      <c r="PP130" s="32"/>
      <c r="PQ130" s="32"/>
      <c r="PR130" s="32"/>
      <c r="PS130" s="32"/>
      <c r="PT130" s="32"/>
      <c r="PU130" s="32"/>
      <c r="PV130" s="32"/>
      <c r="PW130" s="32"/>
      <c r="PX130" s="32"/>
      <c r="PY130" s="32"/>
      <c r="PZ130" s="32"/>
      <c r="QA130" s="32"/>
      <c r="QB130" s="32"/>
      <c r="QC130" s="32"/>
      <c r="QD130" s="32"/>
      <c r="QE130" s="32"/>
      <c r="QF130" s="32"/>
      <c r="QG130" s="32"/>
      <c r="QH130" s="32"/>
      <c r="QI130" s="32"/>
      <c r="QJ130" s="32"/>
      <c r="QK130" s="32"/>
      <c r="QL130" s="32"/>
      <c r="QM130" s="32"/>
      <c r="QN130" s="32"/>
      <c r="QO130" s="32"/>
      <c r="QP130" s="32"/>
      <c r="QQ130" s="32"/>
      <c r="QR130" s="32"/>
      <c r="QS130" s="32"/>
      <c r="QT130" s="32"/>
      <c r="QU130" s="32"/>
      <c r="QV130" s="32"/>
      <c r="QW130" s="32"/>
      <c r="QX130" s="32"/>
      <c r="QY130" s="32"/>
      <c r="QZ130" s="32"/>
      <c r="RA130" s="32"/>
      <c r="RB130" s="32"/>
      <c r="RC130" s="32"/>
      <c r="RD130" s="32"/>
      <c r="RE130" s="32"/>
      <c r="RF130" s="32"/>
      <c r="RG130" s="32"/>
      <c r="RH130" s="32"/>
      <c r="RI130" s="32"/>
      <c r="RJ130" s="32"/>
      <c r="RK130" s="32"/>
      <c r="RL130" s="32"/>
      <c r="RM130" s="32"/>
      <c r="RN130" s="32"/>
      <c r="RO130" s="32"/>
      <c r="RP130" s="32"/>
      <c r="RQ130" s="32"/>
      <c r="RR130" s="32"/>
    </row>
    <row r="131" spans="1:486" s="9" customFormat="1" ht="15" thickBot="1">
      <c r="A131" s="137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  <c r="GR131" s="32"/>
      <c r="GS131" s="32"/>
      <c r="GT131" s="32"/>
      <c r="GU131" s="32"/>
      <c r="GV131" s="32"/>
      <c r="GW131" s="32"/>
      <c r="GX131" s="32"/>
      <c r="GY131" s="32"/>
      <c r="GZ131" s="32"/>
      <c r="HA131" s="32"/>
      <c r="HB131" s="32"/>
      <c r="HC131" s="32"/>
      <c r="HD131" s="32"/>
      <c r="HE131" s="32"/>
      <c r="HF131" s="32"/>
      <c r="HG131" s="32"/>
      <c r="HH131" s="32"/>
      <c r="HI131" s="32"/>
      <c r="HJ131" s="32"/>
      <c r="HK131" s="32"/>
      <c r="HL131" s="32"/>
      <c r="HM131" s="32"/>
      <c r="HN131" s="32"/>
      <c r="HO131" s="32"/>
      <c r="HP131" s="32"/>
      <c r="HQ131" s="32"/>
      <c r="HR131" s="32"/>
      <c r="HS131" s="32"/>
      <c r="HT131" s="32"/>
      <c r="HU131" s="32"/>
      <c r="HV131" s="32"/>
      <c r="HW131" s="32"/>
      <c r="HX131" s="32"/>
      <c r="HY131" s="32"/>
      <c r="HZ131" s="32"/>
      <c r="IA131" s="32"/>
      <c r="IB131" s="32"/>
      <c r="IC131" s="32"/>
      <c r="ID131" s="32"/>
      <c r="IE131" s="32"/>
      <c r="IF131" s="32"/>
      <c r="IG131" s="32"/>
      <c r="IH131" s="32"/>
      <c r="II131" s="32"/>
      <c r="IJ131" s="32"/>
      <c r="IK131" s="32"/>
      <c r="IL131" s="32"/>
      <c r="IM131" s="32"/>
      <c r="IN131" s="32"/>
      <c r="IO131" s="32"/>
      <c r="IP131" s="32"/>
      <c r="IQ131" s="32"/>
      <c r="IR131" s="32"/>
      <c r="IS131" s="32"/>
      <c r="IT131" s="32"/>
      <c r="IU131" s="32"/>
      <c r="IV131" s="32"/>
      <c r="IW131" s="32"/>
      <c r="IX131" s="32"/>
      <c r="IY131" s="32"/>
      <c r="IZ131" s="32"/>
      <c r="JA131" s="32"/>
      <c r="JB131" s="32"/>
      <c r="JC131" s="32"/>
      <c r="JD131" s="32"/>
      <c r="JE131" s="32"/>
      <c r="JF131" s="32"/>
      <c r="JG131" s="32"/>
      <c r="JH131" s="32"/>
      <c r="JI131" s="32"/>
      <c r="JJ131" s="32"/>
      <c r="JK131" s="32"/>
      <c r="JL131" s="32"/>
      <c r="JM131" s="32"/>
      <c r="JN131" s="32"/>
      <c r="JO131" s="32"/>
      <c r="JP131" s="32"/>
      <c r="JQ131" s="32"/>
      <c r="JR131" s="32"/>
      <c r="JS131" s="32"/>
      <c r="JT131" s="32"/>
      <c r="JU131" s="32"/>
      <c r="JV131" s="32"/>
      <c r="JW131" s="32"/>
      <c r="JX131" s="32"/>
      <c r="JY131" s="32"/>
      <c r="JZ131" s="32"/>
      <c r="KA131" s="32"/>
      <c r="KB131" s="32"/>
      <c r="KC131" s="32"/>
      <c r="KD131" s="32"/>
      <c r="KE131" s="32"/>
      <c r="KF131" s="32"/>
      <c r="KG131" s="32"/>
      <c r="KH131" s="32"/>
      <c r="KI131" s="32"/>
      <c r="KJ131" s="32"/>
      <c r="KK131" s="32"/>
      <c r="KL131" s="32"/>
      <c r="KM131" s="32"/>
      <c r="KN131" s="32"/>
      <c r="KO131" s="32"/>
      <c r="KP131" s="32"/>
      <c r="KQ131" s="32"/>
      <c r="KR131" s="32"/>
      <c r="KS131" s="32"/>
      <c r="KT131" s="32"/>
      <c r="KU131" s="32"/>
      <c r="KV131" s="32"/>
      <c r="KW131" s="32"/>
      <c r="KX131" s="32"/>
      <c r="KY131" s="32"/>
      <c r="KZ131" s="32"/>
      <c r="LA131" s="32"/>
      <c r="LB131" s="32"/>
      <c r="LC131" s="32"/>
      <c r="LD131" s="32"/>
      <c r="LE131" s="32"/>
      <c r="LF131" s="32"/>
      <c r="LG131" s="32"/>
      <c r="LH131" s="32"/>
      <c r="LI131" s="32"/>
      <c r="LJ131" s="32"/>
      <c r="LK131" s="32"/>
      <c r="LL131" s="32"/>
      <c r="LM131" s="32"/>
      <c r="LN131" s="32"/>
      <c r="LO131" s="32"/>
      <c r="LP131" s="32"/>
      <c r="LQ131" s="32"/>
      <c r="LR131" s="32"/>
      <c r="LS131" s="32"/>
      <c r="LT131" s="32"/>
      <c r="LU131" s="32"/>
      <c r="LV131" s="32"/>
      <c r="LW131" s="32"/>
      <c r="LX131" s="32"/>
      <c r="LY131" s="32"/>
      <c r="LZ131" s="32"/>
      <c r="MA131" s="32"/>
      <c r="MB131" s="32"/>
      <c r="MC131" s="32"/>
      <c r="MD131" s="32"/>
      <c r="ME131" s="32"/>
      <c r="MF131" s="32"/>
      <c r="MG131" s="32"/>
      <c r="MH131" s="32"/>
      <c r="MI131" s="32"/>
      <c r="MJ131" s="32"/>
      <c r="MK131" s="32"/>
      <c r="ML131" s="32"/>
      <c r="MM131" s="32"/>
      <c r="MN131" s="32"/>
      <c r="MO131" s="32"/>
      <c r="MP131" s="32"/>
      <c r="MQ131" s="32"/>
      <c r="MR131" s="32"/>
      <c r="MS131" s="32"/>
      <c r="MT131" s="32"/>
      <c r="MU131" s="32"/>
      <c r="MV131" s="32"/>
      <c r="MW131" s="32"/>
      <c r="MX131" s="32"/>
      <c r="MY131" s="32"/>
      <c r="MZ131" s="32"/>
      <c r="NA131" s="32"/>
      <c r="NB131" s="32"/>
      <c r="NC131" s="32"/>
      <c r="ND131" s="32"/>
      <c r="NE131" s="32"/>
      <c r="NF131" s="32"/>
      <c r="NG131" s="32"/>
      <c r="NH131" s="32"/>
      <c r="NI131" s="32"/>
      <c r="NJ131" s="32"/>
      <c r="NK131" s="32"/>
      <c r="NL131" s="32"/>
      <c r="NM131" s="32"/>
      <c r="NN131" s="32"/>
      <c r="NO131" s="32"/>
      <c r="NP131" s="32"/>
      <c r="NQ131" s="32"/>
      <c r="NR131" s="32"/>
      <c r="NS131" s="32"/>
      <c r="NT131" s="32"/>
      <c r="NU131" s="32"/>
      <c r="NV131" s="32"/>
      <c r="NW131" s="32"/>
      <c r="NX131" s="32"/>
      <c r="NY131" s="32"/>
      <c r="NZ131" s="32"/>
      <c r="OA131" s="32"/>
      <c r="OB131" s="32"/>
      <c r="OC131" s="32"/>
      <c r="OD131" s="32"/>
      <c r="OE131" s="32"/>
      <c r="OF131" s="32"/>
      <c r="OG131" s="32"/>
      <c r="OH131" s="32"/>
      <c r="OI131" s="32"/>
      <c r="OJ131" s="32"/>
      <c r="OK131" s="32"/>
      <c r="OL131" s="32"/>
      <c r="OM131" s="32"/>
      <c r="ON131" s="32"/>
      <c r="OO131" s="32"/>
      <c r="OP131" s="32"/>
      <c r="OQ131" s="32"/>
      <c r="OR131" s="32"/>
      <c r="OS131" s="32"/>
      <c r="OT131" s="32"/>
      <c r="OU131" s="32"/>
      <c r="OV131" s="32"/>
      <c r="OW131" s="32"/>
      <c r="OX131" s="32"/>
      <c r="OY131" s="32"/>
      <c r="OZ131" s="32"/>
      <c r="PA131" s="32"/>
      <c r="PB131" s="32"/>
      <c r="PC131" s="32"/>
      <c r="PD131" s="32"/>
      <c r="PE131" s="32"/>
      <c r="PF131" s="32"/>
      <c r="PG131" s="32"/>
      <c r="PH131" s="32"/>
      <c r="PI131" s="32"/>
      <c r="PJ131" s="32"/>
      <c r="PK131" s="32"/>
      <c r="PL131" s="32"/>
      <c r="PM131" s="32"/>
      <c r="PN131" s="32"/>
      <c r="PO131" s="32"/>
      <c r="PP131" s="32"/>
      <c r="PQ131" s="32"/>
      <c r="PR131" s="32"/>
      <c r="PS131" s="32"/>
      <c r="PT131" s="32"/>
      <c r="PU131" s="32"/>
      <c r="PV131" s="32"/>
      <c r="PW131" s="32"/>
      <c r="PX131" s="32"/>
      <c r="PY131" s="32"/>
      <c r="PZ131" s="32"/>
      <c r="QA131" s="32"/>
      <c r="QB131" s="32"/>
      <c r="QC131" s="32"/>
      <c r="QD131" s="32"/>
      <c r="QE131" s="32"/>
      <c r="QF131" s="32"/>
      <c r="QG131" s="32"/>
      <c r="QH131" s="32"/>
      <c r="QI131" s="32"/>
      <c r="QJ131" s="32"/>
      <c r="QK131" s="32"/>
      <c r="QL131" s="32"/>
      <c r="QM131" s="32"/>
      <c r="QN131" s="32"/>
      <c r="QO131" s="32"/>
      <c r="QP131" s="32"/>
      <c r="QQ131" s="32"/>
      <c r="QR131" s="32"/>
      <c r="QS131" s="32"/>
      <c r="QT131" s="32"/>
      <c r="QU131" s="32"/>
      <c r="QV131" s="32"/>
      <c r="QW131" s="32"/>
      <c r="QX131" s="32"/>
      <c r="QY131" s="32"/>
      <c r="QZ131" s="32"/>
      <c r="RA131" s="32"/>
      <c r="RB131" s="32"/>
      <c r="RC131" s="32"/>
      <c r="RD131" s="32"/>
      <c r="RE131" s="32"/>
      <c r="RF131" s="32"/>
      <c r="RG131" s="32"/>
      <c r="RH131" s="32"/>
      <c r="RI131" s="32"/>
      <c r="RJ131" s="32"/>
      <c r="RK131" s="32"/>
      <c r="RL131" s="32"/>
      <c r="RM131" s="32"/>
      <c r="RN131" s="32"/>
      <c r="RO131" s="32"/>
      <c r="RP131" s="32"/>
      <c r="RQ131" s="32"/>
      <c r="RR131" s="32"/>
    </row>
    <row r="132" spans="1:486" s="9" customFormat="1" ht="43.2">
      <c r="A132" s="132" t="s">
        <v>254</v>
      </c>
      <c r="B132" s="147">
        <f ca="1">_xll.RiskOutput("Portfolio AB2 minus AB1: Total Fossil Fuel Expense")+B129-B125</f>
        <v>-8816231459.2553043</v>
      </c>
      <c r="C132" s="148">
        <f ca="1">_xll.RiskOutput("Portfolio AB2 minus AB1: Total Fossil Fuel Expense PV")+C129-C125</f>
        <v>-3339764307.2226152</v>
      </c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32"/>
      <c r="KP132" s="32"/>
      <c r="KQ132" s="32"/>
      <c r="KR132" s="32"/>
      <c r="KS132" s="32"/>
      <c r="KT132" s="32"/>
      <c r="KU132" s="32"/>
      <c r="KV132" s="32"/>
      <c r="KW132" s="32"/>
      <c r="KX132" s="32"/>
      <c r="KY132" s="32"/>
      <c r="KZ132" s="32"/>
      <c r="LA132" s="32"/>
      <c r="LB132" s="32"/>
      <c r="LC132" s="32"/>
      <c r="LD132" s="32"/>
      <c r="LE132" s="32"/>
      <c r="LF132" s="32"/>
      <c r="LG132" s="32"/>
      <c r="LH132" s="32"/>
      <c r="LI132" s="32"/>
      <c r="LJ132" s="32"/>
      <c r="LK132" s="32"/>
      <c r="LL132" s="32"/>
      <c r="LM132" s="32"/>
      <c r="LN132" s="32"/>
      <c r="LO132" s="32"/>
      <c r="LP132" s="32"/>
      <c r="LQ132" s="32"/>
      <c r="LR132" s="32"/>
      <c r="LS132" s="32"/>
      <c r="LT132" s="32"/>
      <c r="LU132" s="32"/>
      <c r="LV132" s="32"/>
      <c r="LW132" s="32"/>
      <c r="LX132" s="32"/>
      <c r="LY132" s="32"/>
      <c r="LZ132" s="32"/>
      <c r="MA132" s="32"/>
      <c r="MB132" s="32"/>
      <c r="MC132" s="32"/>
      <c r="MD132" s="32"/>
      <c r="ME132" s="32"/>
      <c r="MF132" s="32"/>
      <c r="MG132" s="32"/>
      <c r="MH132" s="32"/>
      <c r="MI132" s="32"/>
      <c r="MJ132" s="32"/>
      <c r="MK132" s="32"/>
      <c r="ML132" s="32"/>
      <c r="MM132" s="32"/>
      <c r="MN132" s="32"/>
      <c r="MO132" s="32"/>
      <c r="MP132" s="32"/>
      <c r="MQ132" s="32"/>
      <c r="MR132" s="32"/>
      <c r="MS132" s="32"/>
      <c r="MT132" s="32"/>
      <c r="MU132" s="32"/>
      <c r="MV132" s="32"/>
      <c r="MW132" s="32"/>
      <c r="MX132" s="32"/>
      <c r="MY132" s="32"/>
      <c r="MZ132" s="32"/>
      <c r="NA132" s="32"/>
      <c r="NB132" s="32"/>
      <c r="NC132" s="32"/>
      <c r="ND132" s="32"/>
      <c r="NE132" s="32"/>
      <c r="NF132" s="32"/>
      <c r="NG132" s="32"/>
      <c r="NH132" s="32"/>
      <c r="NI132" s="32"/>
      <c r="NJ132" s="32"/>
      <c r="NK132" s="32"/>
      <c r="NL132" s="32"/>
      <c r="NM132" s="32"/>
      <c r="NN132" s="32"/>
      <c r="NO132" s="32"/>
      <c r="NP132" s="32"/>
      <c r="NQ132" s="32"/>
      <c r="NR132" s="32"/>
      <c r="NS132" s="32"/>
      <c r="NT132" s="32"/>
      <c r="NU132" s="32"/>
      <c r="NV132" s="32"/>
      <c r="NW132" s="32"/>
      <c r="NX132" s="32"/>
      <c r="NY132" s="32"/>
      <c r="NZ132" s="32"/>
      <c r="OA132" s="32"/>
      <c r="OB132" s="32"/>
      <c r="OC132" s="32"/>
      <c r="OD132" s="32"/>
      <c r="OE132" s="32"/>
      <c r="OF132" s="32"/>
      <c r="OG132" s="32"/>
      <c r="OH132" s="32"/>
      <c r="OI132" s="32"/>
      <c r="OJ132" s="32"/>
      <c r="OK132" s="32"/>
      <c r="OL132" s="32"/>
      <c r="OM132" s="32"/>
      <c r="ON132" s="32"/>
      <c r="OO132" s="32"/>
      <c r="OP132" s="32"/>
      <c r="OQ132" s="32"/>
      <c r="OR132" s="32"/>
      <c r="OS132" s="32"/>
      <c r="OT132" s="32"/>
      <c r="OU132" s="32"/>
      <c r="OV132" s="32"/>
      <c r="OW132" s="32"/>
      <c r="OX132" s="32"/>
      <c r="OY132" s="32"/>
      <c r="OZ132" s="32"/>
      <c r="PA132" s="32"/>
      <c r="PB132" s="32"/>
      <c r="PC132" s="32"/>
      <c r="PD132" s="32"/>
      <c r="PE132" s="32"/>
      <c r="PF132" s="32"/>
      <c r="PG132" s="32"/>
      <c r="PH132" s="32"/>
      <c r="PI132" s="32"/>
      <c r="PJ132" s="32"/>
      <c r="PK132" s="32"/>
      <c r="PL132" s="32"/>
      <c r="PM132" s="32"/>
      <c r="PN132" s="32"/>
      <c r="PO132" s="32"/>
      <c r="PP132" s="32"/>
      <c r="PQ132" s="32"/>
      <c r="PR132" s="32"/>
      <c r="PS132" s="32"/>
      <c r="PT132" s="32"/>
      <c r="PU132" s="32"/>
      <c r="PV132" s="32"/>
      <c r="PW132" s="32"/>
      <c r="PX132" s="32"/>
      <c r="PY132" s="32"/>
      <c r="PZ132" s="32"/>
      <c r="QA132" s="32"/>
      <c r="QB132" s="32"/>
      <c r="QC132" s="32"/>
      <c r="QD132" s="32"/>
      <c r="QE132" s="32"/>
      <c r="QF132" s="32"/>
      <c r="QG132" s="32"/>
      <c r="QH132" s="32"/>
      <c r="QI132" s="32"/>
      <c r="QJ132" s="32"/>
      <c r="QK132" s="32"/>
      <c r="QL132" s="32"/>
      <c r="QM132" s="32"/>
      <c r="QN132" s="32"/>
      <c r="QO132" s="32"/>
      <c r="QP132" s="32"/>
      <c r="QQ132" s="32"/>
      <c r="QR132" s="32"/>
      <c r="QS132" s="32"/>
      <c r="QT132" s="32"/>
      <c r="QU132" s="32"/>
      <c r="QV132" s="32"/>
      <c r="QW132" s="32"/>
      <c r="QX132" s="32"/>
      <c r="QY132" s="32"/>
      <c r="QZ132" s="32"/>
      <c r="RA132" s="32"/>
      <c r="RB132" s="32"/>
      <c r="RC132" s="32"/>
      <c r="RD132" s="32"/>
      <c r="RE132" s="32"/>
      <c r="RF132" s="32"/>
      <c r="RG132" s="32"/>
      <c r="RH132" s="32"/>
      <c r="RI132" s="32"/>
      <c r="RJ132" s="32"/>
      <c r="RK132" s="32"/>
      <c r="RL132" s="32"/>
      <c r="RM132" s="32"/>
      <c r="RN132" s="32"/>
      <c r="RO132" s="32"/>
      <c r="RP132" s="32"/>
      <c r="RQ132" s="32"/>
      <c r="RR132" s="32"/>
    </row>
    <row r="133" spans="1:486" s="9" customFormat="1" ht="29.4" thickBot="1">
      <c r="A133" s="132" t="s">
        <v>255</v>
      </c>
      <c r="B133" s="149">
        <f ca="1">_xll.RiskOutput("Portfolio AB2 minus AB1: Total Expense")+B130-B126</f>
        <v>-8816231459.2553291</v>
      </c>
      <c r="C133" s="150">
        <f ca="1">_xll.RiskOutput("Portfolio AB2 minus AB1: Total Expense PV")+C130-C126</f>
        <v>-3339764307.2226181</v>
      </c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  <c r="KE133" s="32"/>
      <c r="KF133" s="32"/>
      <c r="KG133" s="32"/>
      <c r="KH133" s="32"/>
      <c r="KI133" s="32"/>
      <c r="KJ133" s="32"/>
      <c r="KK133" s="32"/>
      <c r="KL133" s="32"/>
      <c r="KM133" s="32"/>
      <c r="KN133" s="32"/>
      <c r="KO133" s="32"/>
      <c r="KP133" s="32"/>
      <c r="KQ133" s="32"/>
      <c r="KR133" s="32"/>
      <c r="KS133" s="32"/>
      <c r="KT133" s="32"/>
      <c r="KU133" s="32"/>
      <c r="KV133" s="32"/>
      <c r="KW133" s="32"/>
      <c r="KX133" s="32"/>
      <c r="KY133" s="32"/>
      <c r="KZ133" s="32"/>
      <c r="LA133" s="32"/>
      <c r="LB133" s="32"/>
      <c r="LC133" s="32"/>
      <c r="LD133" s="32"/>
      <c r="LE133" s="32"/>
      <c r="LF133" s="32"/>
      <c r="LG133" s="32"/>
      <c r="LH133" s="32"/>
      <c r="LI133" s="32"/>
      <c r="LJ133" s="32"/>
      <c r="LK133" s="32"/>
      <c r="LL133" s="32"/>
      <c r="LM133" s="32"/>
      <c r="LN133" s="32"/>
      <c r="LO133" s="32"/>
      <c r="LP133" s="32"/>
      <c r="LQ133" s="32"/>
      <c r="LR133" s="32"/>
      <c r="LS133" s="32"/>
      <c r="LT133" s="32"/>
      <c r="LU133" s="32"/>
      <c r="LV133" s="32"/>
      <c r="LW133" s="32"/>
      <c r="LX133" s="32"/>
      <c r="LY133" s="32"/>
      <c r="LZ133" s="32"/>
      <c r="MA133" s="32"/>
      <c r="MB133" s="32"/>
      <c r="MC133" s="32"/>
      <c r="MD133" s="32"/>
      <c r="ME133" s="32"/>
      <c r="MF133" s="32"/>
      <c r="MG133" s="32"/>
      <c r="MH133" s="32"/>
      <c r="MI133" s="32"/>
      <c r="MJ133" s="32"/>
      <c r="MK133" s="32"/>
      <c r="ML133" s="32"/>
      <c r="MM133" s="32"/>
      <c r="MN133" s="32"/>
      <c r="MO133" s="32"/>
      <c r="MP133" s="32"/>
      <c r="MQ133" s="32"/>
      <c r="MR133" s="32"/>
      <c r="MS133" s="32"/>
      <c r="MT133" s="32"/>
      <c r="MU133" s="32"/>
      <c r="MV133" s="32"/>
      <c r="MW133" s="32"/>
      <c r="MX133" s="32"/>
      <c r="MY133" s="32"/>
      <c r="MZ133" s="32"/>
      <c r="NA133" s="32"/>
      <c r="NB133" s="32"/>
      <c r="NC133" s="32"/>
      <c r="ND133" s="32"/>
      <c r="NE133" s="32"/>
      <c r="NF133" s="32"/>
      <c r="NG133" s="32"/>
      <c r="NH133" s="32"/>
      <c r="NI133" s="32"/>
      <c r="NJ133" s="32"/>
      <c r="NK133" s="32"/>
      <c r="NL133" s="32"/>
      <c r="NM133" s="32"/>
      <c r="NN133" s="32"/>
      <c r="NO133" s="32"/>
      <c r="NP133" s="32"/>
      <c r="NQ133" s="32"/>
      <c r="NR133" s="32"/>
      <c r="NS133" s="32"/>
      <c r="NT133" s="32"/>
      <c r="NU133" s="32"/>
      <c r="NV133" s="32"/>
      <c r="NW133" s="32"/>
      <c r="NX133" s="32"/>
      <c r="NY133" s="32"/>
      <c r="NZ133" s="32"/>
      <c r="OA133" s="32"/>
      <c r="OB133" s="32"/>
      <c r="OC133" s="32"/>
      <c r="OD133" s="32"/>
      <c r="OE133" s="32"/>
      <c r="OF133" s="32"/>
      <c r="OG133" s="32"/>
      <c r="OH133" s="32"/>
      <c r="OI133" s="32"/>
      <c r="OJ133" s="32"/>
      <c r="OK133" s="32"/>
      <c r="OL133" s="32"/>
      <c r="OM133" s="32"/>
      <c r="ON133" s="32"/>
      <c r="OO133" s="32"/>
      <c r="OP133" s="32"/>
      <c r="OQ133" s="32"/>
      <c r="OR133" s="32"/>
      <c r="OS133" s="32"/>
      <c r="OT133" s="32"/>
      <c r="OU133" s="32"/>
      <c r="OV133" s="32"/>
      <c r="OW133" s="32"/>
      <c r="OX133" s="32"/>
      <c r="OY133" s="32"/>
      <c r="OZ133" s="32"/>
      <c r="PA133" s="32"/>
      <c r="PB133" s="32"/>
      <c r="PC133" s="32"/>
      <c r="PD133" s="32"/>
      <c r="PE133" s="32"/>
      <c r="PF133" s="32"/>
      <c r="PG133" s="32"/>
      <c r="PH133" s="32"/>
      <c r="PI133" s="32"/>
      <c r="PJ133" s="32"/>
      <c r="PK133" s="32"/>
      <c r="PL133" s="32"/>
      <c r="PM133" s="32"/>
      <c r="PN133" s="32"/>
      <c r="PO133" s="32"/>
      <c r="PP133" s="32"/>
      <c r="PQ133" s="32"/>
      <c r="PR133" s="32"/>
      <c r="PS133" s="32"/>
      <c r="PT133" s="32"/>
      <c r="PU133" s="32"/>
      <c r="PV133" s="32"/>
      <c r="PW133" s="32"/>
      <c r="PX133" s="32"/>
      <c r="PY133" s="32"/>
      <c r="PZ133" s="32"/>
      <c r="QA133" s="32"/>
      <c r="QB133" s="32"/>
      <c r="QC133" s="32"/>
      <c r="QD133" s="32"/>
      <c r="QE133" s="32"/>
      <c r="QF133" s="32"/>
      <c r="QG133" s="32"/>
      <c r="QH133" s="32"/>
      <c r="QI133" s="32"/>
      <c r="QJ133" s="32"/>
      <c r="QK133" s="32"/>
      <c r="QL133" s="32"/>
      <c r="QM133" s="32"/>
      <c r="QN133" s="32"/>
      <c r="QO133" s="32"/>
      <c r="QP133" s="32"/>
      <c r="QQ133" s="32"/>
      <c r="QR133" s="32"/>
      <c r="QS133" s="32"/>
      <c r="QT133" s="32"/>
      <c r="QU133" s="32"/>
      <c r="QV133" s="32"/>
      <c r="QW133" s="32"/>
      <c r="QX133" s="32"/>
      <c r="QY133" s="32"/>
      <c r="QZ133" s="32"/>
      <c r="RA133" s="32"/>
      <c r="RB133" s="32"/>
      <c r="RC133" s="32"/>
      <c r="RD133" s="32"/>
      <c r="RE133" s="32"/>
      <c r="RF133" s="32"/>
      <c r="RG133" s="32"/>
      <c r="RH133" s="32"/>
      <c r="RI133" s="32"/>
      <c r="RJ133" s="32"/>
      <c r="RK133" s="32"/>
      <c r="RL133" s="32"/>
      <c r="RM133" s="32"/>
      <c r="RN133" s="32"/>
      <c r="RO133" s="32"/>
      <c r="RP133" s="32"/>
      <c r="RQ133" s="32"/>
      <c r="RR133" s="32"/>
    </row>
    <row r="134" spans="1:486" s="9" customFormat="1">
      <c r="A134" s="137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  <c r="KE134" s="32"/>
      <c r="KF134" s="32"/>
      <c r="KG134" s="32"/>
      <c r="KH134" s="32"/>
      <c r="KI134" s="32"/>
      <c r="KJ134" s="32"/>
      <c r="KK134" s="32"/>
      <c r="KL134" s="32"/>
      <c r="KM134" s="32"/>
      <c r="KN134" s="32"/>
      <c r="KO134" s="32"/>
      <c r="KP134" s="32"/>
      <c r="KQ134" s="32"/>
      <c r="KR134" s="32"/>
      <c r="KS134" s="32"/>
      <c r="KT134" s="32"/>
      <c r="KU134" s="32"/>
      <c r="KV134" s="32"/>
      <c r="KW134" s="32"/>
      <c r="KX134" s="32"/>
      <c r="KY134" s="32"/>
      <c r="KZ134" s="32"/>
      <c r="LA134" s="32"/>
      <c r="LB134" s="32"/>
      <c r="LC134" s="32"/>
      <c r="LD134" s="32"/>
      <c r="LE134" s="32"/>
      <c r="LF134" s="32"/>
      <c r="LG134" s="32"/>
      <c r="LH134" s="32"/>
      <c r="LI134" s="32"/>
      <c r="LJ134" s="32"/>
      <c r="LK134" s="32"/>
      <c r="LL134" s="32"/>
      <c r="LM134" s="32"/>
      <c r="LN134" s="32"/>
      <c r="LO134" s="32"/>
      <c r="LP134" s="32"/>
      <c r="LQ134" s="32"/>
      <c r="LR134" s="32"/>
      <c r="LS134" s="32"/>
      <c r="LT134" s="32"/>
      <c r="LU134" s="32"/>
      <c r="LV134" s="32"/>
      <c r="LW134" s="32"/>
      <c r="LX134" s="32"/>
      <c r="LY134" s="32"/>
      <c r="LZ134" s="32"/>
      <c r="MA134" s="32"/>
      <c r="MB134" s="32"/>
      <c r="MC134" s="32"/>
      <c r="MD134" s="32"/>
      <c r="ME134" s="32"/>
      <c r="MF134" s="32"/>
      <c r="MG134" s="32"/>
      <c r="MH134" s="32"/>
      <c r="MI134" s="32"/>
      <c r="MJ134" s="32"/>
      <c r="MK134" s="32"/>
      <c r="ML134" s="32"/>
      <c r="MM134" s="32"/>
      <c r="MN134" s="32"/>
      <c r="MO134" s="32"/>
      <c r="MP134" s="32"/>
      <c r="MQ134" s="32"/>
      <c r="MR134" s="32"/>
      <c r="MS134" s="32"/>
      <c r="MT134" s="32"/>
      <c r="MU134" s="32"/>
      <c r="MV134" s="32"/>
      <c r="MW134" s="32"/>
      <c r="MX134" s="32"/>
      <c r="MY134" s="32"/>
      <c r="MZ134" s="32"/>
      <c r="NA134" s="32"/>
      <c r="NB134" s="32"/>
      <c r="NC134" s="32"/>
      <c r="ND134" s="32"/>
      <c r="NE134" s="32"/>
      <c r="NF134" s="32"/>
      <c r="NG134" s="32"/>
      <c r="NH134" s="32"/>
      <c r="NI134" s="32"/>
      <c r="NJ134" s="32"/>
      <c r="NK134" s="32"/>
      <c r="NL134" s="32"/>
      <c r="NM134" s="32"/>
      <c r="NN134" s="32"/>
      <c r="NO134" s="32"/>
      <c r="NP134" s="32"/>
      <c r="NQ134" s="32"/>
      <c r="NR134" s="32"/>
      <c r="NS134" s="32"/>
      <c r="NT134" s="32"/>
      <c r="NU134" s="32"/>
      <c r="NV134" s="32"/>
      <c r="NW134" s="32"/>
      <c r="NX134" s="32"/>
      <c r="NY134" s="32"/>
      <c r="NZ134" s="32"/>
      <c r="OA134" s="32"/>
      <c r="OB134" s="32"/>
      <c r="OC134" s="32"/>
      <c r="OD134" s="32"/>
      <c r="OE134" s="32"/>
      <c r="OF134" s="32"/>
      <c r="OG134" s="32"/>
      <c r="OH134" s="32"/>
      <c r="OI134" s="32"/>
      <c r="OJ134" s="32"/>
      <c r="OK134" s="32"/>
      <c r="OL134" s="32"/>
      <c r="OM134" s="32"/>
      <c r="ON134" s="32"/>
      <c r="OO134" s="32"/>
      <c r="OP134" s="32"/>
      <c r="OQ134" s="32"/>
      <c r="OR134" s="32"/>
      <c r="OS134" s="32"/>
      <c r="OT134" s="32"/>
      <c r="OU134" s="32"/>
      <c r="OV134" s="32"/>
      <c r="OW134" s="32"/>
      <c r="OX134" s="32"/>
      <c r="OY134" s="32"/>
      <c r="OZ134" s="32"/>
      <c r="PA134" s="32"/>
      <c r="PB134" s="32"/>
      <c r="PC134" s="32"/>
      <c r="PD134" s="32"/>
      <c r="PE134" s="32"/>
      <c r="PF134" s="32"/>
      <c r="PG134" s="32"/>
      <c r="PH134" s="32"/>
      <c r="PI134" s="32"/>
      <c r="PJ134" s="32"/>
      <c r="PK134" s="32"/>
      <c r="PL134" s="32"/>
      <c r="PM134" s="32"/>
      <c r="PN134" s="32"/>
      <c r="PO134" s="32"/>
      <c r="PP134" s="32"/>
      <c r="PQ134" s="32"/>
      <c r="PR134" s="32"/>
      <c r="PS134" s="32"/>
      <c r="PT134" s="32"/>
      <c r="PU134" s="32"/>
      <c r="PV134" s="32"/>
      <c r="PW134" s="32"/>
      <c r="PX134" s="32"/>
      <c r="PY134" s="32"/>
      <c r="PZ134" s="32"/>
      <c r="QA134" s="32"/>
      <c r="QB134" s="32"/>
      <c r="QC134" s="32"/>
      <c r="QD134" s="32"/>
      <c r="QE134" s="32"/>
      <c r="QF134" s="32"/>
      <c r="QG134" s="32"/>
      <c r="QH134" s="32"/>
      <c r="QI134" s="32"/>
      <c r="QJ134" s="32"/>
      <c r="QK134" s="32"/>
      <c r="QL134" s="32"/>
      <c r="QM134" s="32"/>
      <c r="QN134" s="32"/>
      <c r="QO134" s="32"/>
      <c r="QP134" s="32"/>
      <c r="QQ134" s="32"/>
      <c r="QR134" s="32"/>
      <c r="QS134" s="32"/>
      <c r="QT134" s="32"/>
      <c r="QU134" s="32"/>
      <c r="QV134" s="32"/>
      <c r="QW134" s="32"/>
      <c r="QX134" s="32"/>
      <c r="QY134" s="32"/>
      <c r="QZ134" s="32"/>
      <c r="RA134" s="32"/>
      <c r="RB134" s="32"/>
      <c r="RC134" s="32"/>
      <c r="RD134" s="32"/>
      <c r="RE134" s="32"/>
      <c r="RF134" s="32"/>
      <c r="RG134" s="32"/>
      <c r="RH134" s="32"/>
      <c r="RI134" s="32"/>
      <c r="RJ134" s="32"/>
      <c r="RK134" s="32"/>
      <c r="RL134" s="32"/>
      <c r="RM134" s="32"/>
      <c r="RN134" s="32"/>
      <c r="RO134" s="32"/>
      <c r="RP134" s="32"/>
      <c r="RQ134" s="32"/>
      <c r="RR134" s="32"/>
    </row>
    <row r="135" spans="1:486" s="9" customFormat="1">
      <c r="B135" s="239" t="s">
        <v>256</v>
      </c>
      <c r="C135" s="220" t="s">
        <v>257</v>
      </c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  <c r="KE135" s="32"/>
      <c r="KF135" s="32"/>
      <c r="KG135" s="32"/>
      <c r="KH135" s="32"/>
      <c r="KI135" s="32"/>
      <c r="KJ135" s="32"/>
      <c r="KK135" s="32"/>
      <c r="KL135" s="32"/>
      <c r="KM135" s="32"/>
      <c r="KN135" s="32"/>
      <c r="KO135" s="32"/>
      <c r="KP135" s="32"/>
      <c r="KQ135" s="32"/>
      <c r="KR135" s="32"/>
      <c r="KS135" s="32"/>
      <c r="KT135" s="32"/>
      <c r="KU135" s="32"/>
      <c r="KV135" s="32"/>
      <c r="KW135" s="32"/>
      <c r="KX135" s="32"/>
      <c r="KY135" s="32"/>
      <c r="KZ135" s="32"/>
      <c r="LA135" s="32"/>
      <c r="LB135" s="32"/>
      <c r="LC135" s="32"/>
      <c r="LD135" s="32"/>
      <c r="LE135" s="32"/>
      <c r="LF135" s="32"/>
      <c r="LG135" s="32"/>
      <c r="LH135" s="32"/>
      <c r="LI135" s="32"/>
      <c r="LJ135" s="32"/>
      <c r="LK135" s="32"/>
      <c r="LL135" s="32"/>
      <c r="LM135" s="32"/>
      <c r="LN135" s="32"/>
      <c r="LO135" s="32"/>
      <c r="LP135" s="32"/>
      <c r="LQ135" s="32"/>
      <c r="LR135" s="32"/>
      <c r="LS135" s="32"/>
      <c r="LT135" s="32"/>
      <c r="LU135" s="32"/>
      <c r="LV135" s="32"/>
      <c r="LW135" s="32"/>
      <c r="LX135" s="32"/>
      <c r="LY135" s="32"/>
      <c r="LZ135" s="32"/>
      <c r="MA135" s="32"/>
      <c r="MB135" s="32"/>
      <c r="MC135" s="32"/>
      <c r="MD135" s="32"/>
      <c r="ME135" s="32"/>
      <c r="MF135" s="32"/>
      <c r="MG135" s="32"/>
      <c r="MH135" s="32"/>
      <c r="MI135" s="32"/>
      <c r="MJ135" s="32"/>
      <c r="MK135" s="32"/>
      <c r="ML135" s="32"/>
      <c r="MM135" s="32"/>
      <c r="MN135" s="32"/>
      <c r="MO135" s="32"/>
      <c r="MP135" s="32"/>
      <c r="MQ135" s="32"/>
      <c r="MR135" s="32"/>
      <c r="MS135" s="32"/>
      <c r="MT135" s="32"/>
      <c r="MU135" s="32"/>
      <c r="MV135" s="32"/>
      <c r="MW135" s="32"/>
      <c r="MX135" s="32"/>
      <c r="MY135" s="32"/>
      <c r="MZ135" s="32"/>
      <c r="NA135" s="32"/>
      <c r="NB135" s="32"/>
      <c r="NC135" s="32"/>
      <c r="ND135" s="32"/>
      <c r="NE135" s="32"/>
      <c r="NF135" s="32"/>
      <c r="NG135" s="32"/>
      <c r="NH135" s="32"/>
      <c r="NI135" s="32"/>
      <c r="NJ135" s="32"/>
      <c r="NK135" s="32"/>
      <c r="NL135" s="32"/>
      <c r="NM135" s="32"/>
      <c r="NN135" s="32"/>
      <c r="NO135" s="32"/>
      <c r="NP135" s="32"/>
      <c r="NQ135" s="32"/>
      <c r="NR135" s="32"/>
      <c r="NS135" s="32"/>
      <c r="NT135" s="32"/>
      <c r="NU135" s="32"/>
      <c r="NV135" s="32"/>
      <c r="NW135" s="32"/>
      <c r="NX135" s="32"/>
      <c r="NY135" s="32"/>
      <c r="NZ135" s="32"/>
      <c r="OA135" s="32"/>
      <c r="OB135" s="32"/>
      <c r="OC135" s="32"/>
      <c r="OD135" s="32"/>
      <c r="OE135" s="32"/>
      <c r="OF135" s="32"/>
      <c r="OG135" s="32"/>
      <c r="OH135" s="32"/>
      <c r="OI135" s="32"/>
      <c r="OJ135" s="32"/>
      <c r="OK135" s="32"/>
      <c r="OL135" s="32"/>
      <c r="OM135" s="32"/>
      <c r="ON135" s="32"/>
      <c r="OO135" s="32"/>
      <c r="OP135" s="32"/>
      <c r="OQ135" s="32"/>
      <c r="OR135" s="32"/>
      <c r="OS135" s="32"/>
      <c r="OT135" s="32"/>
      <c r="OU135" s="32"/>
      <c r="OV135" s="32"/>
      <c r="OW135" s="32"/>
      <c r="OX135" s="32"/>
      <c r="OY135" s="32"/>
      <c r="OZ135" s="32"/>
      <c r="PA135" s="32"/>
      <c r="PB135" s="32"/>
      <c r="PC135" s="32"/>
      <c r="PD135" s="32"/>
      <c r="PE135" s="32"/>
      <c r="PF135" s="32"/>
      <c r="PG135" s="32"/>
      <c r="PH135" s="32"/>
      <c r="PI135" s="32"/>
      <c r="PJ135" s="32"/>
      <c r="PK135" s="32"/>
      <c r="PL135" s="32"/>
      <c r="PM135" s="32"/>
      <c r="PN135" s="32"/>
      <c r="PO135" s="32"/>
      <c r="PP135" s="32"/>
      <c r="PQ135" s="32"/>
      <c r="PR135" s="32"/>
      <c r="PS135" s="32"/>
      <c r="PT135" s="32"/>
      <c r="PU135" s="32"/>
      <c r="PV135" s="32"/>
      <c r="PW135" s="32"/>
      <c r="PX135" s="32"/>
      <c r="PY135" s="32"/>
      <c r="PZ135" s="32"/>
      <c r="QA135" s="32"/>
      <c r="QB135" s="32"/>
      <c r="QC135" s="32"/>
      <c r="QD135" s="32"/>
      <c r="QE135" s="32"/>
      <c r="QF135" s="32"/>
      <c r="QG135" s="32"/>
      <c r="QH135" s="32"/>
      <c r="QI135" s="32"/>
      <c r="QJ135" s="32"/>
      <c r="QK135" s="32"/>
      <c r="QL135" s="32"/>
      <c r="QM135" s="32"/>
      <c r="QN135" s="32"/>
      <c r="QO135" s="32"/>
      <c r="QP135" s="32"/>
      <c r="QQ135" s="32"/>
      <c r="QR135" s="32"/>
      <c r="QS135" s="32"/>
      <c r="QT135" s="32"/>
      <c r="QU135" s="32"/>
      <c r="QV135" s="32"/>
      <c r="QW135" s="32"/>
      <c r="QX135" s="32"/>
      <c r="QY135" s="32"/>
      <c r="QZ135" s="32"/>
      <c r="RA135" s="32"/>
      <c r="RB135" s="32"/>
      <c r="RC135" s="32"/>
      <c r="RD135" s="32"/>
      <c r="RE135" s="32"/>
      <c r="RF135" s="32"/>
      <c r="RG135" s="32"/>
      <c r="RH135" s="32"/>
      <c r="RI135" s="32"/>
      <c r="RJ135" s="32"/>
      <c r="RK135" s="32"/>
      <c r="RL135" s="32"/>
      <c r="RM135" s="32"/>
      <c r="RN135" s="32"/>
      <c r="RO135" s="32"/>
      <c r="RP135" s="32"/>
      <c r="RQ135" s="32"/>
      <c r="RR135" s="32"/>
    </row>
    <row r="136" spans="1:486" s="9" customFormat="1" ht="28.8">
      <c r="A136" s="221" t="s">
        <v>459</v>
      </c>
      <c r="B136" s="237">
        <f ca="1">_xll.RiskOutput()+GC244</f>
        <v>203.90521356260001</v>
      </c>
      <c r="C136" s="238">
        <f ca="1">_xll.RiskOutput()+GC245</f>
        <v>162.76356659136525</v>
      </c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  <c r="GR136" s="32"/>
      <c r="GS136" s="32"/>
      <c r="GT136" s="32"/>
      <c r="GU136" s="32"/>
      <c r="GV136" s="32"/>
      <c r="GW136" s="32"/>
      <c r="GX136" s="32"/>
      <c r="GY136" s="32"/>
      <c r="GZ136" s="32"/>
      <c r="HA136" s="32"/>
      <c r="HB136" s="32"/>
      <c r="HC136" s="32"/>
      <c r="HD136" s="32"/>
      <c r="HE136" s="32"/>
      <c r="HF136" s="32"/>
      <c r="HG136" s="32"/>
      <c r="HH136" s="32"/>
      <c r="HI136" s="32"/>
      <c r="HJ136" s="32"/>
      <c r="HK136" s="32"/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/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/>
      <c r="IQ136" s="32"/>
      <c r="IR136" s="32"/>
      <c r="IS136" s="32"/>
      <c r="IT136" s="32"/>
      <c r="IU136" s="32"/>
      <c r="IV136" s="32"/>
      <c r="IW136" s="32"/>
      <c r="IX136" s="32"/>
      <c r="IY136" s="32"/>
      <c r="IZ136" s="32"/>
      <c r="JA136" s="32"/>
      <c r="JB136" s="32"/>
      <c r="JC136" s="32"/>
      <c r="JD136" s="32"/>
      <c r="JE136" s="32"/>
      <c r="JF136" s="32"/>
      <c r="JG136" s="32"/>
      <c r="JH136" s="32"/>
      <c r="JI136" s="32"/>
      <c r="JJ136" s="32"/>
      <c r="JK136" s="32"/>
      <c r="JL136" s="32"/>
      <c r="JM136" s="32"/>
      <c r="JN136" s="32"/>
      <c r="JO136" s="32"/>
      <c r="JP136" s="32"/>
      <c r="JQ136" s="32"/>
      <c r="JR136" s="32"/>
      <c r="JS136" s="32"/>
      <c r="JT136" s="32"/>
      <c r="JU136" s="32"/>
      <c r="JV136" s="32"/>
      <c r="JW136" s="32"/>
      <c r="JX136" s="32"/>
      <c r="JY136" s="32"/>
      <c r="JZ136" s="32"/>
      <c r="KA136" s="32"/>
      <c r="KB136" s="32"/>
      <c r="KC136" s="32"/>
      <c r="KD136" s="32"/>
      <c r="KE136" s="32"/>
      <c r="KF136" s="32"/>
      <c r="KG136" s="32"/>
      <c r="KH136" s="32"/>
      <c r="KI136" s="32"/>
      <c r="KJ136" s="32"/>
      <c r="KK136" s="32"/>
      <c r="KL136" s="32"/>
      <c r="KM136" s="32"/>
      <c r="KN136" s="32"/>
      <c r="KO136" s="32"/>
      <c r="KP136" s="32"/>
      <c r="KQ136" s="32"/>
      <c r="KR136" s="32"/>
      <c r="KS136" s="32"/>
      <c r="KT136" s="32"/>
      <c r="KU136" s="32"/>
      <c r="KV136" s="32"/>
      <c r="KW136" s="32"/>
      <c r="KX136" s="32"/>
      <c r="KY136" s="32"/>
      <c r="KZ136" s="32"/>
      <c r="LA136" s="32"/>
      <c r="LB136" s="32"/>
      <c r="LC136" s="32"/>
      <c r="LD136" s="32"/>
      <c r="LE136" s="32"/>
      <c r="LF136" s="32"/>
      <c r="LG136" s="32"/>
      <c r="LH136" s="32"/>
      <c r="LI136" s="32"/>
      <c r="LJ136" s="32"/>
      <c r="LK136" s="32"/>
      <c r="LL136" s="32"/>
      <c r="LM136" s="32"/>
      <c r="LN136" s="32"/>
      <c r="LO136" s="32"/>
      <c r="LP136" s="32"/>
      <c r="LQ136" s="32"/>
      <c r="LR136" s="32"/>
      <c r="LS136" s="32"/>
      <c r="LT136" s="32"/>
      <c r="LU136" s="32"/>
      <c r="LV136" s="32"/>
      <c r="LW136" s="32"/>
      <c r="LX136" s="32"/>
      <c r="LY136" s="32"/>
      <c r="LZ136" s="32"/>
      <c r="MA136" s="32"/>
      <c r="MB136" s="32"/>
      <c r="MC136" s="32"/>
      <c r="MD136" s="32"/>
      <c r="ME136" s="32"/>
      <c r="MF136" s="32"/>
      <c r="MG136" s="32"/>
      <c r="MH136" s="32"/>
      <c r="MI136" s="32"/>
      <c r="MJ136" s="32"/>
      <c r="MK136" s="32"/>
      <c r="ML136" s="32"/>
      <c r="MM136" s="32"/>
      <c r="MN136" s="32"/>
      <c r="MO136" s="32"/>
      <c r="MP136" s="32"/>
      <c r="MQ136" s="32"/>
      <c r="MR136" s="32"/>
      <c r="MS136" s="32"/>
      <c r="MT136" s="32"/>
      <c r="MU136" s="32"/>
      <c r="MV136" s="32"/>
      <c r="MW136" s="32"/>
      <c r="MX136" s="32"/>
      <c r="MY136" s="32"/>
      <c r="MZ136" s="32"/>
      <c r="NA136" s="32"/>
      <c r="NB136" s="32"/>
      <c r="NC136" s="32"/>
      <c r="ND136" s="32"/>
      <c r="NE136" s="32"/>
      <c r="NF136" s="32"/>
      <c r="NG136" s="32"/>
      <c r="NH136" s="32"/>
      <c r="NI136" s="32"/>
      <c r="NJ136" s="32"/>
      <c r="NK136" s="32"/>
      <c r="NL136" s="32"/>
      <c r="NM136" s="32"/>
      <c r="NN136" s="32"/>
      <c r="NO136" s="32"/>
      <c r="NP136" s="32"/>
      <c r="NQ136" s="32"/>
      <c r="NR136" s="32"/>
      <c r="NS136" s="32"/>
      <c r="NT136" s="32"/>
      <c r="NU136" s="32"/>
      <c r="NV136" s="32"/>
      <c r="NW136" s="32"/>
      <c r="NX136" s="32"/>
      <c r="NY136" s="32"/>
      <c r="NZ136" s="32"/>
      <c r="OA136" s="32"/>
      <c r="OB136" s="32"/>
      <c r="OC136" s="32"/>
      <c r="OD136" s="32"/>
      <c r="OE136" s="32"/>
      <c r="OF136" s="32"/>
      <c r="OG136" s="32"/>
      <c r="OH136" s="32"/>
      <c r="OI136" s="32"/>
      <c r="OJ136" s="32"/>
      <c r="OK136" s="32"/>
      <c r="OL136" s="32"/>
      <c r="OM136" s="32"/>
      <c r="ON136" s="32"/>
      <c r="OO136" s="32"/>
      <c r="OP136" s="32"/>
      <c r="OQ136" s="32"/>
      <c r="OR136" s="32"/>
      <c r="OS136" s="32"/>
      <c r="OT136" s="32"/>
      <c r="OU136" s="32"/>
      <c r="OV136" s="32"/>
      <c r="OW136" s="32"/>
      <c r="OX136" s="32"/>
      <c r="OY136" s="32"/>
      <c r="OZ136" s="32"/>
      <c r="PA136" s="32"/>
      <c r="PB136" s="32"/>
      <c r="PC136" s="32"/>
      <c r="PD136" s="32"/>
      <c r="PE136" s="32"/>
      <c r="PF136" s="32"/>
      <c r="PG136" s="32"/>
      <c r="PH136" s="32"/>
      <c r="PI136" s="32"/>
      <c r="PJ136" s="32"/>
      <c r="PK136" s="32"/>
      <c r="PL136" s="32"/>
      <c r="PM136" s="32"/>
      <c r="PN136" s="32"/>
      <c r="PO136" s="32"/>
      <c r="PP136" s="32"/>
      <c r="PQ136" s="32"/>
      <c r="PR136" s="32"/>
      <c r="PS136" s="32"/>
      <c r="PT136" s="32"/>
      <c r="PU136" s="32"/>
      <c r="PV136" s="32"/>
      <c r="PW136" s="32"/>
      <c r="PX136" s="32"/>
      <c r="PY136" s="32"/>
      <c r="PZ136" s="32"/>
      <c r="QA136" s="32"/>
      <c r="QB136" s="32"/>
      <c r="QC136" s="32"/>
      <c r="QD136" s="32"/>
      <c r="QE136" s="32"/>
      <c r="QF136" s="32"/>
      <c r="QG136" s="32"/>
      <c r="QH136" s="32"/>
      <c r="QI136" s="32"/>
      <c r="QJ136" s="32"/>
      <c r="QK136" s="32"/>
      <c r="QL136" s="32"/>
      <c r="QM136" s="32"/>
      <c r="QN136" s="32"/>
      <c r="QO136" s="32"/>
      <c r="QP136" s="32"/>
      <c r="QQ136" s="32"/>
      <c r="QR136" s="32"/>
      <c r="QS136" s="32"/>
      <c r="QT136" s="32"/>
      <c r="QU136" s="32"/>
      <c r="QV136" s="32"/>
      <c r="QW136" s="32"/>
      <c r="QX136" s="32"/>
      <c r="QY136" s="32"/>
      <c r="QZ136" s="32"/>
      <c r="RA136" s="32"/>
      <c r="RB136" s="32"/>
      <c r="RC136" s="32"/>
      <c r="RD136" s="32"/>
      <c r="RE136" s="32"/>
      <c r="RF136" s="32"/>
      <c r="RG136" s="32"/>
      <c r="RH136" s="32"/>
      <c r="RI136" s="32"/>
      <c r="RJ136" s="32"/>
      <c r="RK136" s="32"/>
      <c r="RL136" s="32"/>
      <c r="RM136" s="32"/>
      <c r="RN136" s="32"/>
      <c r="RO136" s="32"/>
      <c r="RP136" s="32"/>
      <c r="RQ136" s="32"/>
      <c r="RR136" s="32"/>
    </row>
    <row r="137" spans="1:486" s="9" customFormat="1">
      <c r="A137" s="137"/>
      <c r="E137" s="2">
        <f>E65</f>
        <v>42156</v>
      </c>
      <c r="F137" s="2">
        <f t="shared" ref="F137:BQ137" si="717">F65</f>
        <v>42186</v>
      </c>
      <c r="G137" s="2">
        <f t="shared" si="717"/>
        <v>42217</v>
      </c>
      <c r="H137" s="2">
        <f t="shared" si="717"/>
        <v>42248</v>
      </c>
      <c r="I137" s="2">
        <f t="shared" si="717"/>
        <v>42278</v>
      </c>
      <c r="J137" s="2">
        <f t="shared" si="717"/>
        <v>42309</v>
      </c>
      <c r="K137" s="2">
        <f t="shared" si="717"/>
        <v>42339</v>
      </c>
      <c r="L137" s="2">
        <f t="shared" si="717"/>
        <v>42370</v>
      </c>
      <c r="M137" s="2">
        <f t="shared" si="717"/>
        <v>42401</v>
      </c>
      <c r="N137" s="2">
        <f t="shared" si="717"/>
        <v>42430</v>
      </c>
      <c r="O137" s="2">
        <f t="shared" si="717"/>
        <v>42461</v>
      </c>
      <c r="P137" s="2">
        <f t="shared" si="717"/>
        <v>42491</v>
      </c>
      <c r="Q137" s="2">
        <f t="shared" si="717"/>
        <v>42522</v>
      </c>
      <c r="R137" s="2">
        <f t="shared" si="717"/>
        <v>42552</v>
      </c>
      <c r="S137" s="2">
        <f t="shared" si="717"/>
        <v>42583</v>
      </c>
      <c r="T137" s="2">
        <f t="shared" si="717"/>
        <v>42614</v>
      </c>
      <c r="U137" s="2">
        <f t="shared" si="717"/>
        <v>42644</v>
      </c>
      <c r="V137" s="2">
        <f t="shared" si="717"/>
        <v>42675</v>
      </c>
      <c r="W137" s="2">
        <f t="shared" si="717"/>
        <v>42705</v>
      </c>
      <c r="X137" s="2">
        <f t="shared" si="717"/>
        <v>42736</v>
      </c>
      <c r="Y137" s="2">
        <f t="shared" si="717"/>
        <v>42767</v>
      </c>
      <c r="Z137" s="2">
        <f t="shared" si="717"/>
        <v>42795</v>
      </c>
      <c r="AA137" s="2">
        <f t="shared" si="717"/>
        <v>42826</v>
      </c>
      <c r="AB137" s="2">
        <f t="shared" si="717"/>
        <v>42856</v>
      </c>
      <c r="AC137" s="2">
        <f t="shared" si="717"/>
        <v>42887</v>
      </c>
      <c r="AD137" s="2">
        <f t="shared" si="717"/>
        <v>42917</v>
      </c>
      <c r="AE137" s="2">
        <f t="shared" si="717"/>
        <v>42948</v>
      </c>
      <c r="AF137" s="2">
        <f t="shared" si="717"/>
        <v>42979</v>
      </c>
      <c r="AG137" s="2">
        <f t="shared" si="717"/>
        <v>43009</v>
      </c>
      <c r="AH137" s="2">
        <f t="shared" si="717"/>
        <v>43040</v>
      </c>
      <c r="AI137" s="2">
        <f t="shared" si="717"/>
        <v>43070</v>
      </c>
      <c r="AJ137" s="2">
        <f t="shared" si="717"/>
        <v>43101</v>
      </c>
      <c r="AK137" s="2">
        <f t="shared" si="717"/>
        <v>43132</v>
      </c>
      <c r="AL137" s="2">
        <f t="shared" si="717"/>
        <v>43160</v>
      </c>
      <c r="AM137" s="2">
        <f t="shared" si="717"/>
        <v>43191</v>
      </c>
      <c r="AN137" s="2">
        <f t="shared" si="717"/>
        <v>43221</v>
      </c>
      <c r="AO137" s="2">
        <f t="shared" si="717"/>
        <v>43252</v>
      </c>
      <c r="AP137" s="2">
        <f t="shared" si="717"/>
        <v>43282</v>
      </c>
      <c r="AQ137" s="2">
        <f t="shared" si="717"/>
        <v>43313</v>
      </c>
      <c r="AR137" s="2">
        <f t="shared" si="717"/>
        <v>43344</v>
      </c>
      <c r="AS137" s="2">
        <f t="shared" si="717"/>
        <v>43374</v>
      </c>
      <c r="AT137" s="2">
        <f t="shared" si="717"/>
        <v>43405</v>
      </c>
      <c r="AU137" s="2">
        <f t="shared" si="717"/>
        <v>43435</v>
      </c>
      <c r="AV137" s="2">
        <f t="shared" si="717"/>
        <v>43466</v>
      </c>
      <c r="AW137" s="2">
        <f t="shared" si="717"/>
        <v>43497</v>
      </c>
      <c r="AX137" s="2">
        <f t="shared" si="717"/>
        <v>43525</v>
      </c>
      <c r="AY137" s="2">
        <f t="shared" si="717"/>
        <v>43556</v>
      </c>
      <c r="AZ137" s="2">
        <f t="shared" si="717"/>
        <v>43586</v>
      </c>
      <c r="BA137" s="2">
        <f t="shared" si="717"/>
        <v>43617</v>
      </c>
      <c r="BB137" s="2">
        <f t="shared" si="717"/>
        <v>43647</v>
      </c>
      <c r="BC137" s="2">
        <f t="shared" si="717"/>
        <v>43678</v>
      </c>
      <c r="BD137" s="2">
        <f t="shared" si="717"/>
        <v>43709</v>
      </c>
      <c r="BE137" s="2">
        <f t="shared" si="717"/>
        <v>43739</v>
      </c>
      <c r="BF137" s="2">
        <f t="shared" si="717"/>
        <v>43770</v>
      </c>
      <c r="BG137" s="2">
        <f t="shared" si="717"/>
        <v>43800</v>
      </c>
      <c r="BH137" s="2">
        <f t="shared" si="717"/>
        <v>43831</v>
      </c>
      <c r="BI137" s="2">
        <f t="shared" si="717"/>
        <v>43862</v>
      </c>
      <c r="BJ137" s="2">
        <f t="shared" si="717"/>
        <v>43891</v>
      </c>
      <c r="BK137" s="2">
        <f t="shared" si="717"/>
        <v>43922</v>
      </c>
      <c r="BL137" s="2">
        <f t="shared" si="717"/>
        <v>43952</v>
      </c>
      <c r="BM137" s="2">
        <f t="shared" si="717"/>
        <v>43983</v>
      </c>
      <c r="BN137" s="2">
        <f t="shared" si="717"/>
        <v>44013</v>
      </c>
      <c r="BO137" s="2">
        <f t="shared" si="717"/>
        <v>44044</v>
      </c>
      <c r="BP137" s="2">
        <f t="shared" si="717"/>
        <v>44075</v>
      </c>
      <c r="BQ137" s="2">
        <f t="shared" si="717"/>
        <v>44105</v>
      </c>
      <c r="BR137" s="2">
        <f t="shared" ref="BR137:EC137" si="718">BR65</f>
        <v>44136</v>
      </c>
      <c r="BS137" s="2">
        <f t="shared" si="718"/>
        <v>44166</v>
      </c>
      <c r="BT137" s="2">
        <f t="shared" si="718"/>
        <v>44197</v>
      </c>
      <c r="BU137" s="2">
        <f t="shared" si="718"/>
        <v>44228</v>
      </c>
      <c r="BV137" s="2">
        <f t="shared" si="718"/>
        <v>44256</v>
      </c>
      <c r="BW137" s="2">
        <f t="shared" si="718"/>
        <v>44287</v>
      </c>
      <c r="BX137" s="2">
        <f t="shared" si="718"/>
        <v>44317</v>
      </c>
      <c r="BY137" s="2">
        <f t="shared" si="718"/>
        <v>44348</v>
      </c>
      <c r="BZ137" s="2">
        <f t="shared" si="718"/>
        <v>44378</v>
      </c>
      <c r="CA137" s="2">
        <f t="shared" si="718"/>
        <v>44409</v>
      </c>
      <c r="CB137" s="2">
        <f t="shared" si="718"/>
        <v>44440</v>
      </c>
      <c r="CC137" s="2">
        <f t="shared" si="718"/>
        <v>44470</v>
      </c>
      <c r="CD137" s="2">
        <f t="shared" si="718"/>
        <v>44501</v>
      </c>
      <c r="CE137" s="2">
        <f t="shared" si="718"/>
        <v>44531</v>
      </c>
      <c r="CF137" s="2">
        <f t="shared" si="718"/>
        <v>44562</v>
      </c>
      <c r="CG137" s="2">
        <f t="shared" si="718"/>
        <v>44593</v>
      </c>
      <c r="CH137" s="2">
        <f t="shared" si="718"/>
        <v>44621</v>
      </c>
      <c r="CI137" s="2">
        <f t="shared" si="718"/>
        <v>44652</v>
      </c>
      <c r="CJ137" s="2">
        <f t="shared" si="718"/>
        <v>44682</v>
      </c>
      <c r="CK137" s="2">
        <f t="shared" si="718"/>
        <v>44713</v>
      </c>
      <c r="CL137" s="2">
        <f t="shared" si="718"/>
        <v>44743</v>
      </c>
      <c r="CM137" s="2">
        <f t="shared" si="718"/>
        <v>44774</v>
      </c>
      <c r="CN137" s="2">
        <f t="shared" si="718"/>
        <v>44805</v>
      </c>
      <c r="CO137" s="2">
        <f t="shared" si="718"/>
        <v>44835</v>
      </c>
      <c r="CP137" s="2">
        <f t="shared" si="718"/>
        <v>44866</v>
      </c>
      <c r="CQ137" s="2">
        <f t="shared" si="718"/>
        <v>44896</v>
      </c>
      <c r="CR137" s="2">
        <f t="shared" si="718"/>
        <v>44927</v>
      </c>
      <c r="CS137" s="2">
        <f t="shared" si="718"/>
        <v>44958</v>
      </c>
      <c r="CT137" s="2">
        <f t="shared" si="718"/>
        <v>44986</v>
      </c>
      <c r="CU137" s="2">
        <f t="shared" si="718"/>
        <v>45017</v>
      </c>
      <c r="CV137" s="2">
        <f t="shared" si="718"/>
        <v>45047</v>
      </c>
      <c r="CW137" s="2">
        <f t="shared" si="718"/>
        <v>45078</v>
      </c>
      <c r="CX137" s="2">
        <f t="shared" si="718"/>
        <v>45108</v>
      </c>
      <c r="CY137" s="2">
        <f t="shared" si="718"/>
        <v>45139</v>
      </c>
      <c r="CZ137" s="2">
        <f t="shared" si="718"/>
        <v>45170</v>
      </c>
      <c r="DA137" s="2">
        <f t="shared" si="718"/>
        <v>45200</v>
      </c>
      <c r="DB137" s="2">
        <f t="shared" si="718"/>
        <v>45231</v>
      </c>
      <c r="DC137" s="2">
        <f t="shared" si="718"/>
        <v>45261</v>
      </c>
      <c r="DD137" s="2">
        <f t="shared" si="718"/>
        <v>45292</v>
      </c>
      <c r="DE137" s="2">
        <f t="shared" si="718"/>
        <v>45323</v>
      </c>
      <c r="DF137" s="2">
        <f t="shared" si="718"/>
        <v>45352</v>
      </c>
      <c r="DG137" s="2">
        <f t="shared" si="718"/>
        <v>45383</v>
      </c>
      <c r="DH137" s="2">
        <f t="shared" si="718"/>
        <v>45413</v>
      </c>
      <c r="DI137" s="2">
        <f t="shared" si="718"/>
        <v>45444</v>
      </c>
      <c r="DJ137" s="2">
        <f t="shared" si="718"/>
        <v>45474</v>
      </c>
      <c r="DK137" s="2">
        <f t="shared" si="718"/>
        <v>45505</v>
      </c>
      <c r="DL137" s="2">
        <f t="shared" si="718"/>
        <v>45536</v>
      </c>
      <c r="DM137" s="2">
        <f t="shared" si="718"/>
        <v>45566</v>
      </c>
      <c r="DN137" s="2">
        <f t="shared" si="718"/>
        <v>45597</v>
      </c>
      <c r="DO137" s="2">
        <f t="shared" si="718"/>
        <v>45627</v>
      </c>
      <c r="DP137" s="2">
        <f t="shared" si="718"/>
        <v>45658</v>
      </c>
      <c r="DQ137" s="2">
        <f t="shared" si="718"/>
        <v>45689</v>
      </c>
      <c r="DR137" s="2">
        <f t="shared" si="718"/>
        <v>45717</v>
      </c>
      <c r="DS137" s="2">
        <f t="shared" si="718"/>
        <v>45748</v>
      </c>
      <c r="DT137" s="2">
        <f t="shared" si="718"/>
        <v>45778</v>
      </c>
      <c r="DU137" s="2">
        <f t="shared" si="718"/>
        <v>45809</v>
      </c>
      <c r="DV137" s="2">
        <f t="shared" si="718"/>
        <v>45839</v>
      </c>
      <c r="DW137" s="2">
        <f t="shared" si="718"/>
        <v>45870</v>
      </c>
      <c r="DX137" s="2">
        <f t="shared" si="718"/>
        <v>45901</v>
      </c>
      <c r="DY137" s="2">
        <f t="shared" si="718"/>
        <v>45931</v>
      </c>
      <c r="DZ137" s="2">
        <f t="shared" si="718"/>
        <v>45962</v>
      </c>
      <c r="EA137" s="2">
        <f t="shared" si="718"/>
        <v>45992</v>
      </c>
      <c r="EB137" s="2">
        <f t="shared" si="718"/>
        <v>46023</v>
      </c>
      <c r="EC137" s="2">
        <f t="shared" si="718"/>
        <v>46054</v>
      </c>
      <c r="ED137" s="2">
        <f t="shared" ref="ED137:GO137" si="719">ED65</f>
        <v>46082</v>
      </c>
      <c r="EE137" s="2">
        <f t="shared" si="719"/>
        <v>46113</v>
      </c>
      <c r="EF137" s="2">
        <f t="shared" si="719"/>
        <v>46143</v>
      </c>
      <c r="EG137" s="2">
        <f t="shared" si="719"/>
        <v>46174</v>
      </c>
      <c r="EH137" s="2">
        <f t="shared" si="719"/>
        <v>46204</v>
      </c>
      <c r="EI137" s="2">
        <f t="shared" si="719"/>
        <v>46235</v>
      </c>
      <c r="EJ137" s="2">
        <f t="shared" si="719"/>
        <v>46266</v>
      </c>
      <c r="EK137" s="2">
        <f t="shared" si="719"/>
        <v>46296</v>
      </c>
      <c r="EL137" s="2">
        <f t="shared" si="719"/>
        <v>46327</v>
      </c>
      <c r="EM137" s="2">
        <f t="shared" si="719"/>
        <v>46357</v>
      </c>
      <c r="EN137" s="2">
        <f t="shared" si="719"/>
        <v>46388</v>
      </c>
      <c r="EO137" s="2">
        <f t="shared" si="719"/>
        <v>46419</v>
      </c>
      <c r="EP137" s="2">
        <f t="shared" si="719"/>
        <v>46447</v>
      </c>
      <c r="EQ137" s="2">
        <f t="shared" si="719"/>
        <v>46478</v>
      </c>
      <c r="ER137" s="2">
        <f t="shared" si="719"/>
        <v>46508</v>
      </c>
      <c r="ES137" s="2">
        <f t="shared" si="719"/>
        <v>46539</v>
      </c>
      <c r="ET137" s="2">
        <f t="shared" si="719"/>
        <v>46569</v>
      </c>
      <c r="EU137" s="2">
        <f t="shared" si="719"/>
        <v>46600</v>
      </c>
      <c r="EV137" s="2">
        <f t="shared" si="719"/>
        <v>46631</v>
      </c>
      <c r="EW137" s="2">
        <f t="shared" si="719"/>
        <v>46661</v>
      </c>
      <c r="EX137" s="2">
        <f t="shared" si="719"/>
        <v>46692</v>
      </c>
      <c r="EY137" s="2">
        <f t="shared" si="719"/>
        <v>46722</v>
      </c>
      <c r="EZ137" s="2">
        <f t="shared" si="719"/>
        <v>46753</v>
      </c>
      <c r="FA137" s="2">
        <f t="shared" si="719"/>
        <v>46784</v>
      </c>
      <c r="FB137" s="2">
        <f t="shared" si="719"/>
        <v>46813</v>
      </c>
      <c r="FC137" s="2">
        <f t="shared" si="719"/>
        <v>46844</v>
      </c>
      <c r="FD137" s="2">
        <f t="shared" si="719"/>
        <v>46874</v>
      </c>
      <c r="FE137" s="2">
        <f t="shared" si="719"/>
        <v>46905</v>
      </c>
      <c r="FF137" s="2">
        <f t="shared" si="719"/>
        <v>46935</v>
      </c>
      <c r="FG137" s="2">
        <f t="shared" si="719"/>
        <v>46966</v>
      </c>
      <c r="FH137" s="2">
        <f t="shared" si="719"/>
        <v>46997</v>
      </c>
      <c r="FI137" s="2">
        <f t="shared" si="719"/>
        <v>47027</v>
      </c>
      <c r="FJ137" s="2">
        <f t="shared" si="719"/>
        <v>47058</v>
      </c>
      <c r="FK137" s="2">
        <f t="shared" si="719"/>
        <v>47088</v>
      </c>
      <c r="FL137" s="2">
        <f t="shared" si="719"/>
        <v>47119</v>
      </c>
      <c r="FM137" s="2">
        <f t="shared" si="719"/>
        <v>47150</v>
      </c>
      <c r="FN137" s="2">
        <f t="shared" si="719"/>
        <v>47178</v>
      </c>
      <c r="FO137" s="2">
        <f t="shared" si="719"/>
        <v>47209</v>
      </c>
      <c r="FP137" s="2">
        <f t="shared" si="719"/>
        <v>47239</v>
      </c>
      <c r="FQ137" s="2">
        <f t="shared" si="719"/>
        <v>47270</v>
      </c>
      <c r="FR137" s="2">
        <f t="shared" si="719"/>
        <v>47300</v>
      </c>
      <c r="FS137" s="2">
        <f t="shared" si="719"/>
        <v>47331</v>
      </c>
      <c r="FT137" s="2">
        <f t="shared" si="719"/>
        <v>47362</v>
      </c>
      <c r="FU137" s="2">
        <f t="shared" si="719"/>
        <v>47392</v>
      </c>
      <c r="FV137" s="2">
        <f t="shared" si="719"/>
        <v>47423</v>
      </c>
      <c r="FW137" s="2">
        <f t="shared" si="719"/>
        <v>47453</v>
      </c>
      <c r="FX137" s="2">
        <f t="shared" si="719"/>
        <v>47484</v>
      </c>
      <c r="FY137" s="2">
        <f t="shared" si="719"/>
        <v>47515</v>
      </c>
      <c r="FZ137" s="2">
        <f t="shared" si="719"/>
        <v>47543</v>
      </c>
      <c r="GA137" s="2">
        <f t="shared" si="719"/>
        <v>47574</v>
      </c>
      <c r="GB137" s="2">
        <f t="shared" si="719"/>
        <v>47604</v>
      </c>
      <c r="GC137" s="2">
        <f t="shared" si="719"/>
        <v>47635</v>
      </c>
      <c r="GD137" s="2">
        <f t="shared" si="719"/>
        <v>47665</v>
      </c>
      <c r="GE137" s="2">
        <f t="shared" si="719"/>
        <v>47696</v>
      </c>
      <c r="GF137" s="2">
        <f t="shared" si="719"/>
        <v>47727</v>
      </c>
      <c r="GG137" s="2">
        <f t="shared" si="719"/>
        <v>47757</v>
      </c>
      <c r="GH137" s="2">
        <f t="shared" si="719"/>
        <v>47788</v>
      </c>
      <c r="GI137" s="2">
        <f t="shared" si="719"/>
        <v>47818</v>
      </c>
      <c r="GJ137" s="2">
        <f t="shared" si="719"/>
        <v>47849</v>
      </c>
      <c r="GK137" s="2">
        <f t="shared" si="719"/>
        <v>47880</v>
      </c>
      <c r="GL137" s="2">
        <f t="shared" si="719"/>
        <v>47908</v>
      </c>
      <c r="GM137" s="2">
        <f t="shared" si="719"/>
        <v>47939</v>
      </c>
      <c r="GN137" s="2">
        <f t="shared" si="719"/>
        <v>47969</v>
      </c>
      <c r="GO137" s="2">
        <f t="shared" si="719"/>
        <v>48000</v>
      </c>
      <c r="GP137" s="2">
        <f t="shared" ref="GP137:JA137" si="720">GP65</f>
        <v>48030</v>
      </c>
      <c r="GQ137" s="2">
        <f t="shared" si="720"/>
        <v>48061</v>
      </c>
      <c r="GR137" s="2">
        <f t="shared" si="720"/>
        <v>48092</v>
      </c>
      <c r="GS137" s="2">
        <f t="shared" si="720"/>
        <v>48122</v>
      </c>
      <c r="GT137" s="2">
        <f t="shared" si="720"/>
        <v>48153</v>
      </c>
      <c r="GU137" s="2">
        <f t="shared" si="720"/>
        <v>48183</v>
      </c>
      <c r="GV137" s="2">
        <f t="shared" si="720"/>
        <v>48214</v>
      </c>
      <c r="GW137" s="2">
        <f t="shared" si="720"/>
        <v>48245</v>
      </c>
      <c r="GX137" s="2">
        <f t="shared" si="720"/>
        <v>48274</v>
      </c>
      <c r="GY137" s="2">
        <f t="shared" si="720"/>
        <v>48305</v>
      </c>
      <c r="GZ137" s="2">
        <f t="shared" si="720"/>
        <v>48335</v>
      </c>
      <c r="HA137" s="2">
        <f t="shared" si="720"/>
        <v>48366</v>
      </c>
      <c r="HB137" s="2">
        <f t="shared" si="720"/>
        <v>48396</v>
      </c>
      <c r="HC137" s="2">
        <f t="shared" si="720"/>
        <v>48427</v>
      </c>
      <c r="HD137" s="2">
        <f t="shared" si="720"/>
        <v>48458</v>
      </c>
      <c r="HE137" s="2">
        <f t="shared" si="720"/>
        <v>48488</v>
      </c>
      <c r="HF137" s="2">
        <f t="shared" si="720"/>
        <v>48519</v>
      </c>
      <c r="HG137" s="2">
        <f t="shared" si="720"/>
        <v>48549</v>
      </c>
      <c r="HH137" s="2">
        <f t="shared" si="720"/>
        <v>48580</v>
      </c>
      <c r="HI137" s="2">
        <f t="shared" si="720"/>
        <v>48611</v>
      </c>
      <c r="HJ137" s="2">
        <f t="shared" si="720"/>
        <v>48639</v>
      </c>
      <c r="HK137" s="2">
        <f t="shared" si="720"/>
        <v>48670</v>
      </c>
      <c r="HL137" s="2">
        <f t="shared" si="720"/>
        <v>48700</v>
      </c>
      <c r="HM137" s="2">
        <f t="shared" si="720"/>
        <v>48731</v>
      </c>
      <c r="HN137" s="2">
        <f t="shared" si="720"/>
        <v>48761</v>
      </c>
      <c r="HO137" s="2">
        <f t="shared" si="720"/>
        <v>48792</v>
      </c>
      <c r="HP137" s="2">
        <f t="shared" si="720"/>
        <v>48823</v>
      </c>
      <c r="HQ137" s="2">
        <f t="shared" si="720"/>
        <v>48853</v>
      </c>
      <c r="HR137" s="2">
        <f t="shared" si="720"/>
        <v>48884</v>
      </c>
      <c r="HS137" s="2">
        <f t="shared" si="720"/>
        <v>48914</v>
      </c>
      <c r="HT137" s="2">
        <f t="shared" si="720"/>
        <v>48945</v>
      </c>
      <c r="HU137" s="2">
        <f t="shared" si="720"/>
        <v>48976</v>
      </c>
      <c r="HV137" s="2">
        <f t="shared" si="720"/>
        <v>49004</v>
      </c>
      <c r="HW137" s="2">
        <f t="shared" si="720"/>
        <v>49035</v>
      </c>
      <c r="HX137" s="2">
        <f t="shared" si="720"/>
        <v>49065</v>
      </c>
      <c r="HY137" s="2">
        <f t="shared" si="720"/>
        <v>49096</v>
      </c>
      <c r="HZ137" s="2">
        <f t="shared" si="720"/>
        <v>49126</v>
      </c>
      <c r="IA137" s="2">
        <f t="shared" si="720"/>
        <v>49157</v>
      </c>
      <c r="IB137" s="2">
        <f t="shared" si="720"/>
        <v>49188</v>
      </c>
      <c r="IC137" s="2">
        <f t="shared" si="720"/>
        <v>49218</v>
      </c>
      <c r="ID137" s="2">
        <f t="shared" si="720"/>
        <v>49249</v>
      </c>
      <c r="IE137" s="2">
        <f t="shared" si="720"/>
        <v>49279</v>
      </c>
      <c r="IF137" s="2">
        <f t="shared" si="720"/>
        <v>49310</v>
      </c>
      <c r="IG137" s="2">
        <f t="shared" si="720"/>
        <v>49341</v>
      </c>
      <c r="IH137" s="2">
        <f t="shared" si="720"/>
        <v>49369</v>
      </c>
      <c r="II137" s="2">
        <f t="shared" si="720"/>
        <v>49400</v>
      </c>
      <c r="IJ137" s="2">
        <f t="shared" si="720"/>
        <v>49430</v>
      </c>
      <c r="IK137" s="2">
        <f t="shared" si="720"/>
        <v>49461</v>
      </c>
      <c r="IL137" s="2">
        <f t="shared" si="720"/>
        <v>49491</v>
      </c>
      <c r="IM137" s="2">
        <f t="shared" si="720"/>
        <v>49522</v>
      </c>
      <c r="IN137" s="2">
        <f t="shared" si="720"/>
        <v>49553</v>
      </c>
      <c r="IO137" s="2">
        <f t="shared" si="720"/>
        <v>49583</v>
      </c>
      <c r="IP137" s="2">
        <f t="shared" si="720"/>
        <v>49614</v>
      </c>
      <c r="IQ137" s="2">
        <f t="shared" si="720"/>
        <v>49644</v>
      </c>
      <c r="IR137" s="2">
        <f t="shared" si="720"/>
        <v>49675</v>
      </c>
      <c r="IS137" s="2">
        <f t="shared" si="720"/>
        <v>49706</v>
      </c>
      <c r="IT137" s="2">
        <f t="shared" si="720"/>
        <v>49735</v>
      </c>
      <c r="IU137" s="2">
        <f t="shared" si="720"/>
        <v>49766</v>
      </c>
      <c r="IV137" s="2">
        <f t="shared" si="720"/>
        <v>49796</v>
      </c>
      <c r="IW137" s="2">
        <f t="shared" si="720"/>
        <v>49827</v>
      </c>
      <c r="IX137" s="2">
        <f t="shared" si="720"/>
        <v>49857</v>
      </c>
      <c r="IY137" s="2">
        <f t="shared" si="720"/>
        <v>49888</v>
      </c>
      <c r="IZ137" s="2">
        <f t="shared" si="720"/>
        <v>49919</v>
      </c>
      <c r="JA137" s="2">
        <f t="shared" si="720"/>
        <v>49949</v>
      </c>
      <c r="JB137" s="2">
        <f t="shared" ref="JB137:LM137" si="721">JB65</f>
        <v>49980</v>
      </c>
      <c r="JC137" s="2">
        <f t="shared" si="721"/>
        <v>50010</v>
      </c>
      <c r="JD137" s="2">
        <f t="shared" si="721"/>
        <v>50041</v>
      </c>
      <c r="JE137" s="2">
        <f t="shared" si="721"/>
        <v>50072</v>
      </c>
      <c r="JF137" s="2">
        <f t="shared" si="721"/>
        <v>50100</v>
      </c>
      <c r="JG137" s="2">
        <f t="shared" si="721"/>
        <v>50131</v>
      </c>
      <c r="JH137" s="2">
        <f t="shared" si="721"/>
        <v>50161</v>
      </c>
      <c r="JI137" s="2">
        <f t="shared" si="721"/>
        <v>50192</v>
      </c>
      <c r="JJ137" s="2">
        <f t="shared" si="721"/>
        <v>50222</v>
      </c>
      <c r="JK137" s="2">
        <f t="shared" si="721"/>
        <v>50253</v>
      </c>
      <c r="JL137" s="2">
        <f t="shared" si="721"/>
        <v>50284</v>
      </c>
      <c r="JM137" s="2">
        <f t="shared" si="721"/>
        <v>50314</v>
      </c>
      <c r="JN137" s="2">
        <f t="shared" si="721"/>
        <v>50345</v>
      </c>
      <c r="JO137" s="2">
        <f t="shared" si="721"/>
        <v>50375</v>
      </c>
      <c r="JP137" s="2">
        <f t="shared" si="721"/>
        <v>50406</v>
      </c>
      <c r="JQ137" s="2">
        <f t="shared" si="721"/>
        <v>50437</v>
      </c>
      <c r="JR137" s="2">
        <f t="shared" si="721"/>
        <v>50465</v>
      </c>
      <c r="JS137" s="2">
        <f t="shared" si="721"/>
        <v>50496</v>
      </c>
      <c r="JT137" s="2">
        <f t="shared" si="721"/>
        <v>50526</v>
      </c>
      <c r="JU137" s="2">
        <f t="shared" si="721"/>
        <v>50557</v>
      </c>
      <c r="JV137" s="2">
        <f t="shared" si="721"/>
        <v>50587</v>
      </c>
      <c r="JW137" s="2">
        <f t="shared" si="721"/>
        <v>50618</v>
      </c>
      <c r="JX137" s="2">
        <f t="shared" si="721"/>
        <v>50649</v>
      </c>
      <c r="JY137" s="2">
        <f t="shared" si="721"/>
        <v>50679</v>
      </c>
      <c r="JZ137" s="2">
        <f t="shared" si="721"/>
        <v>50710</v>
      </c>
      <c r="KA137" s="2">
        <f t="shared" si="721"/>
        <v>50740</v>
      </c>
      <c r="KB137" s="2">
        <f t="shared" si="721"/>
        <v>50771</v>
      </c>
      <c r="KC137" s="2">
        <f t="shared" si="721"/>
        <v>50802</v>
      </c>
      <c r="KD137" s="2">
        <f t="shared" si="721"/>
        <v>50830</v>
      </c>
      <c r="KE137" s="2">
        <f t="shared" si="721"/>
        <v>50861</v>
      </c>
      <c r="KF137" s="2">
        <f t="shared" si="721"/>
        <v>50891</v>
      </c>
      <c r="KG137" s="2">
        <f t="shared" si="721"/>
        <v>50922</v>
      </c>
      <c r="KH137" s="2">
        <f t="shared" si="721"/>
        <v>50952</v>
      </c>
      <c r="KI137" s="2">
        <f t="shared" si="721"/>
        <v>50983</v>
      </c>
      <c r="KJ137" s="2">
        <f t="shared" si="721"/>
        <v>51014</v>
      </c>
      <c r="KK137" s="2">
        <f t="shared" si="721"/>
        <v>51044</v>
      </c>
      <c r="KL137" s="2">
        <f t="shared" si="721"/>
        <v>51075</v>
      </c>
      <c r="KM137" s="2">
        <f t="shared" si="721"/>
        <v>51105</v>
      </c>
      <c r="KN137" s="2">
        <f t="shared" si="721"/>
        <v>51136</v>
      </c>
      <c r="KO137" s="2">
        <f t="shared" si="721"/>
        <v>51167</v>
      </c>
      <c r="KP137" s="2">
        <f t="shared" si="721"/>
        <v>51196</v>
      </c>
      <c r="KQ137" s="2">
        <f t="shared" si="721"/>
        <v>51227</v>
      </c>
      <c r="KR137" s="2">
        <f t="shared" si="721"/>
        <v>51257</v>
      </c>
      <c r="KS137" s="2">
        <f t="shared" si="721"/>
        <v>51288</v>
      </c>
      <c r="KT137" s="2">
        <f t="shared" si="721"/>
        <v>51318</v>
      </c>
      <c r="KU137" s="2">
        <f t="shared" si="721"/>
        <v>51349</v>
      </c>
      <c r="KV137" s="2">
        <f t="shared" si="721"/>
        <v>51380</v>
      </c>
      <c r="KW137" s="2">
        <f t="shared" si="721"/>
        <v>51410</v>
      </c>
      <c r="KX137" s="2">
        <f t="shared" si="721"/>
        <v>51441</v>
      </c>
      <c r="KY137" s="2">
        <f t="shared" si="721"/>
        <v>51471</v>
      </c>
      <c r="KZ137" s="2">
        <f t="shared" si="721"/>
        <v>51502</v>
      </c>
      <c r="LA137" s="2">
        <f t="shared" si="721"/>
        <v>51533</v>
      </c>
      <c r="LB137" s="2">
        <f t="shared" si="721"/>
        <v>51561</v>
      </c>
      <c r="LC137" s="2">
        <f t="shared" si="721"/>
        <v>51592</v>
      </c>
      <c r="LD137" s="2">
        <f t="shared" si="721"/>
        <v>51622</v>
      </c>
      <c r="LE137" s="2">
        <f t="shared" si="721"/>
        <v>51653</v>
      </c>
      <c r="LF137" s="2">
        <f t="shared" si="721"/>
        <v>51683</v>
      </c>
      <c r="LG137" s="2">
        <f t="shared" si="721"/>
        <v>51714</v>
      </c>
      <c r="LH137" s="2">
        <f t="shared" si="721"/>
        <v>51745</v>
      </c>
      <c r="LI137" s="2">
        <f t="shared" si="721"/>
        <v>51775</v>
      </c>
      <c r="LJ137" s="2">
        <f t="shared" si="721"/>
        <v>51806</v>
      </c>
      <c r="LK137" s="2">
        <f t="shared" si="721"/>
        <v>51836</v>
      </c>
      <c r="LL137" s="2">
        <f t="shared" si="721"/>
        <v>51867</v>
      </c>
      <c r="LM137" s="2">
        <f t="shared" si="721"/>
        <v>51898</v>
      </c>
      <c r="LN137" s="2">
        <f t="shared" ref="LN137:NY137" si="722">LN65</f>
        <v>51926</v>
      </c>
      <c r="LO137" s="2">
        <f t="shared" si="722"/>
        <v>51957</v>
      </c>
      <c r="LP137" s="2">
        <f t="shared" si="722"/>
        <v>51987</v>
      </c>
      <c r="LQ137" s="2">
        <f t="shared" si="722"/>
        <v>52018</v>
      </c>
      <c r="LR137" s="2">
        <f t="shared" si="722"/>
        <v>52048</v>
      </c>
      <c r="LS137" s="2">
        <f t="shared" si="722"/>
        <v>52079</v>
      </c>
      <c r="LT137" s="2">
        <f t="shared" si="722"/>
        <v>52110</v>
      </c>
      <c r="LU137" s="2">
        <f t="shared" si="722"/>
        <v>52140</v>
      </c>
      <c r="LV137" s="2">
        <f t="shared" si="722"/>
        <v>52171</v>
      </c>
      <c r="LW137" s="2">
        <f t="shared" si="722"/>
        <v>52201</v>
      </c>
      <c r="LX137" s="2">
        <f t="shared" si="722"/>
        <v>52232</v>
      </c>
      <c r="LY137" s="2">
        <f t="shared" si="722"/>
        <v>52263</v>
      </c>
      <c r="LZ137" s="2">
        <f t="shared" si="722"/>
        <v>52291</v>
      </c>
      <c r="MA137" s="2">
        <f t="shared" si="722"/>
        <v>52322</v>
      </c>
      <c r="MB137" s="2">
        <f t="shared" si="722"/>
        <v>52352</v>
      </c>
      <c r="MC137" s="2">
        <f t="shared" si="722"/>
        <v>52383</v>
      </c>
      <c r="MD137" s="2">
        <f t="shared" si="722"/>
        <v>52413</v>
      </c>
      <c r="ME137" s="2">
        <f t="shared" si="722"/>
        <v>52444</v>
      </c>
      <c r="MF137" s="2">
        <f t="shared" si="722"/>
        <v>52475</v>
      </c>
      <c r="MG137" s="2">
        <f t="shared" si="722"/>
        <v>52505</v>
      </c>
      <c r="MH137" s="2">
        <f t="shared" si="722"/>
        <v>52536</v>
      </c>
      <c r="MI137" s="2">
        <f t="shared" si="722"/>
        <v>52566</v>
      </c>
      <c r="MJ137" s="2">
        <f t="shared" si="722"/>
        <v>52597</v>
      </c>
      <c r="MK137" s="2">
        <f t="shared" si="722"/>
        <v>52628</v>
      </c>
      <c r="ML137" s="2">
        <f t="shared" si="722"/>
        <v>52657</v>
      </c>
      <c r="MM137" s="2">
        <f t="shared" si="722"/>
        <v>52688</v>
      </c>
      <c r="MN137" s="2">
        <f t="shared" si="722"/>
        <v>52718</v>
      </c>
      <c r="MO137" s="2">
        <f t="shared" si="722"/>
        <v>52749</v>
      </c>
      <c r="MP137" s="2">
        <f t="shared" si="722"/>
        <v>52779</v>
      </c>
      <c r="MQ137" s="2">
        <f t="shared" si="722"/>
        <v>52810</v>
      </c>
      <c r="MR137" s="2">
        <f t="shared" si="722"/>
        <v>52841</v>
      </c>
      <c r="MS137" s="2">
        <f t="shared" si="722"/>
        <v>52871</v>
      </c>
      <c r="MT137" s="2">
        <f t="shared" si="722"/>
        <v>52902</v>
      </c>
      <c r="MU137" s="2">
        <f t="shared" si="722"/>
        <v>52932</v>
      </c>
      <c r="MV137" s="2">
        <f t="shared" si="722"/>
        <v>52963</v>
      </c>
      <c r="MW137" s="2">
        <f t="shared" si="722"/>
        <v>52994</v>
      </c>
      <c r="MX137" s="2">
        <f t="shared" si="722"/>
        <v>53022</v>
      </c>
      <c r="MY137" s="2">
        <f t="shared" si="722"/>
        <v>53053</v>
      </c>
      <c r="MZ137" s="2">
        <f t="shared" si="722"/>
        <v>53083</v>
      </c>
      <c r="NA137" s="2">
        <f t="shared" si="722"/>
        <v>53114</v>
      </c>
      <c r="NB137" s="2">
        <f t="shared" si="722"/>
        <v>53144</v>
      </c>
      <c r="NC137" s="2">
        <f t="shared" si="722"/>
        <v>53175</v>
      </c>
      <c r="ND137" s="2">
        <f t="shared" si="722"/>
        <v>53206</v>
      </c>
      <c r="NE137" s="2">
        <f t="shared" si="722"/>
        <v>53236</v>
      </c>
      <c r="NF137" s="2">
        <f t="shared" si="722"/>
        <v>53267</v>
      </c>
      <c r="NG137" s="2">
        <f t="shared" si="722"/>
        <v>53297</v>
      </c>
      <c r="NH137" s="2">
        <f t="shared" si="722"/>
        <v>53328</v>
      </c>
      <c r="NI137" s="2">
        <f t="shared" si="722"/>
        <v>53359</v>
      </c>
      <c r="NJ137" s="2">
        <f t="shared" si="722"/>
        <v>53387</v>
      </c>
      <c r="NK137" s="2">
        <f t="shared" si="722"/>
        <v>53418</v>
      </c>
      <c r="NL137" s="2">
        <f t="shared" si="722"/>
        <v>53448</v>
      </c>
      <c r="NM137" s="2">
        <f t="shared" si="722"/>
        <v>53479</v>
      </c>
      <c r="NN137" s="2">
        <f t="shared" si="722"/>
        <v>53509</v>
      </c>
      <c r="NO137" s="2">
        <f t="shared" si="722"/>
        <v>53540</v>
      </c>
      <c r="NP137" s="2">
        <f t="shared" si="722"/>
        <v>53571</v>
      </c>
      <c r="NQ137" s="2">
        <f t="shared" si="722"/>
        <v>53601</v>
      </c>
      <c r="NR137" s="2">
        <f t="shared" si="722"/>
        <v>53632</v>
      </c>
      <c r="NS137" s="2">
        <f t="shared" si="722"/>
        <v>53662</v>
      </c>
      <c r="NT137" s="2">
        <f t="shared" si="722"/>
        <v>53693</v>
      </c>
      <c r="NU137" s="2">
        <f t="shared" si="722"/>
        <v>53724</v>
      </c>
      <c r="NV137" s="2">
        <f t="shared" si="722"/>
        <v>53752</v>
      </c>
      <c r="NW137" s="2">
        <f t="shared" si="722"/>
        <v>53783</v>
      </c>
      <c r="NX137" s="2">
        <f t="shared" si="722"/>
        <v>53813</v>
      </c>
      <c r="NY137" s="2">
        <f t="shared" si="722"/>
        <v>53844</v>
      </c>
      <c r="NZ137" s="2">
        <f t="shared" ref="NZ137:QK137" si="723">NZ65</f>
        <v>53874</v>
      </c>
      <c r="OA137" s="2">
        <f t="shared" si="723"/>
        <v>53905</v>
      </c>
      <c r="OB137" s="2">
        <f t="shared" si="723"/>
        <v>53936</v>
      </c>
      <c r="OC137" s="2">
        <f t="shared" si="723"/>
        <v>53966</v>
      </c>
      <c r="OD137" s="2">
        <f t="shared" si="723"/>
        <v>53997</v>
      </c>
      <c r="OE137" s="2">
        <f t="shared" si="723"/>
        <v>54027</v>
      </c>
      <c r="OF137" s="2">
        <f t="shared" si="723"/>
        <v>54058</v>
      </c>
      <c r="OG137" s="2">
        <f t="shared" si="723"/>
        <v>54089</v>
      </c>
      <c r="OH137" s="2">
        <f t="shared" si="723"/>
        <v>54118</v>
      </c>
      <c r="OI137" s="2">
        <f t="shared" si="723"/>
        <v>54149</v>
      </c>
      <c r="OJ137" s="2">
        <f t="shared" si="723"/>
        <v>54179</v>
      </c>
      <c r="OK137" s="2">
        <f t="shared" si="723"/>
        <v>54210</v>
      </c>
      <c r="OL137" s="2">
        <f t="shared" si="723"/>
        <v>54240</v>
      </c>
      <c r="OM137" s="2">
        <f t="shared" si="723"/>
        <v>54271</v>
      </c>
      <c r="ON137" s="2">
        <f t="shared" si="723"/>
        <v>54302</v>
      </c>
      <c r="OO137" s="2">
        <f t="shared" si="723"/>
        <v>54332</v>
      </c>
      <c r="OP137" s="2">
        <f t="shared" si="723"/>
        <v>54363</v>
      </c>
      <c r="OQ137" s="2">
        <f t="shared" si="723"/>
        <v>54393</v>
      </c>
      <c r="OR137" s="2">
        <f t="shared" si="723"/>
        <v>54424</v>
      </c>
      <c r="OS137" s="2">
        <f t="shared" si="723"/>
        <v>54455</v>
      </c>
      <c r="OT137" s="2">
        <f t="shared" si="723"/>
        <v>54483</v>
      </c>
      <c r="OU137" s="2">
        <f t="shared" si="723"/>
        <v>54514</v>
      </c>
      <c r="OV137" s="2">
        <f t="shared" si="723"/>
        <v>54544</v>
      </c>
      <c r="OW137" s="2">
        <f t="shared" si="723"/>
        <v>54575</v>
      </c>
      <c r="OX137" s="2">
        <f t="shared" si="723"/>
        <v>54605</v>
      </c>
      <c r="OY137" s="2">
        <f t="shared" si="723"/>
        <v>54636</v>
      </c>
      <c r="OZ137" s="2">
        <f t="shared" si="723"/>
        <v>54667</v>
      </c>
      <c r="PA137" s="2">
        <f t="shared" si="723"/>
        <v>54697</v>
      </c>
      <c r="PB137" s="2">
        <f t="shared" si="723"/>
        <v>54728</v>
      </c>
      <c r="PC137" s="2">
        <f t="shared" si="723"/>
        <v>54758</v>
      </c>
      <c r="PD137" s="2">
        <f t="shared" si="723"/>
        <v>54789</v>
      </c>
      <c r="PE137" s="2">
        <f t="shared" si="723"/>
        <v>54820</v>
      </c>
      <c r="PF137" s="2">
        <f t="shared" si="723"/>
        <v>54848</v>
      </c>
      <c r="PG137" s="2">
        <f t="shared" si="723"/>
        <v>54879</v>
      </c>
      <c r="PH137" s="2">
        <f t="shared" si="723"/>
        <v>54909</v>
      </c>
      <c r="PI137" s="2">
        <f t="shared" si="723"/>
        <v>54940</v>
      </c>
      <c r="PJ137" s="2">
        <f t="shared" si="723"/>
        <v>54970</v>
      </c>
      <c r="PK137" s="2">
        <f t="shared" si="723"/>
        <v>55001</v>
      </c>
      <c r="PL137" s="2">
        <f t="shared" si="723"/>
        <v>55032</v>
      </c>
      <c r="PM137" s="2">
        <f t="shared" si="723"/>
        <v>55062</v>
      </c>
      <c r="PN137" s="2">
        <f t="shared" si="723"/>
        <v>55093</v>
      </c>
      <c r="PO137" s="2">
        <f t="shared" si="723"/>
        <v>55123</v>
      </c>
      <c r="PP137" s="2">
        <f t="shared" si="723"/>
        <v>55154</v>
      </c>
      <c r="PQ137" s="2">
        <f t="shared" si="723"/>
        <v>55185</v>
      </c>
      <c r="PR137" s="2">
        <f t="shared" si="723"/>
        <v>55213</v>
      </c>
      <c r="PS137" s="2">
        <f t="shared" si="723"/>
        <v>55244</v>
      </c>
      <c r="PT137" s="2">
        <f t="shared" si="723"/>
        <v>55274</v>
      </c>
      <c r="PU137" s="2">
        <f t="shared" si="723"/>
        <v>55305</v>
      </c>
      <c r="PV137" s="2">
        <f t="shared" si="723"/>
        <v>55335</v>
      </c>
      <c r="PW137" s="2">
        <f t="shared" si="723"/>
        <v>55366</v>
      </c>
      <c r="PX137" s="2">
        <f t="shared" si="723"/>
        <v>55397</v>
      </c>
      <c r="PY137" s="2">
        <f t="shared" si="723"/>
        <v>55427</v>
      </c>
      <c r="PZ137" s="2">
        <f t="shared" si="723"/>
        <v>55458</v>
      </c>
      <c r="QA137" s="2">
        <f t="shared" si="723"/>
        <v>55488</v>
      </c>
      <c r="QB137" s="2">
        <f t="shared" si="723"/>
        <v>55519</v>
      </c>
      <c r="QC137" s="2">
        <f t="shared" si="723"/>
        <v>55550</v>
      </c>
      <c r="QD137" s="2">
        <f t="shared" si="723"/>
        <v>55579</v>
      </c>
      <c r="QE137" s="2">
        <f t="shared" si="723"/>
        <v>55610</v>
      </c>
      <c r="QF137" s="2">
        <f t="shared" si="723"/>
        <v>55640</v>
      </c>
      <c r="QG137" s="2">
        <f t="shared" si="723"/>
        <v>55671</v>
      </c>
      <c r="QH137" s="2">
        <f t="shared" si="723"/>
        <v>55701</v>
      </c>
      <c r="QI137" s="2">
        <f t="shared" si="723"/>
        <v>55732</v>
      </c>
      <c r="QJ137" s="2">
        <f t="shared" si="723"/>
        <v>55763</v>
      </c>
      <c r="QK137" s="2">
        <f t="shared" si="723"/>
        <v>55793</v>
      </c>
      <c r="QL137" s="2">
        <f t="shared" ref="QL137:RR137" si="724">QL65</f>
        <v>55824</v>
      </c>
      <c r="QM137" s="2">
        <f t="shared" si="724"/>
        <v>55854</v>
      </c>
      <c r="QN137" s="2">
        <f t="shared" si="724"/>
        <v>55885</v>
      </c>
      <c r="QO137" s="2">
        <f t="shared" si="724"/>
        <v>55916</v>
      </c>
      <c r="QP137" s="2">
        <f t="shared" si="724"/>
        <v>55944</v>
      </c>
      <c r="QQ137" s="2">
        <f t="shared" si="724"/>
        <v>55975</v>
      </c>
      <c r="QR137" s="2">
        <f t="shared" si="724"/>
        <v>56005</v>
      </c>
      <c r="QS137" s="2">
        <f t="shared" si="724"/>
        <v>56036</v>
      </c>
      <c r="QT137" s="2">
        <f t="shared" si="724"/>
        <v>56066</v>
      </c>
      <c r="QU137" s="2">
        <f t="shared" si="724"/>
        <v>56097</v>
      </c>
      <c r="QV137" s="2">
        <f t="shared" si="724"/>
        <v>56128</v>
      </c>
      <c r="QW137" s="2">
        <f t="shared" si="724"/>
        <v>56158</v>
      </c>
      <c r="QX137" s="2">
        <f t="shared" si="724"/>
        <v>56189</v>
      </c>
      <c r="QY137" s="2">
        <f t="shared" si="724"/>
        <v>56219</v>
      </c>
      <c r="QZ137" s="2">
        <f t="shared" si="724"/>
        <v>56250</v>
      </c>
      <c r="RA137" s="2">
        <f t="shared" si="724"/>
        <v>56281</v>
      </c>
      <c r="RB137" s="2">
        <f t="shared" si="724"/>
        <v>56309</v>
      </c>
      <c r="RC137" s="2">
        <f t="shared" si="724"/>
        <v>56340</v>
      </c>
      <c r="RD137" s="2">
        <f t="shared" si="724"/>
        <v>56370</v>
      </c>
      <c r="RE137" s="2">
        <f t="shared" si="724"/>
        <v>56401</v>
      </c>
      <c r="RF137" s="2">
        <f t="shared" si="724"/>
        <v>56431</v>
      </c>
      <c r="RG137" s="2">
        <f t="shared" si="724"/>
        <v>56462</v>
      </c>
      <c r="RH137" s="2">
        <f t="shared" si="724"/>
        <v>56493</v>
      </c>
      <c r="RI137" s="2">
        <f t="shared" si="724"/>
        <v>56523</v>
      </c>
      <c r="RJ137" s="2">
        <f t="shared" si="724"/>
        <v>56554</v>
      </c>
      <c r="RK137" s="2">
        <f t="shared" si="724"/>
        <v>56584</v>
      </c>
      <c r="RL137" s="2">
        <f t="shared" si="724"/>
        <v>56615</v>
      </c>
      <c r="RM137" s="2">
        <f t="shared" si="724"/>
        <v>56646</v>
      </c>
      <c r="RN137" s="2">
        <f t="shared" si="724"/>
        <v>56674</v>
      </c>
      <c r="RO137" s="2">
        <f t="shared" si="724"/>
        <v>56705</v>
      </c>
      <c r="RP137" s="2">
        <f t="shared" si="724"/>
        <v>56735</v>
      </c>
      <c r="RQ137" s="2">
        <f t="shared" si="724"/>
        <v>56766</v>
      </c>
      <c r="RR137" s="2">
        <f t="shared" si="724"/>
        <v>56796</v>
      </c>
    </row>
    <row r="138" spans="1:486" s="9" customFormat="1" ht="43.2">
      <c r="A138" s="137"/>
      <c r="C138" s="132" t="s">
        <v>260</v>
      </c>
      <c r="D138" s="9" t="s">
        <v>256</v>
      </c>
      <c r="E138" s="138">
        <f>E114</f>
        <v>88996133.220760718</v>
      </c>
      <c r="F138" s="138">
        <f t="shared" ref="F138:BQ138" ca="1" si="725">F114</f>
        <v>89284480.804968819</v>
      </c>
      <c r="G138" s="138">
        <f t="shared" ca="1" si="725"/>
        <v>89573762.635714501</v>
      </c>
      <c r="H138" s="138">
        <f t="shared" ca="1" si="725"/>
        <v>89863981.73995772</v>
      </c>
      <c r="I138" s="138">
        <f t="shared" ca="1" si="725"/>
        <v>90155141.15446578</v>
      </c>
      <c r="J138" s="138">
        <f t="shared" ca="1" si="725"/>
        <v>90447243.925845146</v>
      </c>
      <c r="K138" s="138">
        <f t="shared" ca="1" si="725"/>
        <v>90740293.110573247</v>
      </c>
      <c r="L138" s="138">
        <f t="shared" ca="1" si="725"/>
        <v>91034291.775030568</v>
      </c>
      <c r="M138" s="138">
        <f t="shared" ca="1" si="725"/>
        <v>91329242.995532602</v>
      </c>
      <c r="N138" s="138">
        <f t="shared" ca="1" si="725"/>
        <v>91625149.858362168</v>
      </c>
      <c r="O138" s="138">
        <f t="shared" ca="1" si="725"/>
        <v>91922015.459801584</v>
      </c>
      <c r="P138" s="138">
        <f t="shared" ca="1" si="725"/>
        <v>92219842.906165168</v>
      </c>
      <c r="Q138" s="138">
        <f t="shared" ca="1" si="725"/>
        <v>92518635.313831717</v>
      </c>
      <c r="R138" s="138">
        <f t="shared" ca="1" si="725"/>
        <v>92818395.809277043</v>
      </c>
      <c r="S138" s="138">
        <f t="shared" ca="1" si="725"/>
        <v>93119127.529106781</v>
      </c>
      <c r="T138" s="138">
        <f t="shared" ca="1" si="725"/>
        <v>93420833.620089188</v>
      </c>
      <c r="U138" s="138">
        <f t="shared" ca="1" si="725"/>
        <v>93723517.239187986</v>
      </c>
      <c r="V138" s="138">
        <f t="shared" ca="1" si="725"/>
        <v>94027181.553595543</v>
      </c>
      <c r="W138" s="138">
        <f t="shared" ca="1" si="725"/>
        <v>94331829.740765885</v>
      </c>
      <c r="X138" s="138">
        <f t="shared" ca="1" si="725"/>
        <v>94637464.988448039</v>
      </c>
      <c r="Y138" s="138">
        <f t="shared" ca="1" si="725"/>
        <v>94944090.494719267</v>
      </c>
      <c r="Z138" s="138">
        <f t="shared" ca="1" si="725"/>
        <v>95251709.468018681</v>
      </c>
      <c r="AA138" s="138">
        <f t="shared" ca="1" si="725"/>
        <v>95560325.127180696</v>
      </c>
      <c r="AB138" s="138">
        <f t="shared" ca="1" si="725"/>
        <v>95869940.701468766</v>
      </c>
      <c r="AC138" s="138">
        <f t="shared" ca="1" si="725"/>
        <v>96180559.430609167</v>
      </c>
      <c r="AD138" s="138">
        <f t="shared" ca="1" si="725"/>
        <v>96492184.564824894</v>
      </c>
      <c r="AE138" s="138">
        <f t="shared" ca="1" si="725"/>
        <v>96804819.364869669</v>
      </c>
      <c r="AF138" s="138">
        <f t="shared" ca="1" si="725"/>
        <v>97118467.102062032</v>
      </c>
      <c r="AG138" s="138">
        <f t="shared" ca="1" si="725"/>
        <v>97433131.058319643</v>
      </c>
      <c r="AH138" s="138">
        <f t="shared" ca="1" si="725"/>
        <v>97748814.526193544</v>
      </c>
      <c r="AI138" s="138">
        <f t="shared" ca="1" si="725"/>
        <v>98065520.808902681</v>
      </c>
      <c r="AJ138" s="138">
        <f t="shared" ca="1" si="725"/>
        <v>98383253.2203684</v>
      </c>
      <c r="AK138" s="138">
        <f t="shared" ca="1" si="725"/>
        <v>98702015.085249171</v>
      </c>
      <c r="AL138" s="138">
        <f t="shared" ca="1" si="725"/>
        <v>99021809.738975361</v>
      </c>
      <c r="AM138" s="138">
        <f t="shared" ca="1" si="725"/>
        <v>99342640.527784154</v>
      </c>
      <c r="AN138" s="138">
        <f t="shared" ca="1" si="725"/>
        <v>99664510.808754489</v>
      </c>
      <c r="AO138" s="138">
        <f t="shared" ca="1" si="725"/>
        <v>99987423.949842319</v>
      </c>
      <c r="AP138" s="138">
        <f t="shared" ca="1" si="725"/>
        <v>100311383.32991572</v>
      </c>
      <c r="AQ138" s="138">
        <f t="shared" ca="1" si="725"/>
        <v>100636392.33879036</v>
      </c>
      <c r="AR138" s="138">
        <f t="shared" ca="1" si="725"/>
        <v>100962454.37726484</v>
      </c>
      <c r="AS138" s="138">
        <f t="shared" ca="1" si="725"/>
        <v>101289572.85715644</v>
      </c>
      <c r="AT138" s="138">
        <f t="shared" ca="1" si="725"/>
        <v>101617751.20133665</v>
      </c>
      <c r="AU138" s="138">
        <f t="shared" ca="1" si="725"/>
        <v>101946992.84376715</v>
      </c>
      <c r="AV138" s="138">
        <f t="shared" ca="1" si="725"/>
        <v>102277301.22953558</v>
      </c>
      <c r="AW138" s="138">
        <f t="shared" ca="1" si="725"/>
        <v>102608679.8148917</v>
      </c>
      <c r="AX138" s="138">
        <f t="shared" ca="1" si="725"/>
        <v>102941132.06728354</v>
      </c>
      <c r="AY138" s="138">
        <f t="shared" ca="1" si="725"/>
        <v>103274661.46539366</v>
      </c>
      <c r="AZ138" s="138">
        <f t="shared" ca="1" si="725"/>
        <v>103609271.49917555</v>
      </c>
      <c r="BA138" s="138">
        <f t="shared" ca="1" si="725"/>
        <v>103944965.66989015</v>
      </c>
      <c r="BB138" s="138">
        <f t="shared" ca="1" si="725"/>
        <v>104281747.49014249</v>
      </c>
      <c r="BC138" s="138">
        <f t="shared" ca="1" si="725"/>
        <v>104619620.48391844</v>
      </c>
      <c r="BD138" s="138">
        <f t="shared" ca="1" si="725"/>
        <v>104958588.18662162</v>
      </c>
      <c r="BE138" s="138">
        <f t="shared" ca="1" si="725"/>
        <v>105298654.14511029</v>
      </c>
      <c r="BF138" s="138">
        <f t="shared" ca="1" si="725"/>
        <v>105639821.91773465</v>
      </c>
      <c r="BG138" s="138">
        <f t="shared" ca="1" si="725"/>
        <v>105982095.07437386</v>
      </c>
      <c r="BH138" s="138">
        <f t="shared" ca="1" si="725"/>
        <v>106325477.19647352</v>
      </c>
      <c r="BI138" s="138">
        <f t="shared" ca="1" si="725"/>
        <v>106669971.87708315</v>
      </c>
      <c r="BJ138" s="138">
        <f t="shared" ca="1" si="725"/>
        <v>107015582.7208937</v>
      </c>
      <c r="BK138" s="138">
        <f t="shared" ca="1" si="725"/>
        <v>107362313.34427537</v>
      </c>
      <c r="BL138" s="138">
        <f t="shared" ca="1" si="725"/>
        <v>107710167.37531537</v>
      </c>
      <c r="BM138" s="138">
        <f t="shared" ca="1" si="725"/>
        <v>72129174.722812787</v>
      </c>
      <c r="BN138" s="138">
        <f t="shared" ca="1" si="725"/>
        <v>72362873.340152219</v>
      </c>
      <c r="BO138" s="138">
        <f t="shared" ca="1" si="725"/>
        <v>72597329.141307428</v>
      </c>
      <c r="BP138" s="138">
        <f t="shared" ca="1" si="725"/>
        <v>72832544.57955496</v>
      </c>
      <c r="BQ138" s="138">
        <f t="shared" ca="1" si="725"/>
        <v>73068522.116119936</v>
      </c>
      <c r="BR138" s="138">
        <f t="shared" ref="BR138:EC138" ca="1" si="726">BR114</f>
        <v>73305264.22020188</v>
      </c>
      <c r="BS138" s="138">
        <f t="shared" ca="1" si="726"/>
        <v>73542773.369000494</v>
      </c>
      <c r="BT138" s="138">
        <f t="shared" ca="1" si="726"/>
        <v>73781052.047741666</v>
      </c>
      <c r="BU138" s="138">
        <f t="shared" ca="1" si="726"/>
        <v>74020102.749703348</v>
      </c>
      <c r="BV138" s="138">
        <f t="shared" ca="1" si="726"/>
        <v>74259927.976241782</v>
      </c>
      <c r="BW138" s="138">
        <f t="shared" ca="1" si="726"/>
        <v>74500530.236817554</v>
      </c>
      <c r="BX138" s="138">
        <f t="shared" ca="1" si="726"/>
        <v>74741912.049021915</v>
      </c>
      <c r="BY138" s="138">
        <f t="shared" ca="1" si="726"/>
        <v>74984075.938603163</v>
      </c>
      <c r="BZ138" s="138">
        <f t="shared" ca="1" si="726"/>
        <v>75227024.439492956</v>
      </c>
      <c r="CA138" s="138">
        <f t="shared" ca="1" si="726"/>
        <v>75470760.09383297</v>
      </c>
      <c r="CB138" s="138">
        <f t="shared" ca="1" si="726"/>
        <v>75715285.452001333</v>
      </c>
      <c r="CC138" s="138">
        <f t="shared" ca="1" si="726"/>
        <v>75960603.072639465</v>
      </c>
      <c r="CD138" s="138">
        <f t="shared" ca="1" si="726"/>
        <v>76206715.522678778</v>
      </c>
      <c r="CE138" s="138">
        <f t="shared" ca="1" si="726"/>
        <v>76453625.377367526</v>
      </c>
      <c r="CF138" s="138">
        <f t="shared" ca="1" si="726"/>
        <v>76701335.220297784</v>
      </c>
      <c r="CG138" s="138">
        <f t="shared" ca="1" si="726"/>
        <v>76949847.643432468</v>
      </c>
      <c r="CH138" s="138">
        <f t="shared" ca="1" si="726"/>
        <v>77199165.247132465</v>
      </c>
      <c r="CI138" s="138">
        <f t="shared" ca="1" si="726"/>
        <v>77449290.640183806</v>
      </c>
      <c r="CJ138" s="138">
        <f t="shared" ca="1" si="726"/>
        <v>77700226.439825028</v>
      </c>
      <c r="CK138" s="138">
        <f t="shared" ca="1" si="726"/>
        <v>77951975.271774501</v>
      </c>
      <c r="CL138" s="138">
        <f t="shared" ca="1" si="726"/>
        <v>78204539.770257935</v>
      </c>
      <c r="CM138" s="138">
        <f t="shared" ca="1" si="726"/>
        <v>78457922.578035921</v>
      </c>
      <c r="CN138" s="138">
        <f t="shared" ca="1" si="726"/>
        <v>78712126.346431613</v>
      </c>
      <c r="CO138" s="138">
        <f t="shared" ca="1" si="726"/>
        <v>78967153.735358462</v>
      </c>
      <c r="CP138" s="138">
        <f t="shared" ca="1" si="726"/>
        <v>79223007.413348019</v>
      </c>
      <c r="CQ138" s="138">
        <f t="shared" ca="1" si="726"/>
        <v>79479690.057577908</v>
      </c>
      <c r="CR138" s="138">
        <f t="shared" ca="1" si="726"/>
        <v>79737204.353899777</v>
      </c>
      <c r="CS138" s="138">
        <f t="shared" ca="1" si="726"/>
        <v>79995552.996867463</v>
      </c>
      <c r="CT138" s="138">
        <f t="shared" ca="1" si="726"/>
        <v>80254738.689765155</v>
      </c>
      <c r="CU138" s="138">
        <f t="shared" ca="1" si="726"/>
        <v>80514764.144635677</v>
      </c>
      <c r="CV138" s="138">
        <f t="shared" ca="1" si="726"/>
        <v>80775632.082308888</v>
      </c>
      <c r="CW138" s="138">
        <f t="shared" ca="1" si="726"/>
        <v>81037345.232430145</v>
      </c>
      <c r="CX138" s="138">
        <f t="shared" ca="1" si="726"/>
        <v>81299906.333488852</v>
      </c>
      <c r="CY138" s="138">
        <f t="shared" ca="1" si="726"/>
        <v>81563318.132847086</v>
      </c>
      <c r="CZ138" s="138">
        <f t="shared" ca="1" si="726"/>
        <v>81827583.386768445</v>
      </c>
      <c r="DA138" s="138">
        <f t="shared" ca="1" si="726"/>
        <v>82092704.860446781</v>
      </c>
      <c r="DB138" s="138">
        <f t="shared" ca="1" si="726"/>
        <v>82358685.328035191</v>
      </c>
      <c r="DC138" s="138">
        <f t="shared" ca="1" si="726"/>
        <v>82625527.572675034</v>
      </c>
      <c r="DD138" s="138">
        <f t="shared" ca="1" si="726"/>
        <v>82893234.386525035</v>
      </c>
      <c r="DE138" s="138">
        <f t="shared" ca="1" si="726"/>
        <v>83161808.570790544</v>
      </c>
      <c r="DF138" s="138">
        <f t="shared" ca="1" si="726"/>
        <v>83431252.935752809</v>
      </c>
      <c r="DG138" s="138">
        <f t="shared" ca="1" si="726"/>
        <v>83701570.300798371</v>
      </c>
      <c r="DH138" s="138">
        <f t="shared" ca="1" si="726"/>
        <v>83972763.494448602</v>
      </c>
      <c r="DI138" s="138">
        <f t="shared" ca="1" si="726"/>
        <v>84244835.35438931</v>
      </c>
      <c r="DJ138" s="138">
        <f t="shared" ca="1" si="726"/>
        <v>84517788.727500364</v>
      </c>
      <c r="DK138" s="138">
        <f t="shared" ca="1" si="726"/>
        <v>84791626.469885558</v>
      </c>
      <c r="DL138" s="138">
        <f t="shared" ca="1" si="726"/>
        <v>85066351.446902469</v>
      </c>
      <c r="DM138" s="138">
        <f t="shared" ca="1" si="726"/>
        <v>85341966.533192411</v>
      </c>
      <c r="DN138" s="138">
        <f t="shared" ca="1" si="726"/>
        <v>85618474.612710565</v>
      </c>
      <c r="DO138" s="138">
        <f t="shared" ca="1" si="726"/>
        <v>85895878.578756124</v>
      </c>
      <c r="DP138" s="138">
        <f t="shared" ca="1" si="726"/>
        <v>86174181.334002569</v>
      </c>
      <c r="DQ138" s="138">
        <f t="shared" ca="1" si="726"/>
        <v>86453385.790528044</v>
      </c>
      <c r="DR138" s="138">
        <f t="shared" ca="1" si="726"/>
        <v>86733494.869845822</v>
      </c>
      <c r="DS138" s="138">
        <f t="shared" ca="1" si="726"/>
        <v>87014511.502934903</v>
      </c>
      <c r="DT138" s="138">
        <f t="shared" ca="1" si="726"/>
        <v>87296438.63027066</v>
      </c>
      <c r="DU138" s="138">
        <f t="shared" ca="1" si="726"/>
        <v>87579279.2018556</v>
      </c>
      <c r="DV138" s="138">
        <f t="shared" ca="1" si="726"/>
        <v>87863036.177250251</v>
      </c>
      <c r="DW138" s="138">
        <f t="shared" ca="1" si="726"/>
        <v>88147712.525604114</v>
      </c>
      <c r="DX138" s="138">
        <f t="shared" ca="1" si="726"/>
        <v>88433311.225686714</v>
      </c>
      <c r="DY138" s="138">
        <f t="shared" ca="1" si="726"/>
        <v>88719835.265918866</v>
      </c>
      <c r="DZ138" s="138">
        <f t="shared" ca="1" si="726"/>
        <v>89007287.644403785</v>
      </c>
      <c r="EA138" s="138">
        <f t="shared" ca="1" si="726"/>
        <v>89295671.368958592</v>
      </c>
      <c r="EB138" s="138">
        <f t="shared" ca="1" si="726"/>
        <v>89584989.457145751</v>
      </c>
      <c r="EC138" s="138">
        <f t="shared" ca="1" si="726"/>
        <v>89875244.936304599</v>
      </c>
      <c r="ED138" s="138">
        <f t="shared" ref="ED138:GO138" ca="1" si="727">ED114</f>
        <v>90166440.843583077</v>
      </c>
      <c r="EE138" s="138">
        <f t="shared" ca="1" si="727"/>
        <v>90458580.225969464</v>
      </c>
      <c r="EF138" s="138">
        <f t="shared" ca="1" si="727"/>
        <v>90751666.140324309</v>
      </c>
      <c r="EG138" s="138">
        <f t="shared" ca="1" si="727"/>
        <v>91045701.653412417</v>
      </c>
      <c r="EH138" s="138">
        <f t="shared" ca="1" si="727"/>
        <v>91340689.841934845</v>
      </c>
      <c r="EI138" s="138">
        <f t="shared" ca="1" si="727"/>
        <v>91636633.792561233</v>
      </c>
      <c r="EJ138" s="138">
        <f t="shared" ca="1" si="727"/>
        <v>91933536.60196197</v>
      </c>
      <c r="EK138" s="138">
        <f t="shared" ca="1" si="727"/>
        <v>92231401.37684074</v>
      </c>
      <c r="EL138" s="138">
        <f t="shared" ca="1" si="727"/>
        <v>92530231.233966902</v>
      </c>
      <c r="EM138" s="138">
        <f t="shared" ca="1" si="727"/>
        <v>92830029.300208136</v>
      </c>
      <c r="EN138" s="138">
        <f t="shared" ca="1" si="727"/>
        <v>93130798.712563217</v>
      </c>
      <c r="EO138" s="138">
        <f t="shared" ca="1" si="727"/>
        <v>93432542.618194759</v>
      </c>
      <c r="EP138" s="138">
        <f t="shared" ca="1" si="727"/>
        <v>93735264.174462244</v>
      </c>
      <c r="EQ138" s="138">
        <f t="shared" ca="1" si="727"/>
        <v>94038966.548954964</v>
      </c>
      <c r="ER138" s="138">
        <f t="shared" ca="1" si="727"/>
        <v>94343652.919525191</v>
      </c>
      <c r="ES138" s="138">
        <f t="shared" ca="1" si="727"/>
        <v>94649326.474321455</v>
      </c>
      <c r="ET138" s="138">
        <f t="shared" ca="1" si="727"/>
        <v>94955990.411821932</v>
      </c>
      <c r="EU138" s="138">
        <f t="shared" ca="1" si="727"/>
        <v>95263647.940867797</v>
      </c>
      <c r="EV138" s="138">
        <f t="shared" ca="1" si="727"/>
        <v>95572302.280696943</v>
      </c>
      <c r="EW138" s="138">
        <f t="shared" ca="1" si="727"/>
        <v>95881956.660977557</v>
      </c>
      <c r="EX138" s="138">
        <f t="shared" ca="1" si="727"/>
        <v>96192614.32184197</v>
      </c>
      <c r="EY138" s="138">
        <f t="shared" ca="1" si="727"/>
        <v>96504278.513920531</v>
      </c>
      <c r="EZ138" s="138">
        <f t="shared" ca="1" si="727"/>
        <v>96816952.498375669</v>
      </c>
      <c r="FA138" s="138">
        <f t="shared" ca="1" si="727"/>
        <v>97130639.546935946</v>
      </c>
      <c r="FB138" s="138">
        <f t="shared" ca="1" si="727"/>
        <v>97445342.941930339</v>
      </c>
      <c r="FC138" s="138">
        <f t="shared" ca="1" si="727"/>
        <v>97761065.976322591</v>
      </c>
      <c r="FD138" s="138">
        <f t="shared" ca="1" si="727"/>
        <v>98077811.953745633</v>
      </c>
      <c r="FE138" s="138">
        <f t="shared" ca="1" si="727"/>
        <v>98395584.188536182</v>
      </c>
      <c r="FF138" s="138">
        <f t="shared" ca="1" si="727"/>
        <v>98714386.005769402</v>
      </c>
      <c r="FG138" s="138">
        <f t="shared" ca="1" si="727"/>
        <v>99034220.741293728</v>
      </c>
      <c r="FH138" s="138">
        <f t="shared" ca="1" si="727"/>
        <v>99355091.741765708</v>
      </c>
      <c r="FI138" s="138">
        <f t="shared" ca="1" si="727"/>
        <v>99677002.364685103</v>
      </c>
      <c r="FJ138" s="138">
        <f t="shared" ca="1" si="727"/>
        <v>99999955.978429943</v>
      </c>
      <c r="FK138" s="138">
        <f t="shared" ca="1" si="727"/>
        <v>100323955.96229184</v>
      </c>
      <c r="FL138" s="138">
        <f t="shared" ca="1" si="727"/>
        <v>100649005.70651127</v>
      </c>
      <c r="FM138" s="138">
        <f t="shared" ca="1" si="727"/>
        <v>100975108.61231315</v>
      </c>
      <c r="FN138" s="138">
        <f t="shared" ca="1" si="727"/>
        <v>101302268.09194231</v>
      </c>
      <c r="FO138" s="138">
        <f t="shared" ca="1" si="727"/>
        <v>101630487.5686993</v>
      </c>
      <c r="FP138" s="138">
        <f t="shared" ca="1" si="727"/>
        <v>101959770.47697614</v>
      </c>
      <c r="FQ138" s="138">
        <f t="shared" ca="1" si="727"/>
        <v>102290120.26229233</v>
      </c>
      <c r="FR138" s="138">
        <f t="shared" ca="1" si="727"/>
        <v>102621540.38133079</v>
      </c>
      <c r="FS138" s="138">
        <f t="shared" ca="1" si="727"/>
        <v>102954034.30197416</v>
      </c>
      <c r="FT138" s="138">
        <f t="shared" ca="1" si="727"/>
        <v>103287605.50334102</v>
      </c>
      <c r="FU138" s="138">
        <f t="shared" ca="1" si="727"/>
        <v>103622257.47582223</v>
      </c>
      <c r="FV138" s="138">
        <f t="shared" ca="1" si="727"/>
        <v>103957993.72111759</v>
      </c>
      <c r="FW138" s="138">
        <f t="shared" ca="1" si="727"/>
        <v>104294817.75227237</v>
      </c>
      <c r="FX138" s="138">
        <f t="shared" ca="1" si="727"/>
        <v>104632733.09371415</v>
      </c>
      <c r="FY138" s="138">
        <f t="shared" ca="1" si="727"/>
        <v>104971743.28128965</v>
      </c>
      <c r="FZ138" s="138">
        <f t="shared" ca="1" si="727"/>
        <v>105311851.86230171</v>
      </c>
      <c r="GA138" s="138">
        <f t="shared" ca="1" si="727"/>
        <v>105653062.39554647</v>
      </c>
      <c r="GB138" s="138">
        <f t="shared" ca="1" si="727"/>
        <v>105995378.45135054</v>
      </c>
      <c r="GC138" s="138">
        <f t="shared" ca="1" si="727"/>
        <v>106338803.6116084</v>
      </c>
      <c r="GD138" s="138">
        <f t="shared" ca="1" si="727"/>
        <v>106683341.4698199</v>
      </c>
      <c r="GE138" s="138">
        <f t="shared" ca="1" si="727"/>
        <v>107028995.63112783</v>
      </c>
      <c r="GF138" s="138">
        <f t="shared" ca="1" si="727"/>
        <v>107375769.71235561</v>
      </c>
      <c r="GG138" s="138">
        <f t="shared" ca="1" si="727"/>
        <v>107723667.34204523</v>
      </c>
      <c r="GH138" s="138">
        <f t="shared" ca="1" si="727"/>
        <v>108072692.16049509</v>
      </c>
      <c r="GI138" s="138">
        <f t="shared" ca="1" si="727"/>
        <v>108422847.81979822</v>
      </c>
      <c r="GJ138" s="138">
        <f t="shared" ca="1" si="727"/>
        <v>108774137.98388042</v>
      </c>
      <c r="GK138" s="138">
        <f t="shared" ca="1" si="727"/>
        <v>109126566.32853858</v>
      </c>
      <c r="GL138" s="138">
        <f t="shared" ca="1" si="727"/>
        <v>109480136.54147924</v>
      </c>
      <c r="GM138" s="138">
        <f t="shared" ca="1" si="727"/>
        <v>109834852.32235707</v>
      </c>
      <c r="GN138" s="138">
        <f t="shared" ca="1" si="727"/>
        <v>110190717.38281363</v>
      </c>
      <c r="GO138" s="138">
        <f t="shared" ca="1" si="727"/>
        <v>110547735.44651619</v>
      </c>
      <c r="GP138" s="138">
        <f t="shared" ref="GP138:JA138" ca="1" si="728">GP114</f>
        <v>110905910.24919677</v>
      </c>
      <c r="GQ138" s="138">
        <f t="shared" ca="1" si="728"/>
        <v>111265245.53869109</v>
      </c>
      <c r="GR138" s="138">
        <f t="shared" ca="1" si="728"/>
        <v>111625745.07497789</v>
      </c>
      <c r="GS138" s="138">
        <f t="shared" ca="1" si="728"/>
        <v>111987412.63021827</v>
      </c>
      <c r="GT138" s="138">
        <f t="shared" ca="1" si="728"/>
        <v>112350251.9887951</v>
      </c>
      <c r="GU138" s="138">
        <f t="shared" ca="1" si="728"/>
        <v>112714266.94735271</v>
      </c>
      <c r="GV138" s="138">
        <f t="shared" ca="1" si="728"/>
        <v>113079461.31483646</v>
      </c>
      <c r="GW138" s="138">
        <f t="shared" ca="1" si="728"/>
        <v>113445838.91253282</v>
      </c>
      <c r="GX138" s="138">
        <f t="shared" ca="1" si="728"/>
        <v>113813403.57410914</v>
      </c>
      <c r="GY138" s="138">
        <f t="shared" ca="1" si="728"/>
        <v>114182159.1456539</v>
      </c>
      <c r="GZ138" s="138">
        <f t="shared" ca="1" si="728"/>
        <v>114552109.48571694</v>
      </c>
      <c r="HA138" s="138">
        <f t="shared" ca="1" si="728"/>
        <v>114923258.46534972</v>
      </c>
      <c r="HB138" s="138">
        <f t="shared" ca="1" si="728"/>
        <v>115295609.96814598</v>
      </c>
      <c r="HC138" s="138">
        <f t="shared" ca="1" si="728"/>
        <v>115669167.8902823</v>
      </c>
      <c r="HD138" s="138">
        <f t="shared" ca="1" si="728"/>
        <v>116043936.14055885</v>
      </c>
      <c r="HE138" s="138">
        <f t="shared" ca="1" si="728"/>
        <v>116419918.64044036</v>
      </c>
      <c r="HF138" s="138">
        <f t="shared" ca="1" si="728"/>
        <v>116797119.32409708</v>
      </c>
      <c r="HG138" s="138">
        <f t="shared" ca="1" si="728"/>
        <v>117175542.13844596</v>
      </c>
      <c r="HH138" s="138">
        <f t="shared" ca="1" si="728"/>
        <v>117555191.043192</v>
      </c>
      <c r="HI138" s="138">
        <f t="shared" ca="1" si="728"/>
        <v>117936070.01086965</v>
      </c>
      <c r="HJ138" s="138">
        <f t="shared" ca="1" si="728"/>
        <v>118318183.02688436</v>
      </c>
      <c r="HK138" s="138">
        <f t="shared" ca="1" si="728"/>
        <v>118701534.08955429</v>
      </c>
      <c r="HL138" s="138">
        <f t="shared" ca="1" si="728"/>
        <v>119086127.21015219</v>
      </c>
      <c r="HM138" s="138">
        <f t="shared" ca="1" si="728"/>
        <v>119471966.4129473</v>
      </c>
      <c r="HN138" s="138">
        <f t="shared" ca="1" si="728"/>
        <v>119859055.73524754</v>
      </c>
      <c r="HO138" s="138">
        <f t="shared" ca="1" si="728"/>
        <v>120247399.22744165</v>
      </c>
      <c r="HP138" s="138">
        <f t="shared" ca="1" si="728"/>
        <v>120637000.9530417</v>
      </c>
      <c r="HQ138" s="138">
        <f t="shared" ca="1" si="728"/>
        <v>121027864.9887255</v>
      </c>
      <c r="HR138" s="138">
        <f t="shared" ca="1" si="728"/>
        <v>121419995.42437932</v>
      </c>
      <c r="HS138" s="138">
        <f t="shared" ca="1" si="728"/>
        <v>121813396.36314067</v>
      </c>
      <c r="HT138" s="138">
        <f t="shared" ca="1" si="728"/>
        <v>122208071.92144124</v>
      </c>
      <c r="HU138" s="138">
        <f t="shared" ca="1" si="728"/>
        <v>122604026.22904994</v>
      </c>
      <c r="HV138" s="138">
        <f t="shared" ca="1" si="728"/>
        <v>123001263.42911614</v>
      </c>
      <c r="HW138" s="138">
        <f t="shared" ca="1" si="728"/>
        <v>123399787.67821305</v>
      </c>
      <c r="HX138" s="138">
        <f t="shared" ca="1" si="728"/>
        <v>123799603.1463811</v>
      </c>
      <c r="HY138" s="138">
        <f t="shared" ca="1" si="728"/>
        <v>124200714.01717176</v>
      </c>
      <c r="HZ138" s="138">
        <f t="shared" ca="1" si="728"/>
        <v>124603124.48769115</v>
      </c>
      <c r="IA138" s="138">
        <f t="shared" ca="1" si="728"/>
        <v>125006838.76864403</v>
      </c>
      <c r="IB138" s="138">
        <f t="shared" ca="1" si="728"/>
        <v>125411861.08437787</v>
      </c>
      <c r="IC138" s="138">
        <f t="shared" ca="1" si="728"/>
        <v>125818195.67292701</v>
      </c>
      <c r="ID138" s="138">
        <f t="shared" ca="1" si="728"/>
        <v>126225846.78605704</v>
      </c>
      <c r="IE138" s="138">
        <f t="shared" ca="1" si="728"/>
        <v>126634818.68930924</v>
      </c>
      <c r="IF138" s="138">
        <f t="shared" ca="1" si="728"/>
        <v>127045115.66204529</v>
      </c>
      <c r="IG138" s="138">
        <f t="shared" ca="1" si="728"/>
        <v>127456741.997492</v>
      </c>
      <c r="IH138" s="138">
        <f t="shared" ca="1" si="728"/>
        <v>127869702.00278625</v>
      </c>
      <c r="II138" s="138">
        <f t="shared" ca="1" si="728"/>
        <v>128283999.99902</v>
      </c>
      <c r="IJ138" s="138">
        <f t="shared" ca="1" si="728"/>
        <v>128699640.32128559</v>
      </c>
      <c r="IK138" s="138">
        <f t="shared" ca="1" si="728"/>
        <v>0</v>
      </c>
      <c r="IL138" s="138">
        <f t="shared" ca="1" si="728"/>
        <v>0</v>
      </c>
      <c r="IM138" s="138">
        <f t="shared" ca="1" si="728"/>
        <v>0</v>
      </c>
      <c r="IN138" s="138">
        <f t="shared" ca="1" si="728"/>
        <v>0</v>
      </c>
      <c r="IO138" s="138">
        <f t="shared" ca="1" si="728"/>
        <v>0</v>
      </c>
      <c r="IP138" s="138">
        <f t="shared" ca="1" si="728"/>
        <v>0</v>
      </c>
      <c r="IQ138" s="138">
        <f t="shared" ca="1" si="728"/>
        <v>0</v>
      </c>
      <c r="IR138" s="138">
        <f t="shared" ca="1" si="728"/>
        <v>0</v>
      </c>
      <c r="IS138" s="138">
        <f t="shared" ca="1" si="728"/>
        <v>0</v>
      </c>
      <c r="IT138" s="138">
        <f t="shared" ca="1" si="728"/>
        <v>0</v>
      </c>
      <c r="IU138" s="138">
        <f t="shared" ca="1" si="728"/>
        <v>0</v>
      </c>
      <c r="IV138" s="138">
        <f t="shared" ca="1" si="728"/>
        <v>0</v>
      </c>
      <c r="IW138" s="138">
        <f t="shared" ca="1" si="728"/>
        <v>0</v>
      </c>
      <c r="IX138" s="138">
        <f t="shared" ca="1" si="728"/>
        <v>0</v>
      </c>
      <c r="IY138" s="138">
        <f t="shared" ca="1" si="728"/>
        <v>0</v>
      </c>
      <c r="IZ138" s="138">
        <f t="shared" ca="1" si="728"/>
        <v>0</v>
      </c>
      <c r="JA138" s="138">
        <f t="shared" ca="1" si="728"/>
        <v>0</v>
      </c>
      <c r="JB138" s="138">
        <f t="shared" ref="JB138:LM138" ca="1" si="729">JB114</f>
        <v>0</v>
      </c>
      <c r="JC138" s="138">
        <f t="shared" ca="1" si="729"/>
        <v>0</v>
      </c>
      <c r="JD138" s="138">
        <f t="shared" ca="1" si="729"/>
        <v>0</v>
      </c>
      <c r="JE138" s="138">
        <f t="shared" ca="1" si="729"/>
        <v>0</v>
      </c>
      <c r="JF138" s="138">
        <f t="shared" ca="1" si="729"/>
        <v>0</v>
      </c>
      <c r="JG138" s="138">
        <f t="shared" ca="1" si="729"/>
        <v>0</v>
      </c>
      <c r="JH138" s="138">
        <f t="shared" ca="1" si="729"/>
        <v>0</v>
      </c>
      <c r="JI138" s="138">
        <f t="shared" ca="1" si="729"/>
        <v>0</v>
      </c>
      <c r="JJ138" s="138">
        <f t="shared" ca="1" si="729"/>
        <v>0</v>
      </c>
      <c r="JK138" s="138">
        <f t="shared" ca="1" si="729"/>
        <v>0</v>
      </c>
      <c r="JL138" s="138">
        <f t="shared" ca="1" si="729"/>
        <v>0</v>
      </c>
      <c r="JM138" s="138">
        <f t="shared" ca="1" si="729"/>
        <v>0</v>
      </c>
      <c r="JN138" s="138">
        <f t="shared" ca="1" si="729"/>
        <v>0</v>
      </c>
      <c r="JO138" s="138">
        <f t="shared" ca="1" si="729"/>
        <v>0</v>
      </c>
      <c r="JP138" s="138">
        <f t="shared" ca="1" si="729"/>
        <v>0</v>
      </c>
      <c r="JQ138" s="138">
        <f t="shared" ca="1" si="729"/>
        <v>0</v>
      </c>
      <c r="JR138" s="138">
        <f t="shared" ca="1" si="729"/>
        <v>0</v>
      </c>
      <c r="JS138" s="138">
        <f t="shared" ca="1" si="729"/>
        <v>0</v>
      </c>
      <c r="JT138" s="138">
        <f t="shared" ca="1" si="729"/>
        <v>0</v>
      </c>
      <c r="JU138" s="138">
        <f t="shared" ca="1" si="729"/>
        <v>0</v>
      </c>
      <c r="JV138" s="138">
        <f t="shared" ca="1" si="729"/>
        <v>0</v>
      </c>
      <c r="JW138" s="138">
        <f t="shared" ca="1" si="729"/>
        <v>0</v>
      </c>
      <c r="JX138" s="138">
        <f t="shared" ca="1" si="729"/>
        <v>0</v>
      </c>
      <c r="JY138" s="138">
        <f t="shared" ca="1" si="729"/>
        <v>0</v>
      </c>
      <c r="JZ138" s="138">
        <f t="shared" ca="1" si="729"/>
        <v>0</v>
      </c>
      <c r="KA138" s="138">
        <f t="shared" ca="1" si="729"/>
        <v>0</v>
      </c>
      <c r="KB138" s="138">
        <f t="shared" ca="1" si="729"/>
        <v>0</v>
      </c>
      <c r="KC138" s="138">
        <f t="shared" ca="1" si="729"/>
        <v>0</v>
      </c>
      <c r="KD138" s="138">
        <f t="shared" ca="1" si="729"/>
        <v>0</v>
      </c>
      <c r="KE138" s="138">
        <f t="shared" ca="1" si="729"/>
        <v>0</v>
      </c>
      <c r="KF138" s="138">
        <f t="shared" ca="1" si="729"/>
        <v>0</v>
      </c>
      <c r="KG138" s="138">
        <f t="shared" ca="1" si="729"/>
        <v>0</v>
      </c>
      <c r="KH138" s="138">
        <f t="shared" ca="1" si="729"/>
        <v>0</v>
      </c>
      <c r="KI138" s="138">
        <f t="shared" ca="1" si="729"/>
        <v>0</v>
      </c>
      <c r="KJ138" s="138">
        <f t="shared" ca="1" si="729"/>
        <v>0</v>
      </c>
      <c r="KK138" s="138">
        <f t="shared" ca="1" si="729"/>
        <v>0</v>
      </c>
      <c r="KL138" s="138">
        <f t="shared" ca="1" si="729"/>
        <v>0</v>
      </c>
      <c r="KM138" s="138">
        <f t="shared" ca="1" si="729"/>
        <v>0</v>
      </c>
      <c r="KN138" s="138">
        <f t="shared" ca="1" si="729"/>
        <v>0</v>
      </c>
      <c r="KO138" s="138">
        <f t="shared" ca="1" si="729"/>
        <v>0</v>
      </c>
      <c r="KP138" s="138">
        <f t="shared" ca="1" si="729"/>
        <v>0</v>
      </c>
      <c r="KQ138" s="138">
        <f t="shared" ca="1" si="729"/>
        <v>0</v>
      </c>
      <c r="KR138" s="138">
        <f t="shared" ca="1" si="729"/>
        <v>0</v>
      </c>
      <c r="KS138" s="138">
        <f t="shared" ca="1" si="729"/>
        <v>0</v>
      </c>
      <c r="KT138" s="138">
        <f t="shared" ca="1" si="729"/>
        <v>0</v>
      </c>
      <c r="KU138" s="138">
        <f t="shared" ca="1" si="729"/>
        <v>0</v>
      </c>
      <c r="KV138" s="138">
        <f t="shared" ca="1" si="729"/>
        <v>0</v>
      </c>
      <c r="KW138" s="138">
        <f t="shared" ca="1" si="729"/>
        <v>0</v>
      </c>
      <c r="KX138" s="138">
        <f t="shared" ca="1" si="729"/>
        <v>0</v>
      </c>
      <c r="KY138" s="138">
        <f t="shared" ca="1" si="729"/>
        <v>0</v>
      </c>
      <c r="KZ138" s="138">
        <f t="shared" ca="1" si="729"/>
        <v>0</v>
      </c>
      <c r="LA138" s="138">
        <f t="shared" ca="1" si="729"/>
        <v>0</v>
      </c>
      <c r="LB138" s="138">
        <f t="shared" ca="1" si="729"/>
        <v>0</v>
      </c>
      <c r="LC138" s="138">
        <f t="shared" ca="1" si="729"/>
        <v>0</v>
      </c>
      <c r="LD138" s="138">
        <f t="shared" ca="1" si="729"/>
        <v>0</v>
      </c>
      <c r="LE138" s="138">
        <f t="shared" ca="1" si="729"/>
        <v>0</v>
      </c>
      <c r="LF138" s="138">
        <f t="shared" ca="1" si="729"/>
        <v>0</v>
      </c>
      <c r="LG138" s="138">
        <f t="shared" ca="1" si="729"/>
        <v>0</v>
      </c>
      <c r="LH138" s="138">
        <f t="shared" ca="1" si="729"/>
        <v>0</v>
      </c>
      <c r="LI138" s="138">
        <f t="shared" ca="1" si="729"/>
        <v>0</v>
      </c>
      <c r="LJ138" s="138">
        <f t="shared" ca="1" si="729"/>
        <v>0</v>
      </c>
      <c r="LK138" s="138">
        <f t="shared" ca="1" si="729"/>
        <v>0</v>
      </c>
      <c r="LL138" s="138">
        <f t="shared" ca="1" si="729"/>
        <v>0</v>
      </c>
      <c r="LM138" s="138">
        <f t="shared" ca="1" si="729"/>
        <v>0</v>
      </c>
      <c r="LN138" s="138">
        <f t="shared" ref="LN138:NY138" ca="1" si="730">LN114</f>
        <v>0</v>
      </c>
      <c r="LO138" s="138">
        <f t="shared" ca="1" si="730"/>
        <v>0</v>
      </c>
      <c r="LP138" s="138">
        <f t="shared" ca="1" si="730"/>
        <v>0</v>
      </c>
      <c r="LQ138" s="138">
        <f t="shared" ca="1" si="730"/>
        <v>0</v>
      </c>
      <c r="LR138" s="138">
        <f t="shared" ca="1" si="730"/>
        <v>0</v>
      </c>
      <c r="LS138" s="138">
        <f t="shared" ca="1" si="730"/>
        <v>0</v>
      </c>
      <c r="LT138" s="138">
        <f t="shared" ca="1" si="730"/>
        <v>0</v>
      </c>
      <c r="LU138" s="138">
        <f t="shared" ca="1" si="730"/>
        <v>0</v>
      </c>
      <c r="LV138" s="138">
        <f t="shared" ca="1" si="730"/>
        <v>0</v>
      </c>
      <c r="LW138" s="138">
        <f t="shared" ca="1" si="730"/>
        <v>0</v>
      </c>
      <c r="LX138" s="138">
        <f t="shared" ca="1" si="730"/>
        <v>0</v>
      </c>
      <c r="LY138" s="138">
        <f t="shared" ca="1" si="730"/>
        <v>0</v>
      </c>
      <c r="LZ138" s="138">
        <f t="shared" ca="1" si="730"/>
        <v>0</v>
      </c>
      <c r="MA138" s="138">
        <f t="shared" ca="1" si="730"/>
        <v>0</v>
      </c>
      <c r="MB138" s="138">
        <f t="shared" ca="1" si="730"/>
        <v>0</v>
      </c>
      <c r="MC138" s="138">
        <f t="shared" ca="1" si="730"/>
        <v>0</v>
      </c>
      <c r="MD138" s="138">
        <f t="shared" ca="1" si="730"/>
        <v>0</v>
      </c>
      <c r="ME138" s="138">
        <f t="shared" ca="1" si="730"/>
        <v>0</v>
      </c>
      <c r="MF138" s="138">
        <f t="shared" ca="1" si="730"/>
        <v>0</v>
      </c>
      <c r="MG138" s="138">
        <f t="shared" ca="1" si="730"/>
        <v>0</v>
      </c>
      <c r="MH138" s="138">
        <f t="shared" ca="1" si="730"/>
        <v>0</v>
      </c>
      <c r="MI138" s="138">
        <f t="shared" ca="1" si="730"/>
        <v>0</v>
      </c>
      <c r="MJ138" s="138">
        <f t="shared" ca="1" si="730"/>
        <v>0</v>
      </c>
      <c r="MK138" s="138">
        <f t="shared" ca="1" si="730"/>
        <v>0</v>
      </c>
      <c r="ML138" s="138">
        <f t="shared" ca="1" si="730"/>
        <v>0</v>
      </c>
      <c r="MM138" s="138">
        <f t="shared" ca="1" si="730"/>
        <v>0</v>
      </c>
      <c r="MN138" s="138">
        <f t="shared" ca="1" si="730"/>
        <v>0</v>
      </c>
      <c r="MO138" s="138">
        <f t="shared" ca="1" si="730"/>
        <v>0</v>
      </c>
      <c r="MP138" s="138">
        <f t="shared" ca="1" si="730"/>
        <v>0</v>
      </c>
      <c r="MQ138" s="138">
        <f t="shared" ca="1" si="730"/>
        <v>0</v>
      </c>
      <c r="MR138" s="138">
        <f t="shared" ca="1" si="730"/>
        <v>0</v>
      </c>
      <c r="MS138" s="138">
        <f t="shared" ca="1" si="730"/>
        <v>0</v>
      </c>
      <c r="MT138" s="138">
        <f t="shared" ca="1" si="730"/>
        <v>0</v>
      </c>
      <c r="MU138" s="138">
        <f t="shared" ca="1" si="730"/>
        <v>0</v>
      </c>
      <c r="MV138" s="138">
        <f t="shared" ca="1" si="730"/>
        <v>0</v>
      </c>
      <c r="MW138" s="138">
        <f t="shared" ca="1" si="730"/>
        <v>0</v>
      </c>
      <c r="MX138" s="138">
        <f t="shared" ca="1" si="730"/>
        <v>0</v>
      </c>
      <c r="MY138" s="138">
        <f t="shared" ca="1" si="730"/>
        <v>0</v>
      </c>
      <c r="MZ138" s="138">
        <f t="shared" ca="1" si="730"/>
        <v>0</v>
      </c>
      <c r="NA138" s="138">
        <f t="shared" ca="1" si="730"/>
        <v>0</v>
      </c>
      <c r="NB138" s="138">
        <f t="shared" ca="1" si="730"/>
        <v>0</v>
      </c>
      <c r="NC138" s="138">
        <f t="shared" ca="1" si="730"/>
        <v>0</v>
      </c>
      <c r="ND138" s="138">
        <f t="shared" ca="1" si="730"/>
        <v>0</v>
      </c>
      <c r="NE138" s="138">
        <f t="shared" ca="1" si="730"/>
        <v>0</v>
      </c>
      <c r="NF138" s="138">
        <f t="shared" ca="1" si="730"/>
        <v>0</v>
      </c>
      <c r="NG138" s="138">
        <f t="shared" ca="1" si="730"/>
        <v>0</v>
      </c>
      <c r="NH138" s="138">
        <f t="shared" ca="1" si="730"/>
        <v>0</v>
      </c>
      <c r="NI138" s="138">
        <f t="shared" ca="1" si="730"/>
        <v>0</v>
      </c>
      <c r="NJ138" s="138">
        <f t="shared" ca="1" si="730"/>
        <v>0</v>
      </c>
      <c r="NK138" s="138">
        <f t="shared" ca="1" si="730"/>
        <v>0</v>
      </c>
      <c r="NL138" s="138">
        <f t="shared" ca="1" si="730"/>
        <v>0</v>
      </c>
      <c r="NM138" s="138">
        <f t="shared" ca="1" si="730"/>
        <v>0</v>
      </c>
      <c r="NN138" s="138">
        <f t="shared" ca="1" si="730"/>
        <v>0</v>
      </c>
      <c r="NO138" s="138">
        <f t="shared" ca="1" si="730"/>
        <v>0</v>
      </c>
      <c r="NP138" s="138">
        <f t="shared" ca="1" si="730"/>
        <v>0</v>
      </c>
      <c r="NQ138" s="138">
        <f t="shared" ca="1" si="730"/>
        <v>0</v>
      </c>
      <c r="NR138" s="138">
        <f t="shared" ca="1" si="730"/>
        <v>0</v>
      </c>
      <c r="NS138" s="138">
        <f t="shared" ca="1" si="730"/>
        <v>0</v>
      </c>
      <c r="NT138" s="138">
        <f t="shared" ca="1" si="730"/>
        <v>0</v>
      </c>
      <c r="NU138" s="138">
        <f t="shared" ca="1" si="730"/>
        <v>0</v>
      </c>
      <c r="NV138" s="138">
        <f t="shared" ca="1" si="730"/>
        <v>0</v>
      </c>
      <c r="NW138" s="138">
        <f t="shared" ca="1" si="730"/>
        <v>0</v>
      </c>
      <c r="NX138" s="138">
        <f t="shared" ca="1" si="730"/>
        <v>0</v>
      </c>
      <c r="NY138" s="138">
        <f t="shared" ca="1" si="730"/>
        <v>0</v>
      </c>
      <c r="NZ138" s="138">
        <f t="shared" ref="NZ138:QK138" ca="1" si="731">NZ114</f>
        <v>0</v>
      </c>
      <c r="OA138" s="138">
        <f t="shared" ca="1" si="731"/>
        <v>0</v>
      </c>
      <c r="OB138" s="138">
        <f t="shared" ca="1" si="731"/>
        <v>0</v>
      </c>
      <c r="OC138" s="138">
        <f t="shared" ca="1" si="731"/>
        <v>0</v>
      </c>
      <c r="OD138" s="138">
        <f t="shared" ca="1" si="731"/>
        <v>0</v>
      </c>
      <c r="OE138" s="138">
        <f t="shared" ca="1" si="731"/>
        <v>0</v>
      </c>
      <c r="OF138" s="138">
        <f t="shared" ca="1" si="731"/>
        <v>0</v>
      </c>
      <c r="OG138" s="138">
        <f t="shared" ca="1" si="731"/>
        <v>0</v>
      </c>
      <c r="OH138" s="138">
        <f t="shared" ca="1" si="731"/>
        <v>0</v>
      </c>
      <c r="OI138" s="138">
        <f t="shared" ca="1" si="731"/>
        <v>0</v>
      </c>
      <c r="OJ138" s="138">
        <f t="shared" ca="1" si="731"/>
        <v>0</v>
      </c>
      <c r="OK138" s="138">
        <f t="shared" ca="1" si="731"/>
        <v>0</v>
      </c>
      <c r="OL138" s="138">
        <f t="shared" ca="1" si="731"/>
        <v>0</v>
      </c>
      <c r="OM138" s="138">
        <f t="shared" ca="1" si="731"/>
        <v>0</v>
      </c>
      <c r="ON138" s="138">
        <f t="shared" ca="1" si="731"/>
        <v>0</v>
      </c>
      <c r="OO138" s="138">
        <f t="shared" ca="1" si="731"/>
        <v>0</v>
      </c>
      <c r="OP138" s="138">
        <f t="shared" ca="1" si="731"/>
        <v>0</v>
      </c>
      <c r="OQ138" s="138">
        <f t="shared" ca="1" si="731"/>
        <v>0</v>
      </c>
      <c r="OR138" s="138">
        <f t="shared" ca="1" si="731"/>
        <v>0</v>
      </c>
      <c r="OS138" s="138">
        <f t="shared" ca="1" si="731"/>
        <v>0</v>
      </c>
      <c r="OT138" s="138">
        <f t="shared" ca="1" si="731"/>
        <v>0</v>
      </c>
      <c r="OU138" s="138">
        <f t="shared" ca="1" si="731"/>
        <v>0</v>
      </c>
      <c r="OV138" s="138">
        <f t="shared" ca="1" si="731"/>
        <v>0</v>
      </c>
      <c r="OW138" s="138">
        <f t="shared" ca="1" si="731"/>
        <v>0</v>
      </c>
      <c r="OX138" s="138">
        <f t="shared" ca="1" si="731"/>
        <v>0</v>
      </c>
      <c r="OY138" s="138">
        <f t="shared" ca="1" si="731"/>
        <v>0</v>
      </c>
      <c r="OZ138" s="138">
        <f t="shared" ca="1" si="731"/>
        <v>0</v>
      </c>
      <c r="PA138" s="138">
        <f t="shared" ca="1" si="731"/>
        <v>0</v>
      </c>
      <c r="PB138" s="138">
        <f t="shared" ca="1" si="731"/>
        <v>0</v>
      </c>
      <c r="PC138" s="138">
        <f t="shared" ca="1" si="731"/>
        <v>0</v>
      </c>
      <c r="PD138" s="138">
        <f t="shared" ca="1" si="731"/>
        <v>0</v>
      </c>
      <c r="PE138" s="138">
        <f t="shared" ca="1" si="731"/>
        <v>0</v>
      </c>
      <c r="PF138" s="138">
        <f t="shared" ca="1" si="731"/>
        <v>0</v>
      </c>
      <c r="PG138" s="138">
        <f t="shared" ca="1" si="731"/>
        <v>0</v>
      </c>
      <c r="PH138" s="138">
        <f t="shared" ca="1" si="731"/>
        <v>0</v>
      </c>
      <c r="PI138" s="138">
        <f t="shared" ca="1" si="731"/>
        <v>0</v>
      </c>
      <c r="PJ138" s="138">
        <f t="shared" ca="1" si="731"/>
        <v>0</v>
      </c>
      <c r="PK138" s="138">
        <f t="shared" ca="1" si="731"/>
        <v>0</v>
      </c>
      <c r="PL138" s="138">
        <f t="shared" ca="1" si="731"/>
        <v>0</v>
      </c>
      <c r="PM138" s="138">
        <f t="shared" ca="1" si="731"/>
        <v>0</v>
      </c>
      <c r="PN138" s="138">
        <f t="shared" ca="1" si="731"/>
        <v>0</v>
      </c>
      <c r="PO138" s="138">
        <f t="shared" ca="1" si="731"/>
        <v>0</v>
      </c>
      <c r="PP138" s="138">
        <f t="shared" ca="1" si="731"/>
        <v>0</v>
      </c>
      <c r="PQ138" s="138">
        <f t="shared" ca="1" si="731"/>
        <v>0</v>
      </c>
      <c r="PR138" s="138">
        <f t="shared" ca="1" si="731"/>
        <v>0</v>
      </c>
      <c r="PS138" s="138">
        <f t="shared" ca="1" si="731"/>
        <v>0</v>
      </c>
      <c r="PT138" s="138">
        <f t="shared" ca="1" si="731"/>
        <v>0</v>
      </c>
      <c r="PU138" s="138">
        <f t="shared" ca="1" si="731"/>
        <v>0</v>
      </c>
      <c r="PV138" s="138">
        <f t="shared" ca="1" si="731"/>
        <v>0</v>
      </c>
      <c r="PW138" s="138">
        <f t="shared" ca="1" si="731"/>
        <v>0</v>
      </c>
      <c r="PX138" s="138">
        <f t="shared" ca="1" si="731"/>
        <v>0</v>
      </c>
      <c r="PY138" s="138">
        <f t="shared" ca="1" si="731"/>
        <v>0</v>
      </c>
      <c r="PZ138" s="138">
        <f t="shared" ca="1" si="731"/>
        <v>0</v>
      </c>
      <c r="QA138" s="138">
        <f t="shared" ca="1" si="731"/>
        <v>0</v>
      </c>
      <c r="QB138" s="138">
        <f t="shared" ca="1" si="731"/>
        <v>0</v>
      </c>
      <c r="QC138" s="138">
        <f t="shared" ca="1" si="731"/>
        <v>0</v>
      </c>
      <c r="QD138" s="138">
        <f t="shared" ca="1" si="731"/>
        <v>0</v>
      </c>
      <c r="QE138" s="138">
        <f t="shared" ca="1" si="731"/>
        <v>0</v>
      </c>
      <c r="QF138" s="138">
        <f t="shared" ca="1" si="731"/>
        <v>0</v>
      </c>
      <c r="QG138" s="138">
        <f t="shared" ca="1" si="731"/>
        <v>0</v>
      </c>
      <c r="QH138" s="138">
        <f t="shared" ca="1" si="731"/>
        <v>0</v>
      </c>
      <c r="QI138" s="138">
        <f t="shared" ca="1" si="731"/>
        <v>0</v>
      </c>
      <c r="QJ138" s="138">
        <f t="shared" ca="1" si="731"/>
        <v>0</v>
      </c>
      <c r="QK138" s="138">
        <f t="shared" ca="1" si="731"/>
        <v>0</v>
      </c>
      <c r="QL138" s="138">
        <f t="shared" ref="QL138:RR138" ca="1" si="732">QL114</f>
        <v>0</v>
      </c>
      <c r="QM138" s="138">
        <f t="shared" ca="1" si="732"/>
        <v>0</v>
      </c>
      <c r="QN138" s="138">
        <f t="shared" ca="1" si="732"/>
        <v>0</v>
      </c>
      <c r="QO138" s="138">
        <f t="shared" ca="1" si="732"/>
        <v>0</v>
      </c>
      <c r="QP138" s="138">
        <f t="shared" ca="1" si="732"/>
        <v>0</v>
      </c>
      <c r="QQ138" s="138">
        <f t="shared" ca="1" si="732"/>
        <v>0</v>
      </c>
      <c r="QR138" s="138">
        <f t="shared" ca="1" si="732"/>
        <v>0</v>
      </c>
      <c r="QS138" s="138">
        <f t="shared" ca="1" si="732"/>
        <v>0</v>
      </c>
      <c r="QT138" s="138">
        <f t="shared" ca="1" si="732"/>
        <v>0</v>
      </c>
      <c r="QU138" s="138">
        <f t="shared" ca="1" si="732"/>
        <v>0</v>
      </c>
      <c r="QV138" s="138">
        <f t="shared" ca="1" si="732"/>
        <v>0</v>
      </c>
      <c r="QW138" s="138">
        <f t="shared" ca="1" si="732"/>
        <v>0</v>
      </c>
      <c r="QX138" s="138">
        <f t="shared" ca="1" si="732"/>
        <v>0</v>
      </c>
      <c r="QY138" s="138">
        <f t="shared" ca="1" si="732"/>
        <v>0</v>
      </c>
      <c r="QZ138" s="138">
        <f t="shared" ca="1" si="732"/>
        <v>0</v>
      </c>
      <c r="RA138" s="138">
        <f t="shared" ca="1" si="732"/>
        <v>0</v>
      </c>
      <c r="RB138" s="138">
        <f t="shared" ca="1" si="732"/>
        <v>0</v>
      </c>
      <c r="RC138" s="138">
        <f t="shared" ca="1" si="732"/>
        <v>0</v>
      </c>
      <c r="RD138" s="138">
        <f t="shared" ca="1" si="732"/>
        <v>0</v>
      </c>
      <c r="RE138" s="138">
        <f t="shared" ca="1" si="732"/>
        <v>0</v>
      </c>
      <c r="RF138" s="138">
        <f t="shared" ca="1" si="732"/>
        <v>0</v>
      </c>
      <c r="RG138" s="138">
        <f t="shared" ca="1" si="732"/>
        <v>0</v>
      </c>
      <c r="RH138" s="138">
        <f t="shared" ca="1" si="732"/>
        <v>0</v>
      </c>
      <c r="RI138" s="138">
        <f t="shared" ca="1" si="732"/>
        <v>0</v>
      </c>
      <c r="RJ138" s="138">
        <f t="shared" ca="1" si="732"/>
        <v>0</v>
      </c>
      <c r="RK138" s="138">
        <f t="shared" ca="1" si="732"/>
        <v>0</v>
      </c>
      <c r="RL138" s="138">
        <f t="shared" ca="1" si="732"/>
        <v>0</v>
      </c>
      <c r="RM138" s="138">
        <f t="shared" ca="1" si="732"/>
        <v>0</v>
      </c>
      <c r="RN138" s="138">
        <f t="shared" ca="1" si="732"/>
        <v>0</v>
      </c>
      <c r="RO138" s="138">
        <f t="shared" ca="1" si="732"/>
        <v>0</v>
      </c>
      <c r="RP138" s="138">
        <f t="shared" ca="1" si="732"/>
        <v>0</v>
      </c>
      <c r="RQ138" s="138">
        <f t="shared" ca="1" si="732"/>
        <v>0</v>
      </c>
      <c r="RR138" s="138">
        <f t="shared" ca="1" si="732"/>
        <v>0</v>
      </c>
    </row>
    <row r="139" spans="1:486" s="9" customFormat="1" ht="28.8">
      <c r="A139" s="137"/>
      <c r="C139" s="132" t="s">
        <v>261</v>
      </c>
      <c r="D139" s="9" t="s">
        <v>256</v>
      </c>
      <c r="E139" s="138">
        <f>E115</f>
        <v>111097171.54231954</v>
      </c>
      <c r="F139" s="138">
        <f t="shared" ref="F139:BQ139" ca="1" si="733">F115</f>
        <v>111385519.12652764</v>
      </c>
      <c r="G139" s="138">
        <f t="shared" ca="1" si="733"/>
        <v>111674800.95727333</v>
      </c>
      <c r="H139" s="138">
        <f t="shared" ca="1" si="733"/>
        <v>111965020.06151655</v>
      </c>
      <c r="I139" s="138">
        <f t="shared" ca="1" si="733"/>
        <v>112256179.4760246</v>
      </c>
      <c r="J139" s="138">
        <f t="shared" ca="1" si="733"/>
        <v>112548282.24740398</v>
      </c>
      <c r="K139" s="138">
        <f t="shared" ca="1" si="733"/>
        <v>112841331.43213207</v>
      </c>
      <c r="L139" s="138">
        <f t="shared" ca="1" si="733"/>
        <v>113135330.09658939</v>
      </c>
      <c r="M139" s="138">
        <f t="shared" ca="1" si="733"/>
        <v>113430281.31709144</v>
      </c>
      <c r="N139" s="138">
        <f t="shared" ca="1" si="733"/>
        <v>113726188.179921</v>
      </c>
      <c r="O139" s="138">
        <f t="shared" ca="1" si="733"/>
        <v>114023053.78136042</v>
      </c>
      <c r="P139" s="138">
        <f t="shared" ca="1" si="733"/>
        <v>114320881.22772399</v>
      </c>
      <c r="Q139" s="138">
        <f t="shared" ca="1" si="733"/>
        <v>114619673.63539055</v>
      </c>
      <c r="R139" s="138">
        <f t="shared" ca="1" si="733"/>
        <v>114919434.13083586</v>
      </c>
      <c r="S139" s="138">
        <f t="shared" ca="1" si="733"/>
        <v>115220165.8506656</v>
      </c>
      <c r="T139" s="138">
        <f t="shared" ca="1" si="733"/>
        <v>115521871.94164801</v>
      </c>
      <c r="U139" s="138">
        <f t="shared" ca="1" si="733"/>
        <v>115824555.56074682</v>
      </c>
      <c r="V139" s="138">
        <f t="shared" ca="1" si="733"/>
        <v>116128219.87515438</v>
      </c>
      <c r="W139" s="138">
        <f t="shared" ca="1" si="733"/>
        <v>116432868.0623247</v>
      </c>
      <c r="X139" s="138">
        <f t="shared" ca="1" si="733"/>
        <v>116738503.31000686</v>
      </c>
      <c r="Y139" s="138">
        <f t="shared" ca="1" si="733"/>
        <v>117045128.8162781</v>
      </c>
      <c r="Z139" s="138">
        <f t="shared" ca="1" si="733"/>
        <v>117352747.78957751</v>
      </c>
      <c r="AA139" s="138">
        <f t="shared" ca="1" si="733"/>
        <v>117661363.44873953</v>
      </c>
      <c r="AB139" s="138">
        <f t="shared" ca="1" si="733"/>
        <v>117970979.0230276</v>
      </c>
      <c r="AC139" s="138">
        <f t="shared" ca="1" si="733"/>
        <v>118281597.752168</v>
      </c>
      <c r="AD139" s="138">
        <f t="shared" ca="1" si="733"/>
        <v>118593222.88638371</v>
      </c>
      <c r="AE139" s="138">
        <f t="shared" ca="1" si="733"/>
        <v>118905857.68642849</v>
      </c>
      <c r="AF139" s="138">
        <f t="shared" ca="1" si="733"/>
        <v>119219505.42362085</v>
      </c>
      <c r="AG139" s="138">
        <f t="shared" ca="1" si="733"/>
        <v>119534169.37987846</v>
      </c>
      <c r="AH139" s="138">
        <f t="shared" ca="1" si="733"/>
        <v>119849852.84775236</v>
      </c>
      <c r="AI139" s="138">
        <f t="shared" ca="1" si="733"/>
        <v>120166559.13046151</v>
      </c>
      <c r="AJ139" s="138">
        <f t="shared" ca="1" si="733"/>
        <v>120484291.54192722</v>
      </c>
      <c r="AK139" s="138">
        <f t="shared" ca="1" si="733"/>
        <v>120803053.40680799</v>
      </c>
      <c r="AL139" s="138">
        <f t="shared" ca="1" si="733"/>
        <v>121122848.06053418</v>
      </c>
      <c r="AM139" s="138">
        <f t="shared" ca="1" si="733"/>
        <v>121443678.84934297</v>
      </c>
      <c r="AN139" s="138">
        <f t="shared" ca="1" si="733"/>
        <v>121765549.13031331</v>
      </c>
      <c r="AO139" s="138">
        <f t="shared" ca="1" si="733"/>
        <v>122088462.27140114</v>
      </c>
      <c r="AP139" s="138">
        <f t="shared" ca="1" si="733"/>
        <v>122412421.65147454</v>
      </c>
      <c r="AQ139" s="138">
        <f t="shared" ca="1" si="733"/>
        <v>122737430.66034919</v>
      </c>
      <c r="AR139" s="138">
        <f t="shared" ca="1" si="733"/>
        <v>123063492.69882366</v>
      </c>
      <c r="AS139" s="138">
        <f t="shared" ca="1" si="733"/>
        <v>123390611.17871526</v>
      </c>
      <c r="AT139" s="138">
        <f t="shared" ca="1" si="733"/>
        <v>123718789.52289549</v>
      </c>
      <c r="AU139" s="138">
        <f t="shared" ca="1" si="733"/>
        <v>124048031.16532597</v>
      </c>
      <c r="AV139" s="138">
        <f t="shared" ca="1" si="733"/>
        <v>124378339.55109441</v>
      </c>
      <c r="AW139" s="138">
        <f t="shared" ca="1" si="733"/>
        <v>124709718.13645053</v>
      </c>
      <c r="AX139" s="138">
        <f t="shared" ca="1" si="733"/>
        <v>125042170.38884237</v>
      </c>
      <c r="AY139" s="138">
        <f t="shared" ca="1" si="733"/>
        <v>125375699.7869525</v>
      </c>
      <c r="AZ139" s="138">
        <f t="shared" ca="1" si="733"/>
        <v>125710309.82073438</v>
      </c>
      <c r="BA139" s="138">
        <f t="shared" ca="1" si="733"/>
        <v>126046003.99144897</v>
      </c>
      <c r="BB139" s="138">
        <f t="shared" ca="1" si="733"/>
        <v>126382785.81170133</v>
      </c>
      <c r="BC139" s="138">
        <f t="shared" ca="1" si="733"/>
        <v>126720658.80547726</v>
      </c>
      <c r="BD139" s="138">
        <f t="shared" ca="1" si="733"/>
        <v>127059626.50818044</v>
      </c>
      <c r="BE139" s="138">
        <f t="shared" ca="1" si="733"/>
        <v>127399692.46666911</v>
      </c>
      <c r="BF139" s="138">
        <f t="shared" ca="1" si="733"/>
        <v>127740860.23929349</v>
      </c>
      <c r="BG139" s="138">
        <f t="shared" ca="1" si="733"/>
        <v>128083133.39593267</v>
      </c>
      <c r="BH139" s="138">
        <f t="shared" ca="1" si="733"/>
        <v>128426515.51803234</v>
      </c>
      <c r="BI139" s="138">
        <f t="shared" ca="1" si="733"/>
        <v>128771010.19864199</v>
      </c>
      <c r="BJ139" s="138">
        <f t="shared" ca="1" si="733"/>
        <v>129116621.04245251</v>
      </c>
      <c r="BK139" s="138">
        <f t="shared" ca="1" si="733"/>
        <v>129463351.66583419</v>
      </c>
      <c r="BL139" s="138">
        <f t="shared" ca="1" si="733"/>
        <v>129811205.6968742</v>
      </c>
      <c r="BM139" s="138">
        <f t="shared" ca="1" si="733"/>
        <v>123643037.53758751</v>
      </c>
      <c r="BN139" s="138">
        <f t="shared" ca="1" si="733"/>
        <v>123876736.15492694</v>
      </c>
      <c r="BO139" s="138">
        <f t="shared" ca="1" si="733"/>
        <v>124111191.95608215</v>
      </c>
      <c r="BP139" s="138">
        <f t="shared" ca="1" si="733"/>
        <v>124346407.39432968</v>
      </c>
      <c r="BQ139" s="138">
        <f t="shared" ca="1" si="733"/>
        <v>124582384.93089466</v>
      </c>
      <c r="BR139" s="138">
        <f t="shared" ref="BR139:EC139" ca="1" si="734">BR115</f>
        <v>124819127.0349766</v>
      </c>
      <c r="BS139" s="138">
        <f t="shared" ca="1" si="734"/>
        <v>125056636.18377522</v>
      </c>
      <c r="BT139" s="138">
        <f t="shared" ca="1" si="734"/>
        <v>125294914.86251639</v>
      </c>
      <c r="BU139" s="138">
        <f t="shared" ca="1" si="734"/>
        <v>125533965.56447807</v>
      </c>
      <c r="BV139" s="138">
        <f t="shared" ca="1" si="734"/>
        <v>125773790.7910165</v>
      </c>
      <c r="BW139" s="138">
        <f t="shared" ca="1" si="734"/>
        <v>126014393.05159228</v>
      </c>
      <c r="BX139" s="138">
        <f t="shared" ca="1" si="734"/>
        <v>126255774.86379664</v>
      </c>
      <c r="BY139" s="138">
        <f t="shared" ca="1" si="734"/>
        <v>126497938.75337788</v>
      </c>
      <c r="BZ139" s="138">
        <f t="shared" ca="1" si="734"/>
        <v>126740887.25426768</v>
      </c>
      <c r="CA139" s="138">
        <f t="shared" ca="1" si="734"/>
        <v>126984622.90860769</v>
      </c>
      <c r="CB139" s="138">
        <f t="shared" ca="1" si="734"/>
        <v>127229148.26677606</v>
      </c>
      <c r="CC139" s="138">
        <f t="shared" ca="1" si="734"/>
        <v>127474465.88741419</v>
      </c>
      <c r="CD139" s="138">
        <f t="shared" ca="1" si="734"/>
        <v>127720578.3374535</v>
      </c>
      <c r="CE139" s="138">
        <f t="shared" ca="1" si="734"/>
        <v>127967488.19214225</v>
      </c>
      <c r="CF139" s="138">
        <f t="shared" ca="1" si="734"/>
        <v>128215198.03507251</v>
      </c>
      <c r="CG139" s="138">
        <f t="shared" ca="1" si="734"/>
        <v>128463710.45820719</v>
      </c>
      <c r="CH139" s="138">
        <f t="shared" ca="1" si="734"/>
        <v>128713028.06190719</v>
      </c>
      <c r="CI139" s="138">
        <f t="shared" ca="1" si="734"/>
        <v>128963153.45495853</v>
      </c>
      <c r="CJ139" s="138">
        <f t="shared" ca="1" si="734"/>
        <v>129214089.25459975</v>
      </c>
      <c r="CK139" s="138">
        <f t="shared" ca="1" si="734"/>
        <v>129465838.08654922</v>
      </c>
      <c r="CL139" s="138">
        <f t="shared" ca="1" si="734"/>
        <v>129718402.58503266</v>
      </c>
      <c r="CM139" s="138">
        <f t="shared" ca="1" si="734"/>
        <v>129971785.39281064</v>
      </c>
      <c r="CN139" s="138">
        <f t="shared" ca="1" si="734"/>
        <v>130225989.16120633</v>
      </c>
      <c r="CO139" s="138">
        <f t="shared" ca="1" si="734"/>
        <v>130481016.55013318</v>
      </c>
      <c r="CP139" s="138">
        <f t="shared" ca="1" si="734"/>
        <v>130736870.22812274</v>
      </c>
      <c r="CQ139" s="138">
        <f t="shared" ca="1" si="734"/>
        <v>130993552.87235263</v>
      </c>
      <c r="CR139" s="138">
        <f t="shared" ca="1" si="734"/>
        <v>131251067.1686745</v>
      </c>
      <c r="CS139" s="138">
        <f t="shared" ca="1" si="734"/>
        <v>131509415.81164218</v>
      </c>
      <c r="CT139" s="138">
        <f t="shared" ca="1" si="734"/>
        <v>131768601.50453988</v>
      </c>
      <c r="CU139" s="138">
        <f t="shared" ca="1" si="734"/>
        <v>132028626.9594104</v>
      </c>
      <c r="CV139" s="138">
        <f t="shared" ca="1" si="734"/>
        <v>132289494.89708361</v>
      </c>
      <c r="CW139" s="138">
        <f t="shared" ca="1" si="734"/>
        <v>132551208.04720487</v>
      </c>
      <c r="CX139" s="138">
        <f t="shared" ca="1" si="734"/>
        <v>132813769.14826357</v>
      </c>
      <c r="CY139" s="138">
        <f t="shared" ca="1" si="734"/>
        <v>133077180.94762181</v>
      </c>
      <c r="CZ139" s="138">
        <f t="shared" ca="1" si="734"/>
        <v>133341446.20154317</v>
      </c>
      <c r="DA139" s="138">
        <f t="shared" ca="1" si="734"/>
        <v>133606567.6752215</v>
      </c>
      <c r="DB139" s="138">
        <f t="shared" ca="1" si="734"/>
        <v>133872548.14280991</v>
      </c>
      <c r="DC139" s="138">
        <f t="shared" ca="1" si="734"/>
        <v>134139390.38744976</v>
      </c>
      <c r="DD139" s="138">
        <f t="shared" ca="1" si="734"/>
        <v>134407097.20129976</v>
      </c>
      <c r="DE139" s="138">
        <f t="shared" ca="1" si="734"/>
        <v>134675671.38556528</v>
      </c>
      <c r="DF139" s="138">
        <f t="shared" ca="1" si="734"/>
        <v>134945115.75052753</v>
      </c>
      <c r="DG139" s="138">
        <f t="shared" ca="1" si="734"/>
        <v>135215433.11557311</v>
      </c>
      <c r="DH139" s="138">
        <f t="shared" ca="1" si="734"/>
        <v>135486626.30922332</v>
      </c>
      <c r="DI139" s="138">
        <f t="shared" ca="1" si="734"/>
        <v>135758698.16916403</v>
      </c>
      <c r="DJ139" s="138">
        <f t="shared" ca="1" si="734"/>
        <v>136031651.54227507</v>
      </c>
      <c r="DK139" s="138">
        <f t="shared" ca="1" si="734"/>
        <v>136305489.28466028</v>
      </c>
      <c r="DL139" s="138">
        <f t="shared" ca="1" si="734"/>
        <v>136580214.26167721</v>
      </c>
      <c r="DM139" s="138">
        <f t="shared" ca="1" si="734"/>
        <v>136855829.34796715</v>
      </c>
      <c r="DN139" s="138">
        <f t="shared" ca="1" si="734"/>
        <v>137132337.42748529</v>
      </c>
      <c r="DO139" s="138">
        <f t="shared" ca="1" si="734"/>
        <v>137409741.39353085</v>
      </c>
      <c r="DP139" s="138">
        <f t="shared" ca="1" si="734"/>
        <v>137688044.14877731</v>
      </c>
      <c r="DQ139" s="138">
        <f t="shared" ca="1" si="734"/>
        <v>137967248.60530275</v>
      </c>
      <c r="DR139" s="138">
        <f t="shared" ca="1" si="734"/>
        <v>138247357.68462056</v>
      </c>
      <c r="DS139" s="138">
        <f t="shared" ca="1" si="734"/>
        <v>138528374.31770962</v>
      </c>
      <c r="DT139" s="138">
        <f t="shared" ca="1" si="734"/>
        <v>138810301.44504538</v>
      </c>
      <c r="DU139" s="138">
        <f t="shared" ca="1" si="734"/>
        <v>139093142.01663032</v>
      </c>
      <c r="DV139" s="138">
        <f t="shared" ca="1" si="734"/>
        <v>139376898.99202496</v>
      </c>
      <c r="DW139" s="138">
        <f t="shared" ca="1" si="734"/>
        <v>139661575.34037882</v>
      </c>
      <c r="DX139" s="138">
        <f t="shared" ca="1" si="734"/>
        <v>139947174.04046142</v>
      </c>
      <c r="DY139" s="138">
        <f t="shared" ca="1" si="734"/>
        <v>140233698.0806936</v>
      </c>
      <c r="DZ139" s="138">
        <f t="shared" ca="1" si="734"/>
        <v>140521150.45917851</v>
      </c>
      <c r="EA139" s="138">
        <f t="shared" ca="1" si="734"/>
        <v>140809534.18373331</v>
      </c>
      <c r="EB139" s="138">
        <f t="shared" ca="1" si="734"/>
        <v>141098852.27192047</v>
      </c>
      <c r="EC139" s="138">
        <f t="shared" ca="1" si="734"/>
        <v>141389107.75107932</v>
      </c>
      <c r="ED139" s="138">
        <f t="shared" ref="ED139:GO139" ca="1" si="735">ED115</f>
        <v>141680303.6583578</v>
      </c>
      <c r="EE139" s="138">
        <f t="shared" ca="1" si="735"/>
        <v>141972443.04074419</v>
      </c>
      <c r="EF139" s="138">
        <f t="shared" ca="1" si="735"/>
        <v>142265528.95509905</v>
      </c>
      <c r="EG139" s="138">
        <f t="shared" ca="1" si="735"/>
        <v>142559564.46818715</v>
      </c>
      <c r="EH139" s="138">
        <f t="shared" ca="1" si="735"/>
        <v>142854552.65670955</v>
      </c>
      <c r="EI139" s="138">
        <f t="shared" ca="1" si="735"/>
        <v>143150496.60733595</v>
      </c>
      <c r="EJ139" s="138">
        <f t="shared" ca="1" si="735"/>
        <v>143447399.41673669</v>
      </c>
      <c r="EK139" s="138">
        <f t="shared" ca="1" si="735"/>
        <v>143745264.19161546</v>
      </c>
      <c r="EL139" s="138">
        <f t="shared" ca="1" si="735"/>
        <v>144044094.04874164</v>
      </c>
      <c r="EM139" s="138">
        <f t="shared" ca="1" si="735"/>
        <v>144343892.11498284</v>
      </c>
      <c r="EN139" s="138">
        <f t="shared" ca="1" si="735"/>
        <v>144644661.52733794</v>
      </c>
      <c r="EO139" s="138">
        <f t="shared" ca="1" si="735"/>
        <v>144946405.43296948</v>
      </c>
      <c r="EP139" s="138">
        <f t="shared" ca="1" si="735"/>
        <v>145249126.98923695</v>
      </c>
      <c r="EQ139" s="138">
        <f t="shared" ca="1" si="735"/>
        <v>145552829.36372969</v>
      </c>
      <c r="ER139" s="138">
        <f t="shared" ca="1" si="735"/>
        <v>145857515.7342999</v>
      </c>
      <c r="ES139" s="138">
        <f t="shared" ca="1" si="735"/>
        <v>146163189.28909618</v>
      </c>
      <c r="ET139" s="138">
        <f t="shared" ca="1" si="735"/>
        <v>146469853.22659665</v>
      </c>
      <c r="EU139" s="138">
        <f t="shared" ca="1" si="735"/>
        <v>146777510.75564253</v>
      </c>
      <c r="EV139" s="138">
        <f t="shared" ca="1" si="735"/>
        <v>147086165.09547168</v>
      </c>
      <c r="EW139" s="138">
        <f t="shared" ca="1" si="735"/>
        <v>147395819.47575229</v>
      </c>
      <c r="EX139" s="138">
        <f t="shared" ca="1" si="735"/>
        <v>147706477.13661671</v>
      </c>
      <c r="EY139" s="138">
        <f t="shared" ca="1" si="735"/>
        <v>148018141.32869524</v>
      </c>
      <c r="EZ139" s="138">
        <f t="shared" ca="1" si="735"/>
        <v>148330815.31315041</v>
      </c>
      <c r="FA139" s="138">
        <f t="shared" ca="1" si="735"/>
        <v>148644502.36171067</v>
      </c>
      <c r="FB139" s="138">
        <f t="shared" ca="1" si="735"/>
        <v>148959205.75670505</v>
      </c>
      <c r="FC139" s="138">
        <f t="shared" ca="1" si="735"/>
        <v>149274928.79109731</v>
      </c>
      <c r="FD139" s="138">
        <f t="shared" ca="1" si="735"/>
        <v>149591674.76852036</v>
      </c>
      <c r="FE139" s="138">
        <f t="shared" ca="1" si="735"/>
        <v>149909447.00331092</v>
      </c>
      <c r="FF139" s="138">
        <f t="shared" ca="1" si="735"/>
        <v>150228248.82054412</v>
      </c>
      <c r="FG139" s="138">
        <f t="shared" ca="1" si="735"/>
        <v>150548083.55606845</v>
      </c>
      <c r="FH139" s="138">
        <f t="shared" ca="1" si="735"/>
        <v>150868954.55654043</v>
      </c>
      <c r="FI139" s="138">
        <f t="shared" ca="1" si="735"/>
        <v>151190865.17945981</v>
      </c>
      <c r="FJ139" s="138">
        <f t="shared" ca="1" si="735"/>
        <v>151513818.79320467</v>
      </c>
      <c r="FK139" s="138">
        <f t="shared" ca="1" si="735"/>
        <v>151837818.77706656</v>
      </c>
      <c r="FL139" s="138">
        <f t="shared" ca="1" si="735"/>
        <v>152162868.52128601</v>
      </c>
      <c r="FM139" s="138">
        <f t="shared" ca="1" si="735"/>
        <v>152488971.42708787</v>
      </c>
      <c r="FN139" s="138">
        <f t="shared" ca="1" si="735"/>
        <v>152816130.90671703</v>
      </c>
      <c r="FO139" s="138">
        <f t="shared" ca="1" si="735"/>
        <v>153144350.38347402</v>
      </c>
      <c r="FP139" s="138">
        <f t="shared" ca="1" si="735"/>
        <v>153473633.29175085</v>
      </c>
      <c r="FQ139" s="138">
        <f t="shared" ca="1" si="735"/>
        <v>153803983.07706705</v>
      </c>
      <c r="FR139" s="138">
        <f t="shared" ca="1" si="735"/>
        <v>154135403.19610551</v>
      </c>
      <c r="FS139" s="138">
        <f t="shared" ca="1" si="735"/>
        <v>154467897.11674887</v>
      </c>
      <c r="FT139" s="138">
        <f t="shared" ca="1" si="735"/>
        <v>154801468.31811574</v>
      </c>
      <c r="FU139" s="138">
        <f t="shared" ca="1" si="735"/>
        <v>155136120.29059696</v>
      </c>
      <c r="FV139" s="138">
        <f t="shared" ca="1" si="735"/>
        <v>155471856.53589231</v>
      </c>
      <c r="FW139" s="138">
        <f t="shared" ca="1" si="735"/>
        <v>155808680.56704709</v>
      </c>
      <c r="FX139" s="138">
        <f t="shared" ca="1" si="735"/>
        <v>156146595.90848887</v>
      </c>
      <c r="FY139" s="138">
        <f t="shared" ca="1" si="735"/>
        <v>156485606.09606439</v>
      </c>
      <c r="FZ139" s="138">
        <f t="shared" ca="1" si="735"/>
        <v>156825714.67707643</v>
      </c>
      <c r="GA139" s="138">
        <f t="shared" ca="1" si="735"/>
        <v>157166925.21032119</v>
      </c>
      <c r="GB139" s="138">
        <f t="shared" ca="1" si="735"/>
        <v>157509241.26612526</v>
      </c>
      <c r="GC139" s="138">
        <f t="shared" ca="1" si="735"/>
        <v>157852666.42638314</v>
      </c>
      <c r="GD139" s="138">
        <f t="shared" ca="1" si="735"/>
        <v>158197204.28459463</v>
      </c>
      <c r="GE139" s="138">
        <f t="shared" ca="1" si="735"/>
        <v>158542858.44590256</v>
      </c>
      <c r="GF139" s="138">
        <f t="shared" ca="1" si="735"/>
        <v>158889632.52713034</v>
      </c>
      <c r="GG139" s="138">
        <f t="shared" ca="1" si="735"/>
        <v>159237530.15681994</v>
      </c>
      <c r="GH139" s="138">
        <f t="shared" ca="1" si="735"/>
        <v>159586554.97526979</v>
      </c>
      <c r="GI139" s="138">
        <f t="shared" ca="1" si="735"/>
        <v>159936710.63457292</v>
      </c>
      <c r="GJ139" s="138">
        <f t="shared" ca="1" si="735"/>
        <v>160288000.79865515</v>
      </c>
      <c r="GK139" s="138">
        <f t="shared" ca="1" si="735"/>
        <v>160640429.14331329</v>
      </c>
      <c r="GL139" s="138">
        <f t="shared" ca="1" si="735"/>
        <v>160993999.35625398</v>
      </c>
      <c r="GM139" s="138">
        <f t="shared" ca="1" si="735"/>
        <v>161348715.13713181</v>
      </c>
      <c r="GN139" s="138">
        <f t="shared" ca="1" si="735"/>
        <v>161704580.19758835</v>
      </c>
      <c r="GO139" s="138">
        <f t="shared" ca="1" si="735"/>
        <v>162061598.26129091</v>
      </c>
      <c r="GP139" s="138">
        <f t="shared" ref="GP139:JA139" ca="1" si="736">GP115</f>
        <v>162419773.06397149</v>
      </c>
      <c r="GQ139" s="138">
        <f t="shared" ca="1" si="736"/>
        <v>162779108.3534658</v>
      </c>
      <c r="GR139" s="138">
        <f t="shared" ca="1" si="736"/>
        <v>163139607.88975263</v>
      </c>
      <c r="GS139" s="138">
        <f t="shared" ca="1" si="736"/>
        <v>163501275.44499299</v>
      </c>
      <c r="GT139" s="138">
        <f t="shared" ca="1" si="736"/>
        <v>163864114.80356982</v>
      </c>
      <c r="GU139" s="138">
        <f t="shared" ca="1" si="736"/>
        <v>164228129.76212743</v>
      </c>
      <c r="GV139" s="138">
        <f t="shared" ca="1" si="736"/>
        <v>164593324.12961119</v>
      </c>
      <c r="GW139" s="138">
        <f t="shared" ca="1" si="736"/>
        <v>164959701.72730756</v>
      </c>
      <c r="GX139" s="138">
        <f t="shared" ca="1" si="736"/>
        <v>165327266.38888386</v>
      </c>
      <c r="GY139" s="138">
        <f t="shared" ca="1" si="736"/>
        <v>165696021.96042863</v>
      </c>
      <c r="GZ139" s="138">
        <f t="shared" ca="1" si="736"/>
        <v>166065972.30049166</v>
      </c>
      <c r="HA139" s="138">
        <f t="shared" ca="1" si="736"/>
        <v>166437121.28012443</v>
      </c>
      <c r="HB139" s="138">
        <f t="shared" ca="1" si="736"/>
        <v>166809472.78292072</v>
      </c>
      <c r="HC139" s="138">
        <f t="shared" ca="1" si="736"/>
        <v>167183030.70505702</v>
      </c>
      <c r="HD139" s="138">
        <f t="shared" ca="1" si="736"/>
        <v>167557798.95533359</v>
      </c>
      <c r="HE139" s="138">
        <f t="shared" ca="1" si="736"/>
        <v>167933781.4552151</v>
      </c>
      <c r="HF139" s="138">
        <f t="shared" ca="1" si="736"/>
        <v>168310982.13887179</v>
      </c>
      <c r="HG139" s="138">
        <f t="shared" ca="1" si="736"/>
        <v>168689404.95322067</v>
      </c>
      <c r="HH139" s="138">
        <f t="shared" ca="1" si="736"/>
        <v>169069053.85796672</v>
      </c>
      <c r="HI139" s="138">
        <f t="shared" ca="1" si="736"/>
        <v>169449932.82564437</v>
      </c>
      <c r="HJ139" s="138">
        <f t="shared" ca="1" si="736"/>
        <v>169832045.84165907</v>
      </c>
      <c r="HK139" s="138">
        <f t="shared" ca="1" si="736"/>
        <v>170215396.904329</v>
      </c>
      <c r="HL139" s="138">
        <f t="shared" ca="1" si="736"/>
        <v>170599990.0249269</v>
      </c>
      <c r="HM139" s="138">
        <f t="shared" ca="1" si="736"/>
        <v>170985829.22772202</v>
      </c>
      <c r="HN139" s="138">
        <f t="shared" ca="1" si="736"/>
        <v>171372918.55002224</v>
      </c>
      <c r="HO139" s="138">
        <f t="shared" ca="1" si="736"/>
        <v>171761262.04221636</v>
      </c>
      <c r="HP139" s="138">
        <f t="shared" ca="1" si="736"/>
        <v>172150863.76781642</v>
      </c>
      <c r="HQ139" s="138">
        <f t="shared" ca="1" si="736"/>
        <v>172541727.80350024</v>
      </c>
      <c r="HR139" s="138">
        <f t="shared" ca="1" si="736"/>
        <v>172933858.23915404</v>
      </c>
      <c r="HS139" s="138">
        <f t="shared" ca="1" si="736"/>
        <v>173327259.17791539</v>
      </c>
      <c r="HT139" s="138">
        <f t="shared" ca="1" si="736"/>
        <v>173721934.73621595</v>
      </c>
      <c r="HU139" s="138">
        <f t="shared" ca="1" si="736"/>
        <v>174117889.04382467</v>
      </c>
      <c r="HV139" s="138">
        <f t="shared" ca="1" si="736"/>
        <v>174515126.24389088</v>
      </c>
      <c r="HW139" s="138">
        <f t="shared" ca="1" si="736"/>
        <v>174913650.49298775</v>
      </c>
      <c r="HX139" s="138">
        <f t="shared" ca="1" si="736"/>
        <v>175313465.96115583</v>
      </c>
      <c r="HY139" s="138">
        <f t="shared" ca="1" si="736"/>
        <v>175714576.83194649</v>
      </c>
      <c r="HZ139" s="138">
        <f t="shared" ca="1" si="736"/>
        <v>176116987.30246586</v>
      </c>
      <c r="IA139" s="138">
        <f t="shared" ca="1" si="736"/>
        <v>176520701.58341876</v>
      </c>
      <c r="IB139" s="138">
        <f t="shared" ca="1" si="736"/>
        <v>176925723.89915258</v>
      </c>
      <c r="IC139" s="138">
        <f t="shared" ca="1" si="736"/>
        <v>177332058.48770171</v>
      </c>
      <c r="ID139" s="138">
        <f t="shared" ca="1" si="736"/>
        <v>177739709.60083175</v>
      </c>
      <c r="IE139" s="138">
        <f t="shared" ca="1" si="736"/>
        <v>178148681.50408396</v>
      </c>
      <c r="IF139" s="138">
        <f t="shared" ca="1" si="736"/>
        <v>178558978.47681999</v>
      </c>
      <c r="IG139" s="138">
        <f t="shared" ca="1" si="736"/>
        <v>178970604.81226671</v>
      </c>
      <c r="IH139" s="138">
        <f t="shared" ca="1" si="736"/>
        <v>179383564.81756097</v>
      </c>
      <c r="II139" s="138">
        <f t="shared" ca="1" si="736"/>
        <v>179797862.81379473</v>
      </c>
      <c r="IJ139" s="138">
        <f t="shared" ca="1" si="736"/>
        <v>180213503.1360603</v>
      </c>
      <c r="IK139" s="138">
        <f t="shared" ca="1" si="736"/>
        <v>0</v>
      </c>
      <c r="IL139" s="138">
        <f t="shared" ca="1" si="736"/>
        <v>0</v>
      </c>
      <c r="IM139" s="138">
        <f t="shared" ca="1" si="736"/>
        <v>0</v>
      </c>
      <c r="IN139" s="138">
        <f t="shared" ca="1" si="736"/>
        <v>0</v>
      </c>
      <c r="IO139" s="138">
        <f t="shared" ca="1" si="736"/>
        <v>0</v>
      </c>
      <c r="IP139" s="138">
        <f t="shared" ca="1" si="736"/>
        <v>0</v>
      </c>
      <c r="IQ139" s="138">
        <f t="shared" ca="1" si="736"/>
        <v>0</v>
      </c>
      <c r="IR139" s="138">
        <f t="shared" ca="1" si="736"/>
        <v>0</v>
      </c>
      <c r="IS139" s="138">
        <f t="shared" ca="1" si="736"/>
        <v>0</v>
      </c>
      <c r="IT139" s="138">
        <f t="shared" ca="1" si="736"/>
        <v>0</v>
      </c>
      <c r="IU139" s="138">
        <f t="shared" ca="1" si="736"/>
        <v>0</v>
      </c>
      <c r="IV139" s="138">
        <f t="shared" ca="1" si="736"/>
        <v>0</v>
      </c>
      <c r="IW139" s="138">
        <f t="shared" ca="1" si="736"/>
        <v>0</v>
      </c>
      <c r="IX139" s="138">
        <f t="shared" ca="1" si="736"/>
        <v>0</v>
      </c>
      <c r="IY139" s="138">
        <f t="shared" ca="1" si="736"/>
        <v>0</v>
      </c>
      <c r="IZ139" s="138">
        <f t="shared" ca="1" si="736"/>
        <v>0</v>
      </c>
      <c r="JA139" s="138">
        <f t="shared" ca="1" si="736"/>
        <v>0</v>
      </c>
      <c r="JB139" s="138">
        <f t="shared" ref="JB139:LM139" ca="1" si="737">JB115</f>
        <v>0</v>
      </c>
      <c r="JC139" s="138">
        <f t="shared" ca="1" si="737"/>
        <v>0</v>
      </c>
      <c r="JD139" s="138">
        <f t="shared" ca="1" si="737"/>
        <v>0</v>
      </c>
      <c r="JE139" s="138">
        <f t="shared" ca="1" si="737"/>
        <v>0</v>
      </c>
      <c r="JF139" s="138">
        <f t="shared" ca="1" si="737"/>
        <v>0</v>
      </c>
      <c r="JG139" s="138">
        <f t="shared" ca="1" si="737"/>
        <v>0</v>
      </c>
      <c r="JH139" s="138">
        <f t="shared" ca="1" si="737"/>
        <v>0</v>
      </c>
      <c r="JI139" s="138">
        <f t="shared" ca="1" si="737"/>
        <v>0</v>
      </c>
      <c r="JJ139" s="138">
        <f t="shared" ca="1" si="737"/>
        <v>0</v>
      </c>
      <c r="JK139" s="138">
        <f t="shared" ca="1" si="737"/>
        <v>0</v>
      </c>
      <c r="JL139" s="138">
        <f t="shared" ca="1" si="737"/>
        <v>0</v>
      </c>
      <c r="JM139" s="138">
        <f t="shared" ca="1" si="737"/>
        <v>0</v>
      </c>
      <c r="JN139" s="138">
        <f t="shared" ca="1" si="737"/>
        <v>0</v>
      </c>
      <c r="JO139" s="138">
        <f t="shared" ca="1" si="737"/>
        <v>0</v>
      </c>
      <c r="JP139" s="138">
        <f t="shared" ca="1" si="737"/>
        <v>0</v>
      </c>
      <c r="JQ139" s="138">
        <f t="shared" ca="1" si="737"/>
        <v>0</v>
      </c>
      <c r="JR139" s="138">
        <f t="shared" ca="1" si="737"/>
        <v>0</v>
      </c>
      <c r="JS139" s="138">
        <f t="shared" ca="1" si="737"/>
        <v>0</v>
      </c>
      <c r="JT139" s="138">
        <f t="shared" ca="1" si="737"/>
        <v>0</v>
      </c>
      <c r="JU139" s="138">
        <f t="shared" ca="1" si="737"/>
        <v>0</v>
      </c>
      <c r="JV139" s="138">
        <f t="shared" ca="1" si="737"/>
        <v>0</v>
      </c>
      <c r="JW139" s="138">
        <f t="shared" ca="1" si="737"/>
        <v>0</v>
      </c>
      <c r="JX139" s="138">
        <f t="shared" ca="1" si="737"/>
        <v>0</v>
      </c>
      <c r="JY139" s="138">
        <f t="shared" ca="1" si="737"/>
        <v>0</v>
      </c>
      <c r="JZ139" s="138">
        <f t="shared" ca="1" si="737"/>
        <v>0</v>
      </c>
      <c r="KA139" s="138">
        <f t="shared" ca="1" si="737"/>
        <v>0</v>
      </c>
      <c r="KB139" s="138">
        <f t="shared" ca="1" si="737"/>
        <v>0</v>
      </c>
      <c r="KC139" s="138">
        <f t="shared" ca="1" si="737"/>
        <v>0</v>
      </c>
      <c r="KD139" s="138">
        <f t="shared" ca="1" si="737"/>
        <v>0</v>
      </c>
      <c r="KE139" s="138">
        <f t="shared" ca="1" si="737"/>
        <v>0</v>
      </c>
      <c r="KF139" s="138">
        <f t="shared" ca="1" si="737"/>
        <v>0</v>
      </c>
      <c r="KG139" s="138">
        <f t="shared" ca="1" si="737"/>
        <v>0</v>
      </c>
      <c r="KH139" s="138">
        <f t="shared" ca="1" si="737"/>
        <v>0</v>
      </c>
      <c r="KI139" s="138">
        <f t="shared" ca="1" si="737"/>
        <v>0</v>
      </c>
      <c r="KJ139" s="138">
        <f t="shared" ca="1" si="737"/>
        <v>0</v>
      </c>
      <c r="KK139" s="138">
        <f t="shared" ca="1" si="737"/>
        <v>0</v>
      </c>
      <c r="KL139" s="138">
        <f t="shared" ca="1" si="737"/>
        <v>0</v>
      </c>
      <c r="KM139" s="138">
        <f t="shared" ca="1" si="737"/>
        <v>0</v>
      </c>
      <c r="KN139" s="138">
        <f t="shared" ca="1" si="737"/>
        <v>0</v>
      </c>
      <c r="KO139" s="138">
        <f t="shared" ca="1" si="737"/>
        <v>0</v>
      </c>
      <c r="KP139" s="138">
        <f t="shared" ca="1" si="737"/>
        <v>0</v>
      </c>
      <c r="KQ139" s="138">
        <f t="shared" ca="1" si="737"/>
        <v>0</v>
      </c>
      <c r="KR139" s="138">
        <f t="shared" ca="1" si="737"/>
        <v>0</v>
      </c>
      <c r="KS139" s="138">
        <f t="shared" ca="1" si="737"/>
        <v>0</v>
      </c>
      <c r="KT139" s="138">
        <f t="shared" ca="1" si="737"/>
        <v>0</v>
      </c>
      <c r="KU139" s="138">
        <f t="shared" ca="1" si="737"/>
        <v>0</v>
      </c>
      <c r="KV139" s="138">
        <f t="shared" ca="1" si="737"/>
        <v>0</v>
      </c>
      <c r="KW139" s="138">
        <f t="shared" ca="1" si="737"/>
        <v>0</v>
      </c>
      <c r="KX139" s="138">
        <f t="shared" ca="1" si="737"/>
        <v>0</v>
      </c>
      <c r="KY139" s="138">
        <f t="shared" ca="1" si="737"/>
        <v>0</v>
      </c>
      <c r="KZ139" s="138">
        <f t="shared" ca="1" si="737"/>
        <v>0</v>
      </c>
      <c r="LA139" s="138">
        <f t="shared" ca="1" si="737"/>
        <v>0</v>
      </c>
      <c r="LB139" s="138">
        <f t="shared" ca="1" si="737"/>
        <v>0</v>
      </c>
      <c r="LC139" s="138">
        <f t="shared" ca="1" si="737"/>
        <v>0</v>
      </c>
      <c r="LD139" s="138">
        <f t="shared" ca="1" si="737"/>
        <v>0</v>
      </c>
      <c r="LE139" s="138">
        <f t="shared" ca="1" si="737"/>
        <v>0</v>
      </c>
      <c r="LF139" s="138">
        <f t="shared" ca="1" si="737"/>
        <v>0</v>
      </c>
      <c r="LG139" s="138">
        <f t="shared" ca="1" si="737"/>
        <v>0</v>
      </c>
      <c r="LH139" s="138">
        <f t="shared" ca="1" si="737"/>
        <v>0</v>
      </c>
      <c r="LI139" s="138">
        <f t="shared" ca="1" si="737"/>
        <v>0</v>
      </c>
      <c r="LJ139" s="138">
        <f t="shared" ca="1" si="737"/>
        <v>0</v>
      </c>
      <c r="LK139" s="138">
        <f t="shared" ca="1" si="737"/>
        <v>0</v>
      </c>
      <c r="LL139" s="138">
        <f t="shared" ca="1" si="737"/>
        <v>0</v>
      </c>
      <c r="LM139" s="138">
        <f t="shared" ca="1" si="737"/>
        <v>0</v>
      </c>
      <c r="LN139" s="138">
        <f t="shared" ref="LN139:NY139" ca="1" si="738">LN115</f>
        <v>0</v>
      </c>
      <c r="LO139" s="138">
        <f t="shared" ca="1" si="738"/>
        <v>0</v>
      </c>
      <c r="LP139" s="138">
        <f t="shared" ca="1" si="738"/>
        <v>0</v>
      </c>
      <c r="LQ139" s="138">
        <f t="shared" ca="1" si="738"/>
        <v>0</v>
      </c>
      <c r="LR139" s="138">
        <f t="shared" ca="1" si="738"/>
        <v>0</v>
      </c>
      <c r="LS139" s="138">
        <f t="shared" ca="1" si="738"/>
        <v>0</v>
      </c>
      <c r="LT139" s="138">
        <f t="shared" ca="1" si="738"/>
        <v>0</v>
      </c>
      <c r="LU139" s="138">
        <f t="shared" ca="1" si="738"/>
        <v>0</v>
      </c>
      <c r="LV139" s="138">
        <f t="shared" ca="1" si="738"/>
        <v>0</v>
      </c>
      <c r="LW139" s="138">
        <f t="shared" ca="1" si="738"/>
        <v>0</v>
      </c>
      <c r="LX139" s="138">
        <f t="shared" ca="1" si="738"/>
        <v>0</v>
      </c>
      <c r="LY139" s="138">
        <f t="shared" ca="1" si="738"/>
        <v>0</v>
      </c>
      <c r="LZ139" s="138">
        <f t="shared" ca="1" si="738"/>
        <v>0</v>
      </c>
      <c r="MA139" s="138">
        <f t="shared" ca="1" si="738"/>
        <v>0</v>
      </c>
      <c r="MB139" s="138">
        <f t="shared" ca="1" si="738"/>
        <v>0</v>
      </c>
      <c r="MC139" s="138">
        <f t="shared" ca="1" si="738"/>
        <v>0</v>
      </c>
      <c r="MD139" s="138">
        <f t="shared" ca="1" si="738"/>
        <v>0</v>
      </c>
      <c r="ME139" s="138">
        <f t="shared" ca="1" si="738"/>
        <v>0</v>
      </c>
      <c r="MF139" s="138">
        <f t="shared" ca="1" si="738"/>
        <v>0</v>
      </c>
      <c r="MG139" s="138">
        <f t="shared" ca="1" si="738"/>
        <v>0</v>
      </c>
      <c r="MH139" s="138">
        <f t="shared" ca="1" si="738"/>
        <v>0</v>
      </c>
      <c r="MI139" s="138">
        <f t="shared" ca="1" si="738"/>
        <v>0</v>
      </c>
      <c r="MJ139" s="138">
        <f t="shared" ca="1" si="738"/>
        <v>0</v>
      </c>
      <c r="MK139" s="138">
        <f t="shared" ca="1" si="738"/>
        <v>0</v>
      </c>
      <c r="ML139" s="138">
        <f t="shared" ca="1" si="738"/>
        <v>0</v>
      </c>
      <c r="MM139" s="138">
        <f t="shared" ca="1" si="738"/>
        <v>0</v>
      </c>
      <c r="MN139" s="138">
        <f t="shared" ca="1" si="738"/>
        <v>0</v>
      </c>
      <c r="MO139" s="138">
        <f t="shared" ca="1" si="738"/>
        <v>0</v>
      </c>
      <c r="MP139" s="138">
        <f t="shared" ca="1" si="738"/>
        <v>0</v>
      </c>
      <c r="MQ139" s="138">
        <f t="shared" ca="1" si="738"/>
        <v>0</v>
      </c>
      <c r="MR139" s="138">
        <f t="shared" ca="1" si="738"/>
        <v>0</v>
      </c>
      <c r="MS139" s="138">
        <f t="shared" ca="1" si="738"/>
        <v>0</v>
      </c>
      <c r="MT139" s="138">
        <f t="shared" ca="1" si="738"/>
        <v>0</v>
      </c>
      <c r="MU139" s="138">
        <f t="shared" ca="1" si="738"/>
        <v>0</v>
      </c>
      <c r="MV139" s="138">
        <f t="shared" ca="1" si="738"/>
        <v>0</v>
      </c>
      <c r="MW139" s="138">
        <f t="shared" ca="1" si="738"/>
        <v>0</v>
      </c>
      <c r="MX139" s="138">
        <f t="shared" ca="1" si="738"/>
        <v>0</v>
      </c>
      <c r="MY139" s="138">
        <f t="shared" ca="1" si="738"/>
        <v>0</v>
      </c>
      <c r="MZ139" s="138">
        <f t="shared" ca="1" si="738"/>
        <v>0</v>
      </c>
      <c r="NA139" s="138">
        <f t="shared" ca="1" si="738"/>
        <v>0</v>
      </c>
      <c r="NB139" s="138">
        <f t="shared" ca="1" si="738"/>
        <v>0</v>
      </c>
      <c r="NC139" s="138">
        <f t="shared" ca="1" si="738"/>
        <v>0</v>
      </c>
      <c r="ND139" s="138">
        <f t="shared" ca="1" si="738"/>
        <v>0</v>
      </c>
      <c r="NE139" s="138">
        <f t="shared" ca="1" si="738"/>
        <v>0</v>
      </c>
      <c r="NF139" s="138">
        <f t="shared" ca="1" si="738"/>
        <v>0</v>
      </c>
      <c r="NG139" s="138">
        <f t="shared" ca="1" si="738"/>
        <v>0</v>
      </c>
      <c r="NH139" s="138">
        <f t="shared" ca="1" si="738"/>
        <v>0</v>
      </c>
      <c r="NI139" s="138">
        <f t="shared" ca="1" si="738"/>
        <v>0</v>
      </c>
      <c r="NJ139" s="138">
        <f t="shared" ca="1" si="738"/>
        <v>0</v>
      </c>
      <c r="NK139" s="138">
        <f t="shared" ca="1" si="738"/>
        <v>0</v>
      </c>
      <c r="NL139" s="138">
        <f t="shared" ca="1" si="738"/>
        <v>0</v>
      </c>
      <c r="NM139" s="138">
        <f t="shared" ca="1" si="738"/>
        <v>0</v>
      </c>
      <c r="NN139" s="138">
        <f t="shared" ca="1" si="738"/>
        <v>0</v>
      </c>
      <c r="NO139" s="138">
        <f t="shared" ca="1" si="738"/>
        <v>0</v>
      </c>
      <c r="NP139" s="138">
        <f t="shared" ca="1" si="738"/>
        <v>0</v>
      </c>
      <c r="NQ139" s="138">
        <f t="shared" ca="1" si="738"/>
        <v>0</v>
      </c>
      <c r="NR139" s="138">
        <f t="shared" ca="1" si="738"/>
        <v>0</v>
      </c>
      <c r="NS139" s="138">
        <f t="shared" ca="1" si="738"/>
        <v>0</v>
      </c>
      <c r="NT139" s="138">
        <f t="shared" ca="1" si="738"/>
        <v>0</v>
      </c>
      <c r="NU139" s="138">
        <f t="shared" ca="1" si="738"/>
        <v>0</v>
      </c>
      <c r="NV139" s="138">
        <f t="shared" ca="1" si="738"/>
        <v>0</v>
      </c>
      <c r="NW139" s="138">
        <f t="shared" ca="1" si="738"/>
        <v>0</v>
      </c>
      <c r="NX139" s="138">
        <f t="shared" ca="1" si="738"/>
        <v>0</v>
      </c>
      <c r="NY139" s="138">
        <f t="shared" ca="1" si="738"/>
        <v>0</v>
      </c>
      <c r="NZ139" s="138">
        <f t="shared" ref="NZ139:QK139" ca="1" si="739">NZ115</f>
        <v>0</v>
      </c>
      <c r="OA139" s="138">
        <f t="shared" ca="1" si="739"/>
        <v>0</v>
      </c>
      <c r="OB139" s="138">
        <f t="shared" ca="1" si="739"/>
        <v>0</v>
      </c>
      <c r="OC139" s="138">
        <f t="shared" ca="1" si="739"/>
        <v>0</v>
      </c>
      <c r="OD139" s="138">
        <f t="shared" ca="1" si="739"/>
        <v>0</v>
      </c>
      <c r="OE139" s="138">
        <f t="shared" ca="1" si="739"/>
        <v>0</v>
      </c>
      <c r="OF139" s="138">
        <f t="shared" ca="1" si="739"/>
        <v>0</v>
      </c>
      <c r="OG139" s="138">
        <f t="shared" ca="1" si="739"/>
        <v>0</v>
      </c>
      <c r="OH139" s="138">
        <f t="shared" ca="1" si="739"/>
        <v>0</v>
      </c>
      <c r="OI139" s="138">
        <f t="shared" ca="1" si="739"/>
        <v>0</v>
      </c>
      <c r="OJ139" s="138">
        <f t="shared" ca="1" si="739"/>
        <v>0</v>
      </c>
      <c r="OK139" s="138">
        <f t="shared" ca="1" si="739"/>
        <v>0</v>
      </c>
      <c r="OL139" s="138">
        <f t="shared" ca="1" si="739"/>
        <v>0</v>
      </c>
      <c r="OM139" s="138">
        <f t="shared" ca="1" si="739"/>
        <v>0</v>
      </c>
      <c r="ON139" s="138">
        <f t="shared" ca="1" si="739"/>
        <v>0</v>
      </c>
      <c r="OO139" s="138">
        <f t="shared" ca="1" si="739"/>
        <v>0</v>
      </c>
      <c r="OP139" s="138">
        <f t="shared" ca="1" si="739"/>
        <v>0</v>
      </c>
      <c r="OQ139" s="138">
        <f t="shared" ca="1" si="739"/>
        <v>0</v>
      </c>
      <c r="OR139" s="138">
        <f t="shared" ca="1" si="739"/>
        <v>0</v>
      </c>
      <c r="OS139" s="138">
        <f t="shared" ca="1" si="739"/>
        <v>0</v>
      </c>
      <c r="OT139" s="138">
        <f t="shared" ca="1" si="739"/>
        <v>0</v>
      </c>
      <c r="OU139" s="138">
        <f t="shared" ca="1" si="739"/>
        <v>0</v>
      </c>
      <c r="OV139" s="138">
        <f t="shared" ca="1" si="739"/>
        <v>0</v>
      </c>
      <c r="OW139" s="138">
        <f t="shared" ca="1" si="739"/>
        <v>0</v>
      </c>
      <c r="OX139" s="138">
        <f t="shared" ca="1" si="739"/>
        <v>0</v>
      </c>
      <c r="OY139" s="138">
        <f t="shared" ca="1" si="739"/>
        <v>0</v>
      </c>
      <c r="OZ139" s="138">
        <f t="shared" ca="1" si="739"/>
        <v>0</v>
      </c>
      <c r="PA139" s="138">
        <f t="shared" ca="1" si="739"/>
        <v>0</v>
      </c>
      <c r="PB139" s="138">
        <f t="shared" ca="1" si="739"/>
        <v>0</v>
      </c>
      <c r="PC139" s="138">
        <f t="shared" ca="1" si="739"/>
        <v>0</v>
      </c>
      <c r="PD139" s="138">
        <f t="shared" ca="1" si="739"/>
        <v>0</v>
      </c>
      <c r="PE139" s="138">
        <f t="shared" ca="1" si="739"/>
        <v>0</v>
      </c>
      <c r="PF139" s="138">
        <f t="shared" ca="1" si="739"/>
        <v>0</v>
      </c>
      <c r="PG139" s="138">
        <f t="shared" ca="1" si="739"/>
        <v>0</v>
      </c>
      <c r="PH139" s="138">
        <f t="shared" ca="1" si="739"/>
        <v>0</v>
      </c>
      <c r="PI139" s="138">
        <f t="shared" ca="1" si="739"/>
        <v>0</v>
      </c>
      <c r="PJ139" s="138">
        <f t="shared" ca="1" si="739"/>
        <v>0</v>
      </c>
      <c r="PK139" s="138">
        <f t="shared" ca="1" si="739"/>
        <v>0</v>
      </c>
      <c r="PL139" s="138">
        <f t="shared" ca="1" si="739"/>
        <v>0</v>
      </c>
      <c r="PM139" s="138">
        <f t="shared" ca="1" si="739"/>
        <v>0</v>
      </c>
      <c r="PN139" s="138">
        <f t="shared" ca="1" si="739"/>
        <v>0</v>
      </c>
      <c r="PO139" s="138">
        <f t="shared" ca="1" si="739"/>
        <v>0</v>
      </c>
      <c r="PP139" s="138">
        <f t="shared" ca="1" si="739"/>
        <v>0</v>
      </c>
      <c r="PQ139" s="138">
        <f t="shared" ca="1" si="739"/>
        <v>0</v>
      </c>
      <c r="PR139" s="138">
        <f t="shared" ca="1" si="739"/>
        <v>0</v>
      </c>
      <c r="PS139" s="138">
        <f t="shared" ca="1" si="739"/>
        <v>0</v>
      </c>
      <c r="PT139" s="138">
        <f t="shared" ca="1" si="739"/>
        <v>0</v>
      </c>
      <c r="PU139" s="138">
        <f t="shared" ca="1" si="739"/>
        <v>0</v>
      </c>
      <c r="PV139" s="138">
        <f t="shared" ca="1" si="739"/>
        <v>0</v>
      </c>
      <c r="PW139" s="138">
        <f t="shared" ca="1" si="739"/>
        <v>0</v>
      </c>
      <c r="PX139" s="138">
        <f t="shared" ca="1" si="739"/>
        <v>0</v>
      </c>
      <c r="PY139" s="138">
        <f t="shared" ca="1" si="739"/>
        <v>0</v>
      </c>
      <c r="PZ139" s="138">
        <f t="shared" ca="1" si="739"/>
        <v>0</v>
      </c>
      <c r="QA139" s="138">
        <f t="shared" ca="1" si="739"/>
        <v>0</v>
      </c>
      <c r="QB139" s="138">
        <f t="shared" ca="1" si="739"/>
        <v>0</v>
      </c>
      <c r="QC139" s="138">
        <f t="shared" ca="1" si="739"/>
        <v>0</v>
      </c>
      <c r="QD139" s="138">
        <f t="shared" ca="1" si="739"/>
        <v>0</v>
      </c>
      <c r="QE139" s="138">
        <f t="shared" ca="1" si="739"/>
        <v>0</v>
      </c>
      <c r="QF139" s="138">
        <f t="shared" ca="1" si="739"/>
        <v>0</v>
      </c>
      <c r="QG139" s="138">
        <f t="shared" ca="1" si="739"/>
        <v>0</v>
      </c>
      <c r="QH139" s="138">
        <f t="shared" ca="1" si="739"/>
        <v>0</v>
      </c>
      <c r="QI139" s="138">
        <f t="shared" ca="1" si="739"/>
        <v>0</v>
      </c>
      <c r="QJ139" s="138">
        <f t="shared" ca="1" si="739"/>
        <v>0</v>
      </c>
      <c r="QK139" s="138">
        <f t="shared" ca="1" si="739"/>
        <v>0</v>
      </c>
      <c r="QL139" s="138">
        <f t="shared" ref="QL139:RR139" ca="1" si="740">QL115</f>
        <v>0</v>
      </c>
      <c r="QM139" s="138">
        <f t="shared" ca="1" si="740"/>
        <v>0</v>
      </c>
      <c r="QN139" s="138">
        <f t="shared" ca="1" si="740"/>
        <v>0</v>
      </c>
      <c r="QO139" s="138">
        <f t="shared" ca="1" si="740"/>
        <v>0</v>
      </c>
      <c r="QP139" s="138">
        <f t="shared" ca="1" si="740"/>
        <v>0</v>
      </c>
      <c r="QQ139" s="138">
        <f t="shared" ca="1" si="740"/>
        <v>0</v>
      </c>
      <c r="QR139" s="138">
        <f t="shared" ca="1" si="740"/>
        <v>0</v>
      </c>
      <c r="QS139" s="138">
        <f t="shared" ca="1" si="740"/>
        <v>0</v>
      </c>
      <c r="QT139" s="138">
        <f t="shared" ca="1" si="740"/>
        <v>0</v>
      </c>
      <c r="QU139" s="138">
        <f t="shared" ca="1" si="740"/>
        <v>0</v>
      </c>
      <c r="QV139" s="138">
        <f t="shared" ca="1" si="740"/>
        <v>0</v>
      </c>
      <c r="QW139" s="138">
        <f t="shared" ca="1" si="740"/>
        <v>0</v>
      </c>
      <c r="QX139" s="138">
        <f t="shared" ca="1" si="740"/>
        <v>0</v>
      </c>
      <c r="QY139" s="138">
        <f t="shared" ca="1" si="740"/>
        <v>0</v>
      </c>
      <c r="QZ139" s="138">
        <f t="shared" ca="1" si="740"/>
        <v>0</v>
      </c>
      <c r="RA139" s="138">
        <f t="shared" ca="1" si="740"/>
        <v>0</v>
      </c>
      <c r="RB139" s="138">
        <f t="shared" ca="1" si="740"/>
        <v>0</v>
      </c>
      <c r="RC139" s="138">
        <f t="shared" ca="1" si="740"/>
        <v>0</v>
      </c>
      <c r="RD139" s="138">
        <f t="shared" ca="1" si="740"/>
        <v>0</v>
      </c>
      <c r="RE139" s="138">
        <f t="shared" ca="1" si="740"/>
        <v>0</v>
      </c>
      <c r="RF139" s="138">
        <f t="shared" ca="1" si="740"/>
        <v>0</v>
      </c>
      <c r="RG139" s="138">
        <f t="shared" ca="1" si="740"/>
        <v>0</v>
      </c>
      <c r="RH139" s="138">
        <f t="shared" ca="1" si="740"/>
        <v>0</v>
      </c>
      <c r="RI139" s="138">
        <f t="shared" ca="1" si="740"/>
        <v>0</v>
      </c>
      <c r="RJ139" s="138">
        <f t="shared" ca="1" si="740"/>
        <v>0</v>
      </c>
      <c r="RK139" s="138">
        <f t="shared" ca="1" si="740"/>
        <v>0</v>
      </c>
      <c r="RL139" s="138">
        <f t="shared" ca="1" si="740"/>
        <v>0</v>
      </c>
      <c r="RM139" s="138">
        <f t="shared" ca="1" si="740"/>
        <v>0</v>
      </c>
      <c r="RN139" s="138">
        <f t="shared" ca="1" si="740"/>
        <v>0</v>
      </c>
      <c r="RO139" s="138">
        <f t="shared" ca="1" si="740"/>
        <v>0</v>
      </c>
      <c r="RP139" s="138">
        <f t="shared" ca="1" si="740"/>
        <v>0</v>
      </c>
      <c r="RQ139" s="138">
        <f t="shared" ca="1" si="740"/>
        <v>0</v>
      </c>
      <c r="RR139" s="138">
        <f t="shared" ca="1" si="740"/>
        <v>0</v>
      </c>
    </row>
    <row r="140" spans="1:486" s="9" customFormat="1" ht="43.2">
      <c r="A140" s="137"/>
      <c r="C140" s="132" t="s">
        <v>271</v>
      </c>
      <c r="D140" s="9" t="s">
        <v>257</v>
      </c>
      <c r="E140" s="138">
        <f>E118</f>
        <v>88996133.220760718</v>
      </c>
      <c r="F140" s="138">
        <f t="shared" ref="F140:BQ140" ca="1" si="741">F118</f>
        <v>89284480.804968819</v>
      </c>
      <c r="G140" s="138">
        <f t="shared" ca="1" si="741"/>
        <v>89573762.635714501</v>
      </c>
      <c r="H140" s="138">
        <f t="shared" ca="1" si="741"/>
        <v>89863981.73995772</v>
      </c>
      <c r="I140" s="138">
        <f t="shared" ca="1" si="741"/>
        <v>90155141.15446578</v>
      </c>
      <c r="J140" s="138">
        <f t="shared" ca="1" si="741"/>
        <v>90447243.925845146</v>
      </c>
      <c r="K140" s="138">
        <f t="shared" ca="1" si="741"/>
        <v>90740293.110573247</v>
      </c>
      <c r="L140" s="138">
        <f t="shared" ca="1" si="741"/>
        <v>91034291.775030568</v>
      </c>
      <c r="M140" s="138">
        <f t="shared" ca="1" si="741"/>
        <v>91329242.995532602</v>
      </c>
      <c r="N140" s="138">
        <f t="shared" ca="1" si="741"/>
        <v>91625149.858362168</v>
      </c>
      <c r="O140" s="138">
        <f t="shared" ca="1" si="741"/>
        <v>91922015.459801584</v>
      </c>
      <c r="P140" s="138">
        <f t="shared" ca="1" si="741"/>
        <v>92219842.906165168</v>
      </c>
      <c r="Q140" s="138">
        <f t="shared" ca="1" si="741"/>
        <v>92518635.313831717</v>
      </c>
      <c r="R140" s="138">
        <f t="shared" ca="1" si="741"/>
        <v>92818395.809277043</v>
      </c>
      <c r="S140" s="138">
        <f t="shared" ca="1" si="741"/>
        <v>93119127.529106781</v>
      </c>
      <c r="T140" s="138">
        <f t="shared" ca="1" si="741"/>
        <v>93420833.620089188</v>
      </c>
      <c r="U140" s="138">
        <f t="shared" ca="1" si="741"/>
        <v>93723517.239187986</v>
      </c>
      <c r="V140" s="138">
        <f t="shared" ca="1" si="741"/>
        <v>94027181.553595543</v>
      </c>
      <c r="W140" s="138">
        <f t="shared" ca="1" si="741"/>
        <v>94331829.740765885</v>
      </c>
      <c r="X140" s="138">
        <f t="shared" ca="1" si="741"/>
        <v>94637464.988448039</v>
      </c>
      <c r="Y140" s="138">
        <f t="shared" ca="1" si="741"/>
        <v>94944090.494719267</v>
      </c>
      <c r="Z140" s="138">
        <f t="shared" ca="1" si="741"/>
        <v>95251709.468018681</v>
      </c>
      <c r="AA140" s="138">
        <f t="shared" ca="1" si="741"/>
        <v>95560325.127180696</v>
      </c>
      <c r="AB140" s="138">
        <f t="shared" ca="1" si="741"/>
        <v>95869940.701468766</v>
      </c>
      <c r="AC140" s="138">
        <f t="shared" ca="1" si="741"/>
        <v>96180559.430609167</v>
      </c>
      <c r="AD140" s="138">
        <f t="shared" ca="1" si="741"/>
        <v>96492184.564824894</v>
      </c>
      <c r="AE140" s="138">
        <f t="shared" ca="1" si="741"/>
        <v>96804819.364869669</v>
      </c>
      <c r="AF140" s="138">
        <f t="shared" ca="1" si="741"/>
        <v>97118467.102062032</v>
      </c>
      <c r="AG140" s="138">
        <f t="shared" ca="1" si="741"/>
        <v>97433131.058319643</v>
      </c>
      <c r="AH140" s="138">
        <f t="shared" ca="1" si="741"/>
        <v>97748814.526193544</v>
      </c>
      <c r="AI140" s="138">
        <f t="shared" ca="1" si="741"/>
        <v>98065520.808902681</v>
      </c>
      <c r="AJ140" s="138">
        <f t="shared" ca="1" si="741"/>
        <v>98383253.2203684</v>
      </c>
      <c r="AK140" s="138">
        <f t="shared" ca="1" si="741"/>
        <v>98702015.085249171</v>
      </c>
      <c r="AL140" s="138">
        <f t="shared" ca="1" si="741"/>
        <v>99021809.738975361</v>
      </c>
      <c r="AM140" s="138">
        <f t="shared" ca="1" si="741"/>
        <v>99342640.527784154</v>
      </c>
      <c r="AN140" s="138">
        <f t="shared" ca="1" si="741"/>
        <v>99664510.808754489</v>
      </c>
      <c r="AO140" s="138">
        <f t="shared" ca="1" si="741"/>
        <v>99987423.949842319</v>
      </c>
      <c r="AP140" s="138">
        <f t="shared" ca="1" si="741"/>
        <v>100311383.32991572</v>
      </c>
      <c r="AQ140" s="138">
        <f t="shared" ca="1" si="741"/>
        <v>100636392.33879036</v>
      </c>
      <c r="AR140" s="138">
        <f t="shared" ca="1" si="741"/>
        <v>100962454.37726484</v>
      </c>
      <c r="AS140" s="138">
        <f t="shared" ca="1" si="741"/>
        <v>101289572.85715644</v>
      </c>
      <c r="AT140" s="138">
        <f t="shared" ca="1" si="741"/>
        <v>101617751.20133665</v>
      </c>
      <c r="AU140" s="138">
        <f t="shared" ca="1" si="741"/>
        <v>101946992.84376715</v>
      </c>
      <c r="AV140" s="138">
        <f t="shared" ca="1" si="741"/>
        <v>102277301.22953558</v>
      </c>
      <c r="AW140" s="138">
        <f t="shared" ca="1" si="741"/>
        <v>102608679.8148917</v>
      </c>
      <c r="AX140" s="138">
        <f t="shared" ca="1" si="741"/>
        <v>102941132.06728354</v>
      </c>
      <c r="AY140" s="138">
        <f t="shared" ca="1" si="741"/>
        <v>103274661.46539366</v>
      </c>
      <c r="AZ140" s="138">
        <f t="shared" ca="1" si="741"/>
        <v>103609271.49917555</v>
      </c>
      <c r="BA140" s="138">
        <f t="shared" ca="1" si="741"/>
        <v>103944965.66989015</v>
      </c>
      <c r="BB140" s="138">
        <f t="shared" ca="1" si="741"/>
        <v>104281747.49014249</v>
      </c>
      <c r="BC140" s="138">
        <f t="shared" ca="1" si="741"/>
        <v>104619620.48391844</v>
      </c>
      <c r="BD140" s="138">
        <f t="shared" ca="1" si="741"/>
        <v>104958588.18662162</v>
      </c>
      <c r="BE140" s="138">
        <f t="shared" ca="1" si="741"/>
        <v>105298654.14511029</v>
      </c>
      <c r="BF140" s="138">
        <f t="shared" ca="1" si="741"/>
        <v>105639821.91773465</v>
      </c>
      <c r="BG140" s="138">
        <f t="shared" ca="1" si="741"/>
        <v>105982095.07437386</v>
      </c>
      <c r="BH140" s="138">
        <f t="shared" ca="1" si="741"/>
        <v>106325477.19647352</v>
      </c>
      <c r="BI140" s="138">
        <f t="shared" ca="1" si="741"/>
        <v>106669971.87708315</v>
      </c>
      <c r="BJ140" s="138">
        <f t="shared" ca="1" si="741"/>
        <v>107015582.7208937</v>
      </c>
      <c r="BK140" s="138">
        <f t="shared" ca="1" si="741"/>
        <v>107362313.34427537</v>
      </c>
      <c r="BL140" s="138">
        <f t="shared" ca="1" si="741"/>
        <v>107710167.37531537</v>
      </c>
      <c r="BM140" s="138">
        <f t="shared" ca="1" si="741"/>
        <v>38527757.092356443</v>
      </c>
      <c r="BN140" s="138">
        <f t="shared" ca="1" si="741"/>
        <v>38620997.508488208</v>
      </c>
      <c r="BO140" s="138">
        <f t="shared" ca="1" si="741"/>
        <v>38714540.032435223</v>
      </c>
      <c r="BP140" s="138">
        <f t="shared" ca="1" si="741"/>
        <v>38808385.643055566</v>
      </c>
      <c r="BQ140" s="138">
        <f t="shared" ca="1" si="741"/>
        <v>38902535.322378859</v>
      </c>
      <c r="BR140" s="138">
        <f t="shared" ref="BR140:EC140" ca="1" si="742">BR118</f>
        <v>38996990.055616617</v>
      </c>
      <c r="BS140" s="138">
        <f t="shared" ca="1" si="742"/>
        <v>39091750.831172541</v>
      </c>
      <c r="BT140" s="138">
        <f t="shared" ca="1" si="742"/>
        <v>39186818.640652843</v>
      </c>
      <c r="BU140" s="138">
        <f t="shared" ca="1" si="742"/>
        <v>39282194.478876643</v>
      </c>
      <c r="BV140" s="138">
        <f t="shared" ca="1" si="742"/>
        <v>39377879.343886361</v>
      </c>
      <c r="BW140" s="138">
        <f t="shared" ca="1" si="742"/>
        <v>39473874.236958161</v>
      </c>
      <c r="BX140" s="138">
        <f t="shared" ca="1" si="742"/>
        <v>39570180.162612461</v>
      </c>
      <c r="BY140" s="138">
        <f t="shared" ca="1" si="742"/>
        <v>39666798.128624402</v>
      </c>
      <c r="BZ140" s="138">
        <f t="shared" ca="1" si="742"/>
        <v>39763729.14603442</v>
      </c>
      <c r="CA140" s="138">
        <f t="shared" ca="1" si="742"/>
        <v>39860974.229158804</v>
      </c>
      <c r="CB140" s="138">
        <f t="shared" ca="1" si="742"/>
        <v>39958534.395600356</v>
      </c>
      <c r="CC140" s="138">
        <f t="shared" ca="1" si="742"/>
        <v>40056410.666258976</v>
      </c>
      <c r="CD140" s="138">
        <f t="shared" ca="1" si="742"/>
        <v>40154604.065342374</v>
      </c>
      <c r="CE140" s="138">
        <f t="shared" ca="1" si="742"/>
        <v>40253115.620376833</v>
      </c>
      <c r="CF140" s="138">
        <f t="shared" ca="1" si="742"/>
        <v>40351946.362217873</v>
      </c>
      <c r="CG140" s="138">
        <f t="shared" ca="1" si="742"/>
        <v>40451097.325061105</v>
      </c>
      <c r="CH140" s="138">
        <f t="shared" ca="1" si="742"/>
        <v>40550569.546453036</v>
      </c>
      <c r="CI140" s="138">
        <f t="shared" ca="1" si="742"/>
        <v>40650364.067301907</v>
      </c>
      <c r="CJ140" s="138">
        <f t="shared" ca="1" si="742"/>
        <v>40750481.93188861</v>
      </c>
      <c r="CK140" s="138">
        <f t="shared" ca="1" si="742"/>
        <v>40850924.18787761</v>
      </c>
      <c r="CL140" s="138">
        <f t="shared" ca="1" si="742"/>
        <v>40951691.886327893</v>
      </c>
      <c r="CM140" s="138">
        <f t="shared" ca="1" si="742"/>
        <v>41052786.081703991</v>
      </c>
      <c r="CN140" s="138">
        <f t="shared" ca="1" si="742"/>
        <v>41154207.831886984</v>
      </c>
      <c r="CO140" s="138">
        <f t="shared" ca="1" si="742"/>
        <v>41255958.1981856</v>
      </c>
      <c r="CP140" s="138">
        <f t="shared" ca="1" si="742"/>
        <v>41358038.245347314</v>
      </c>
      <c r="CQ140" s="138">
        <f t="shared" ca="1" si="742"/>
        <v>41460449.041569456</v>
      </c>
      <c r="CR140" s="138">
        <f t="shared" ca="1" si="742"/>
        <v>41563191.658510454</v>
      </c>
      <c r="CS140" s="138">
        <f t="shared" ca="1" si="742"/>
        <v>41666267.171300985</v>
      </c>
      <c r="CT140" s="138">
        <f t="shared" ca="1" si="742"/>
        <v>41769676.658555262</v>
      </c>
      <c r="CU140" s="138">
        <f t="shared" ca="1" si="742"/>
        <v>41873421.202382304</v>
      </c>
      <c r="CV140" s="138">
        <f t="shared" ca="1" si="742"/>
        <v>41977501.888397262</v>
      </c>
      <c r="CW140" s="138">
        <f t="shared" ca="1" si="742"/>
        <v>42081919.805732816</v>
      </c>
      <c r="CX140" s="138">
        <f t="shared" ca="1" si="742"/>
        <v>42186676.047050491</v>
      </c>
      <c r="CY140" s="138">
        <f t="shared" ca="1" si="742"/>
        <v>42291771.708552182</v>
      </c>
      <c r="CZ140" s="138">
        <f t="shared" ca="1" si="742"/>
        <v>42397207.889991552</v>
      </c>
      <c r="DA140" s="138">
        <f t="shared" ca="1" si="742"/>
        <v>42502985.694685586</v>
      </c>
      <c r="DB140" s="138">
        <f t="shared" ca="1" si="742"/>
        <v>42609106.229526117</v>
      </c>
      <c r="DC140" s="138">
        <f t="shared" ca="1" si="742"/>
        <v>42715570.604991414</v>
      </c>
      <c r="DD140" s="138">
        <f t="shared" ca="1" si="742"/>
        <v>42822379.935157798</v>
      </c>
      <c r="DE140" s="138">
        <f t="shared" ca="1" si="742"/>
        <v>42929535.337711312</v>
      </c>
      <c r="DF140" s="138">
        <f t="shared" ca="1" si="742"/>
        <v>43037037.933959395</v>
      </c>
      <c r="DG140" s="138">
        <f t="shared" ca="1" si="742"/>
        <v>43144888.848842628</v>
      </c>
      <c r="DH140" s="138">
        <f t="shared" ca="1" si="742"/>
        <v>43253089.21094653</v>
      </c>
      <c r="DI140" s="138">
        <f t="shared" ca="1" si="742"/>
        <v>43361640.152513325</v>
      </c>
      <c r="DJ140" s="138">
        <f t="shared" ca="1" si="742"/>
        <v>43470542.809453793</v>
      </c>
      <c r="DK140" s="138">
        <f t="shared" ca="1" si="742"/>
        <v>43579798.321359217</v>
      </c>
      <c r="DL140" s="138">
        <f t="shared" ca="1" si="742"/>
        <v>43689407.831513226</v>
      </c>
      <c r="DM140" s="138">
        <f t="shared" ca="1" si="742"/>
        <v>43799372.486903816</v>
      </c>
      <c r="DN140" s="138">
        <f t="shared" ca="1" si="742"/>
        <v>43909693.438235328</v>
      </c>
      <c r="DO140" s="138">
        <f t="shared" ca="1" si="742"/>
        <v>44020371.839940496</v>
      </c>
      <c r="DP140" s="138">
        <f t="shared" ca="1" si="742"/>
        <v>44131408.850192524</v>
      </c>
      <c r="DQ140" s="138">
        <f t="shared" ca="1" si="742"/>
        <v>44242805.630917192</v>
      </c>
      <c r="DR140" s="138">
        <f t="shared" ca="1" si="742"/>
        <v>44354563.347805068</v>
      </c>
      <c r="DS140" s="138">
        <f t="shared" ca="1" si="742"/>
        <v>44466683.170323625</v>
      </c>
      <c r="DT140" s="138">
        <f t="shared" ca="1" si="742"/>
        <v>44579166.271729551</v>
      </c>
      <c r="DU140" s="138">
        <f t="shared" ca="1" si="742"/>
        <v>44692013.829080999</v>
      </c>
      <c r="DV140" s="138">
        <f t="shared" ca="1" si="742"/>
        <v>44805227.023249879</v>
      </c>
      <c r="DW140" s="138">
        <f t="shared" ca="1" si="742"/>
        <v>44918807.038934246</v>
      </c>
      <c r="DX140" s="138">
        <f t="shared" ca="1" si="742"/>
        <v>45032755.064670704</v>
      </c>
      <c r="DY140" s="138">
        <f t="shared" ca="1" si="742"/>
        <v>45147072.292846821</v>
      </c>
      <c r="DZ140" s="138">
        <f t="shared" ca="1" si="742"/>
        <v>45261759.919713609</v>
      </c>
      <c r="EA140" s="138">
        <f t="shared" ca="1" si="742"/>
        <v>45376819.145398051</v>
      </c>
      <c r="EB140" s="138">
        <f t="shared" ca="1" si="742"/>
        <v>45492251.173915662</v>
      </c>
      <c r="EC140" s="138">
        <f t="shared" ca="1" si="742"/>
        <v>45608057.21318306</v>
      </c>
      <c r="ED140" s="138">
        <f t="shared" ref="ED140:GO140" ca="1" si="743">ED118</f>
        <v>45724238.475030661</v>
      </c>
      <c r="EE140" s="138">
        <f t="shared" ca="1" si="743"/>
        <v>45840796.175215289</v>
      </c>
      <c r="EF140" s="138">
        <f t="shared" ca="1" si="743"/>
        <v>45957731.533432961</v>
      </c>
      <c r="EG140" s="138">
        <f t="shared" ca="1" si="743"/>
        <v>46075045.773331627</v>
      </c>
      <c r="EH140" s="138">
        <f t="shared" ca="1" si="743"/>
        <v>46192740.122523956</v>
      </c>
      <c r="EI140" s="138">
        <f t="shared" ca="1" si="743"/>
        <v>46310815.81260021</v>
      </c>
      <c r="EJ140" s="138">
        <f t="shared" ca="1" si="743"/>
        <v>46429274.079141125</v>
      </c>
      <c r="EK140" s="138">
        <f t="shared" ca="1" si="743"/>
        <v>46548116.161730818</v>
      </c>
      <c r="EL140" s="138">
        <f t="shared" ca="1" si="743"/>
        <v>46667343.303969786</v>
      </c>
      <c r="EM140" s="138">
        <f t="shared" ca="1" si="743"/>
        <v>46786956.75348793</v>
      </c>
      <c r="EN140" s="138">
        <f t="shared" ca="1" si="743"/>
        <v>46906957.761957556</v>
      </c>
      <c r="EO140" s="138">
        <f t="shared" ca="1" si="743"/>
        <v>47027347.585106537</v>
      </c>
      <c r="EP140" s="138">
        <f t="shared" ca="1" si="743"/>
        <v>47148127.482731394</v>
      </c>
      <c r="EQ140" s="138">
        <f t="shared" ca="1" si="743"/>
        <v>47269298.718710534</v>
      </c>
      <c r="ER140" s="138">
        <f t="shared" ca="1" si="743"/>
        <v>47390862.561017431</v>
      </c>
      <c r="ES140" s="138">
        <f t="shared" ca="1" si="743"/>
        <v>47512820.281733938</v>
      </c>
      <c r="ET140" s="138">
        <f t="shared" ca="1" si="743"/>
        <v>47635173.157063551</v>
      </c>
      <c r="EU140" s="138">
        <f t="shared" ca="1" si="743"/>
        <v>47757922.467344798</v>
      </c>
      <c r="EV140" s="138">
        <f t="shared" ca="1" si="743"/>
        <v>47881069.49706462</v>
      </c>
      <c r="EW140" s="138">
        <f t="shared" ca="1" si="743"/>
        <v>48004615.534871832</v>
      </c>
      <c r="EX140" s="138">
        <f t="shared" ca="1" si="743"/>
        <v>48128561.873590559</v>
      </c>
      <c r="EY140" s="138">
        <f t="shared" ca="1" si="743"/>
        <v>48252909.810233846</v>
      </c>
      <c r="EZ140" s="138">
        <f t="shared" ca="1" si="743"/>
        <v>48377660.646017157</v>
      </c>
      <c r="FA140" s="138">
        <f t="shared" ca="1" si="743"/>
        <v>48502815.686372012</v>
      </c>
      <c r="FB140" s="138">
        <f t="shared" ca="1" si="743"/>
        <v>48628376.240959674</v>
      </c>
      <c r="FC140" s="138">
        <f t="shared" ca="1" si="743"/>
        <v>48754343.623684801</v>
      </c>
      <c r="FD140" s="138">
        <f t="shared" ca="1" si="743"/>
        <v>48880719.152709261</v>
      </c>
      <c r="FE140" s="138">
        <f t="shared" ca="1" si="743"/>
        <v>49007504.150465883</v>
      </c>
      <c r="FF140" s="138">
        <f t="shared" ca="1" si="743"/>
        <v>49134699.943672292</v>
      </c>
      <c r="FG140" s="138">
        <f t="shared" ca="1" si="743"/>
        <v>49262307.863344811</v>
      </c>
      <c r="FH140" s="138">
        <f t="shared" ca="1" si="743"/>
        <v>49390329.244812392</v>
      </c>
      <c r="FI140" s="138">
        <f t="shared" ca="1" si="743"/>
        <v>49518765.42773056</v>
      </c>
      <c r="FJ140" s="138">
        <f t="shared" ca="1" si="743"/>
        <v>49647617.756095469</v>
      </c>
      <c r="FK140" s="138">
        <f t="shared" ca="1" si="743"/>
        <v>49776887.578257941</v>
      </c>
      <c r="FL140" s="138">
        <f t="shared" ca="1" si="743"/>
        <v>49906576.246937573</v>
      </c>
      <c r="FM140" s="138">
        <f t="shared" ca="1" si="743"/>
        <v>50036685.119236939</v>
      </c>
      <c r="FN140" s="138">
        <f t="shared" ca="1" si="743"/>
        <v>50167215.556655705</v>
      </c>
      <c r="FO140" s="138">
        <f t="shared" ca="1" si="743"/>
        <v>50298168.925104938</v>
      </c>
      <c r="FP140" s="138">
        <f t="shared" ca="1" si="743"/>
        <v>50429546.594921432</v>
      </c>
      <c r="FQ140" s="138">
        <f t="shared" ca="1" si="743"/>
        <v>50561349.94088193</v>
      </c>
      <c r="FR140" s="138">
        <f t="shared" ca="1" si="743"/>
        <v>50693580.342217654</v>
      </c>
      <c r="FS140" s="138">
        <f t="shared" ca="1" si="743"/>
        <v>50826239.182628617</v>
      </c>
      <c r="FT140" s="138">
        <f t="shared" ca="1" si="743"/>
        <v>50959327.850298174</v>
      </c>
      <c r="FU140" s="138">
        <f t="shared" ca="1" si="743"/>
        <v>51092847.737907507</v>
      </c>
      <c r="FV140" s="138">
        <f t="shared" ca="1" si="743"/>
        <v>51226800.242650233</v>
      </c>
      <c r="FW140" s="138">
        <f t="shared" ca="1" si="743"/>
        <v>51361186.766247004</v>
      </c>
      <c r="FX140" s="138">
        <f t="shared" ca="1" si="743"/>
        <v>51496008.714960195</v>
      </c>
      <c r="FY140" s="138">
        <f t="shared" ca="1" si="743"/>
        <v>51631267.499608576</v>
      </c>
      <c r="FZ140" s="138">
        <f t="shared" ca="1" si="743"/>
        <v>51766964.53558214</v>
      </c>
      <c r="GA140" s="138">
        <f t="shared" ca="1" si="743"/>
        <v>51903101.24285683</v>
      </c>
      <c r="GB140" s="138">
        <f t="shared" ca="1" si="743"/>
        <v>52039679.046009496</v>
      </c>
      <c r="GC140" s="138">
        <f t="shared" ca="1" si="743"/>
        <v>52176699.374232724</v>
      </c>
      <c r="GD140" s="138">
        <f t="shared" ca="1" si="743"/>
        <v>52314163.661349826</v>
      </c>
      <c r="GE140" s="138">
        <f t="shared" ca="1" si="743"/>
        <v>52452073.345829844</v>
      </c>
      <c r="GF140" s="138">
        <f t="shared" ca="1" si="743"/>
        <v>52590429.870802581</v>
      </c>
      <c r="GG140" s="138">
        <f t="shared" ca="1" si="743"/>
        <v>52729234.684073724</v>
      </c>
      <c r="GH140" s="138">
        <f t="shared" ca="1" si="743"/>
        <v>52868489.238140017</v>
      </c>
      <c r="GI140" s="138">
        <f t="shared" ca="1" si="743"/>
        <v>53008194.990204379</v>
      </c>
      <c r="GJ140" s="138">
        <f t="shared" ca="1" si="743"/>
        <v>53148353.402191237</v>
      </c>
      <c r="GK140" s="138">
        <f t="shared" ca="1" si="743"/>
        <v>53288965.940761805</v>
      </c>
      <c r="GL140" s="138">
        <f t="shared" ca="1" si="743"/>
        <v>53430034.077329382</v>
      </c>
      <c r="GM140" s="138">
        <f t="shared" ca="1" si="743"/>
        <v>53571559.288074821</v>
      </c>
      <c r="GN140" s="138">
        <f t="shared" ca="1" si="743"/>
        <v>53713543.053961918</v>
      </c>
      <c r="GO140" s="138">
        <f t="shared" ca="1" si="743"/>
        <v>53855986.86075294</v>
      </c>
      <c r="GP140" s="138">
        <f t="shared" ref="GP140:JA140" ca="1" si="744">GP118</f>
        <v>53998892.199024171</v>
      </c>
      <c r="GQ140" s="138">
        <f t="shared" ca="1" si="744"/>
        <v>54142260.564181484</v>
      </c>
      <c r="GR140" s="138">
        <f t="shared" ca="1" si="744"/>
        <v>54286093.456476033</v>
      </c>
      <c r="GS140" s="138">
        <f t="shared" ca="1" si="744"/>
        <v>54430392.38101992</v>
      </c>
      <c r="GT140" s="138">
        <f t="shared" ca="1" si="744"/>
        <v>54575158.847801954</v>
      </c>
      <c r="GU140" s="138">
        <f t="shared" ca="1" si="744"/>
        <v>54720394.371703446</v>
      </c>
      <c r="GV140" s="138">
        <f t="shared" ca="1" si="744"/>
        <v>54866100.472514063</v>
      </c>
      <c r="GW140" s="138">
        <f t="shared" ca="1" si="744"/>
        <v>55012278.674947768</v>
      </c>
      <c r="GX140" s="138">
        <f t="shared" ca="1" si="744"/>
        <v>55158930.508658677</v>
      </c>
      <c r="GY140" s="138">
        <f t="shared" ca="1" si="744"/>
        <v>55306057.50825721</v>
      </c>
      <c r="GZ140" s="138">
        <f t="shared" ca="1" si="744"/>
        <v>55453661.213326</v>
      </c>
      <c r="HA140" s="138">
        <f t="shared" ca="1" si="744"/>
        <v>55601743.168436125</v>
      </c>
      <c r="HB140" s="138">
        <f t="shared" ca="1" si="744"/>
        <v>55750304.923163183</v>
      </c>
      <c r="HC140" s="138">
        <f t="shared" ca="1" si="744"/>
        <v>55899348.032103583</v>
      </c>
      <c r="HD140" s="138">
        <f t="shared" ca="1" si="744"/>
        <v>56048874.054890722</v>
      </c>
      <c r="HE140" s="138">
        <f t="shared" ca="1" si="744"/>
        <v>56198884.556211427</v>
      </c>
      <c r="HF140" s="138">
        <f t="shared" ca="1" si="744"/>
        <v>56349381.105822198</v>
      </c>
      <c r="HG140" s="138">
        <f t="shared" ca="1" si="744"/>
        <v>56500365.27856572</v>
      </c>
      <c r="HH140" s="138">
        <f t="shared" ca="1" si="744"/>
        <v>56651838.65438731</v>
      </c>
      <c r="HI140" s="138">
        <f t="shared" ca="1" si="744"/>
        <v>56803802.81835147</v>
      </c>
      <c r="HJ140" s="138">
        <f t="shared" ca="1" si="744"/>
        <v>56956259.360658467</v>
      </c>
      <c r="HK140" s="138">
        <f t="shared" ca="1" si="744"/>
        <v>57109209.876660936</v>
      </c>
      <c r="HL140" s="138">
        <f t="shared" ca="1" si="744"/>
        <v>57262655.966880634</v>
      </c>
      <c r="HM140" s="138">
        <f t="shared" ca="1" si="744"/>
        <v>57416599.237025164</v>
      </c>
      <c r="HN140" s="138">
        <f t="shared" ca="1" si="744"/>
        <v>57571041.298004761</v>
      </c>
      <c r="HO140" s="138">
        <f t="shared" ca="1" si="744"/>
        <v>57725983.765949145</v>
      </c>
      <c r="HP140" s="138">
        <f t="shared" ca="1" si="744"/>
        <v>57881428.26222451</v>
      </c>
      <c r="HQ140" s="138">
        <f t="shared" ca="1" si="744"/>
        <v>58037376.413450345</v>
      </c>
      <c r="HR140" s="138">
        <f t="shared" ca="1" si="744"/>
        <v>58193829.851516619</v>
      </c>
      <c r="HS140" s="138">
        <f t="shared" ca="1" si="744"/>
        <v>58350790.213600747</v>
      </c>
      <c r="HT140" s="138">
        <f t="shared" ca="1" si="744"/>
        <v>58508259.142184719</v>
      </c>
      <c r="HU140" s="138">
        <f t="shared" ca="1" si="744"/>
        <v>58666238.285072416</v>
      </c>
      <c r="HV140" s="138">
        <f t="shared" ca="1" si="744"/>
        <v>58824729.295406662</v>
      </c>
      <c r="HW140" s="138">
        <f t="shared" ca="1" si="744"/>
        <v>58983733.831686661</v>
      </c>
      <c r="HX140" s="138">
        <f t="shared" ca="1" si="744"/>
        <v>59143253.557785355</v>
      </c>
      <c r="HY140" s="138">
        <f t="shared" ca="1" si="744"/>
        <v>59303290.142966688</v>
      </c>
      <c r="HZ140" s="138">
        <f t="shared" ca="1" si="744"/>
        <v>59463845.261903293</v>
      </c>
      <c r="IA140" s="138">
        <f t="shared" ca="1" si="744"/>
        <v>59624920.594693817</v>
      </c>
      <c r="IB140" s="138">
        <f t="shared" ca="1" si="744"/>
        <v>59786517.826880656</v>
      </c>
      <c r="IC140" s="138">
        <f t="shared" ca="1" si="744"/>
        <v>59948638.649467446</v>
      </c>
      <c r="ID140" s="138">
        <f t="shared" ca="1" si="744"/>
        <v>60111284.758936897</v>
      </c>
      <c r="IE140" s="138">
        <f t="shared" ca="1" si="744"/>
        <v>60274457.857268468</v>
      </c>
      <c r="IF140" s="138">
        <f t="shared" ca="1" si="744"/>
        <v>60438159.651956163</v>
      </c>
      <c r="IG140" s="138">
        <f t="shared" ca="1" si="744"/>
        <v>60602391.856026486</v>
      </c>
      <c r="IH140" s="138">
        <f t="shared" ca="1" si="744"/>
        <v>60767156.18805626</v>
      </c>
      <c r="II140" s="138">
        <f t="shared" ca="1" si="744"/>
        <v>60932454.372190684</v>
      </c>
      <c r="IJ140" s="138">
        <f t="shared" ca="1" si="744"/>
        <v>61098288.138161339</v>
      </c>
      <c r="IK140" s="138">
        <f t="shared" ca="1" si="744"/>
        <v>0</v>
      </c>
      <c r="IL140" s="138">
        <f t="shared" ca="1" si="744"/>
        <v>0</v>
      </c>
      <c r="IM140" s="138">
        <f t="shared" ca="1" si="744"/>
        <v>0</v>
      </c>
      <c r="IN140" s="138">
        <f t="shared" ca="1" si="744"/>
        <v>0</v>
      </c>
      <c r="IO140" s="138">
        <f t="shared" ca="1" si="744"/>
        <v>0</v>
      </c>
      <c r="IP140" s="138">
        <f t="shared" ca="1" si="744"/>
        <v>0</v>
      </c>
      <c r="IQ140" s="138">
        <f t="shared" ca="1" si="744"/>
        <v>0</v>
      </c>
      <c r="IR140" s="138">
        <f t="shared" ca="1" si="744"/>
        <v>0</v>
      </c>
      <c r="IS140" s="138">
        <f t="shared" ca="1" si="744"/>
        <v>0</v>
      </c>
      <c r="IT140" s="138">
        <f t="shared" ca="1" si="744"/>
        <v>0</v>
      </c>
      <c r="IU140" s="138">
        <f t="shared" ca="1" si="744"/>
        <v>0</v>
      </c>
      <c r="IV140" s="138">
        <f t="shared" ca="1" si="744"/>
        <v>0</v>
      </c>
      <c r="IW140" s="138">
        <f t="shared" ca="1" si="744"/>
        <v>0</v>
      </c>
      <c r="IX140" s="138">
        <f t="shared" ca="1" si="744"/>
        <v>0</v>
      </c>
      <c r="IY140" s="138">
        <f t="shared" ca="1" si="744"/>
        <v>0</v>
      </c>
      <c r="IZ140" s="138">
        <f t="shared" ca="1" si="744"/>
        <v>0</v>
      </c>
      <c r="JA140" s="138">
        <f t="shared" ca="1" si="744"/>
        <v>0</v>
      </c>
      <c r="JB140" s="138">
        <f t="shared" ref="JB140:LM140" ca="1" si="745">JB118</f>
        <v>0</v>
      </c>
      <c r="JC140" s="138">
        <f t="shared" ca="1" si="745"/>
        <v>0</v>
      </c>
      <c r="JD140" s="138">
        <f t="shared" ca="1" si="745"/>
        <v>0</v>
      </c>
      <c r="JE140" s="138">
        <f t="shared" ca="1" si="745"/>
        <v>0</v>
      </c>
      <c r="JF140" s="138">
        <f t="shared" ca="1" si="745"/>
        <v>0</v>
      </c>
      <c r="JG140" s="138">
        <f t="shared" ca="1" si="745"/>
        <v>0</v>
      </c>
      <c r="JH140" s="138">
        <f t="shared" ca="1" si="745"/>
        <v>0</v>
      </c>
      <c r="JI140" s="138">
        <f t="shared" ca="1" si="745"/>
        <v>0</v>
      </c>
      <c r="JJ140" s="138">
        <f t="shared" ca="1" si="745"/>
        <v>0</v>
      </c>
      <c r="JK140" s="138">
        <f t="shared" ca="1" si="745"/>
        <v>0</v>
      </c>
      <c r="JL140" s="138">
        <f t="shared" ca="1" si="745"/>
        <v>0</v>
      </c>
      <c r="JM140" s="138">
        <f t="shared" ca="1" si="745"/>
        <v>0</v>
      </c>
      <c r="JN140" s="138">
        <f t="shared" ca="1" si="745"/>
        <v>0</v>
      </c>
      <c r="JO140" s="138">
        <f t="shared" ca="1" si="745"/>
        <v>0</v>
      </c>
      <c r="JP140" s="138">
        <f t="shared" ca="1" si="745"/>
        <v>0</v>
      </c>
      <c r="JQ140" s="138">
        <f t="shared" ca="1" si="745"/>
        <v>0</v>
      </c>
      <c r="JR140" s="138">
        <f t="shared" ca="1" si="745"/>
        <v>0</v>
      </c>
      <c r="JS140" s="138">
        <f t="shared" ca="1" si="745"/>
        <v>0</v>
      </c>
      <c r="JT140" s="138">
        <f t="shared" ca="1" si="745"/>
        <v>0</v>
      </c>
      <c r="JU140" s="138">
        <f t="shared" ca="1" si="745"/>
        <v>0</v>
      </c>
      <c r="JV140" s="138">
        <f t="shared" ca="1" si="745"/>
        <v>0</v>
      </c>
      <c r="JW140" s="138">
        <f t="shared" ca="1" si="745"/>
        <v>0</v>
      </c>
      <c r="JX140" s="138">
        <f t="shared" ca="1" si="745"/>
        <v>0</v>
      </c>
      <c r="JY140" s="138">
        <f t="shared" ca="1" si="745"/>
        <v>0</v>
      </c>
      <c r="JZ140" s="138">
        <f t="shared" ca="1" si="745"/>
        <v>0</v>
      </c>
      <c r="KA140" s="138">
        <f t="shared" ca="1" si="745"/>
        <v>0</v>
      </c>
      <c r="KB140" s="138">
        <f t="shared" ca="1" si="745"/>
        <v>0</v>
      </c>
      <c r="KC140" s="138">
        <f t="shared" ca="1" si="745"/>
        <v>0</v>
      </c>
      <c r="KD140" s="138">
        <f t="shared" ca="1" si="745"/>
        <v>0</v>
      </c>
      <c r="KE140" s="138">
        <f t="shared" ca="1" si="745"/>
        <v>0</v>
      </c>
      <c r="KF140" s="138">
        <f t="shared" ca="1" si="745"/>
        <v>0</v>
      </c>
      <c r="KG140" s="138">
        <f t="shared" ca="1" si="745"/>
        <v>0</v>
      </c>
      <c r="KH140" s="138">
        <f t="shared" ca="1" si="745"/>
        <v>0</v>
      </c>
      <c r="KI140" s="138">
        <f t="shared" ca="1" si="745"/>
        <v>0</v>
      </c>
      <c r="KJ140" s="138">
        <f t="shared" ca="1" si="745"/>
        <v>0</v>
      </c>
      <c r="KK140" s="138">
        <f t="shared" ca="1" si="745"/>
        <v>0</v>
      </c>
      <c r="KL140" s="138">
        <f t="shared" ca="1" si="745"/>
        <v>0</v>
      </c>
      <c r="KM140" s="138">
        <f t="shared" ca="1" si="745"/>
        <v>0</v>
      </c>
      <c r="KN140" s="138">
        <f t="shared" ca="1" si="745"/>
        <v>0</v>
      </c>
      <c r="KO140" s="138">
        <f t="shared" ca="1" si="745"/>
        <v>0</v>
      </c>
      <c r="KP140" s="138">
        <f t="shared" ca="1" si="745"/>
        <v>0</v>
      </c>
      <c r="KQ140" s="138">
        <f t="shared" ca="1" si="745"/>
        <v>0</v>
      </c>
      <c r="KR140" s="138">
        <f t="shared" ca="1" si="745"/>
        <v>0</v>
      </c>
      <c r="KS140" s="138">
        <f t="shared" ca="1" si="745"/>
        <v>0</v>
      </c>
      <c r="KT140" s="138">
        <f t="shared" ca="1" si="745"/>
        <v>0</v>
      </c>
      <c r="KU140" s="138">
        <f t="shared" ca="1" si="745"/>
        <v>0</v>
      </c>
      <c r="KV140" s="138">
        <f t="shared" ca="1" si="745"/>
        <v>0</v>
      </c>
      <c r="KW140" s="138">
        <f t="shared" ca="1" si="745"/>
        <v>0</v>
      </c>
      <c r="KX140" s="138">
        <f t="shared" ca="1" si="745"/>
        <v>0</v>
      </c>
      <c r="KY140" s="138">
        <f t="shared" ca="1" si="745"/>
        <v>0</v>
      </c>
      <c r="KZ140" s="138">
        <f t="shared" ca="1" si="745"/>
        <v>0</v>
      </c>
      <c r="LA140" s="138">
        <f t="shared" ca="1" si="745"/>
        <v>0</v>
      </c>
      <c r="LB140" s="138">
        <f t="shared" ca="1" si="745"/>
        <v>0</v>
      </c>
      <c r="LC140" s="138">
        <f t="shared" ca="1" si="745"/>
        <v>0</v>
      </c>
      <c r="LD140" s="138">
        <f t="shared" ca="1" si="745"/>
        <v>0</v>
      </c>
      <c r="LE140" s="138">
        <f t="shared" ca="1" si="745"/>
        <v>0</v>
      </c>
      <c r="LF140" s="138">
        <f t="shared" ca="1" si="745"/>
        <v>0</v>
      </c>
      <c r="LG140" s="138">
        <f t="shared" ca="1" si="745"/>
        <v>0</v>
      </c>
      <c r="LH140" s="138">
        <f t="shared" ca="1" si="745"/>
        <v>0</v>
      </c>
      <c r="LI140" s="138">
        <f t="shared" ca="1" si="745"/>
        <v>0</v>
      </c>
      <c r="LJ140" s="138">
        <f t="shared" ca="1" si="745"/>
        <v>0</v>
      </c>
      <c r="LK140" s="138">
        <f t="shared" ca="1" si="745"/>
        <v>0</v>
      </c>
      <c r="LL140" s="138">
        <f t="shared" ca="1" si="745"/>
        <v>0</v>
      </c>
      <c r="LM140" s="138">
        <f t="shared" ca="1" si="745"/>
        <v>0</v>
      </c>
      <c r="LN140" s="138">
        <f t="shared" ref="LN140:NY140" ca="1" si="746">LN118</f>
        <v>0</v>
      </c>
      <c r="LO140" s="138">
        <f t="shared" ca="1" si="746"/>
        <v>0</v>
      </c>
      <c r="LP140" s="138">
        <f t="shared" ca="1" si="746"/>
        <v>0</v>
      </c>
      <c r="LQ140" s="138">
        <f t="shared" ca="1" si="746"/>
        <v>0</v>
      </c>
      <c r="LR140" s="138">
        <f t="shared" ca="1" si="746"/>
        <v>0</v>
      </c>
      <c r="LS140" s="138">
        <f t="shared" ca="1" si="746"/>
        <v>0</v>
      </c>
      <c r="LT140" s="138">
        <f t="shared" ca="1" si="746"/>
        <v>0</v>
      </c>
      <c r="LU140" s="138">
        <f t="shared" ca="1" si="746"/>
        <v>0</v>
      </c>
      <c r="LV140" s="138">
        <f t="shared" ca="1" si="746"/>
        <v>0</v>
      </c>
      <c r="LW140" s="138">
        <f t="shared" ca="1" si="746"/>
        <v>0</v>
      </c>
      <c r="LX140" s="138">
        <f t="shared" ca="1" si="746"/>
        <v>0</v>
      </c>
      <c r="LY140" s="138">
        <f t="shared" ca="1" si="746"/>
        <v>0</v>
      </c>
      <c r="LZ140" s="138">
        <f t="shared" ca="1" si="746"/>
        <v>0</v>
      </c>
      <c r="MA140" s="138">
        <f t="shared" ca="1" si="746"/>
        <v>0</v>
      </c>
      <c r="MB140" s="138">
        <f t="shared" ca="1" si="746"/>
        <v>0</v>
      </c>
      <c r="MC140" s="138">
        <f t="shared" ca="1" si="746"/>
        <v>0</v>
      </c>
      <c r="MD140" s="138">
        <f t="shared" ca="1" si="746"/>
        <v>0</v>
      </c>
      <c r="ME140" s="138">
        <f t="shared" ca="1" si="746"/>
        <v>0</v>
      </c>
      <c r="MF140" s="138">
        <f t="shared" ca="1" si="746"/>
        <v>0</v>
      </c>
      <c r="MG140" s="138">
        <f t="shared" ca="1" si="746"/>
        <v>0</v>
      </c>
      <c r="MH140" s="138">
        <f t="shared" ca="1" si="746"/>
        <v>0</v>
      </c>
      <c r="MI140" s="138">
        <f t="shared" ca="1" si="746"/>
        <v>0</v>
      </c>
      <c r="MJ140" s="138">
        <f t="shared" ca="1" si="746"/>
        <v>0</v>
      </c>
      <c r="MK140" s="138">
        <f t="shared" ca="1" si="746"/>
        <v>0</v>
      </c>
      <c r="ML140" s="138">
        <f t="shared" ca="1" si="746"/>
        <v>0</v>
      </c>
      <c r="MM140" s="138">
        <f t="shared" ca="1" si="746"/>
        <v>0</v>
      </c>
      <c r="MN140" s="138">
        <f t="shared" ca="1" si="746"/>
        <v>0</v>
      </c>
      <c r="MO140" s="138">
        <f t="shared" ca="1" si="746"/>
        <v>0</v>
      </c>
      <c r="MP140" s="138">
        <f t="shared" ca="1" si="746"/>
        <v>0</v>
      </c>
      <c r="MQ140" s="138">
        <f t="shared" ca="1" si="746"/>
        <v>0</v>
      </c>
      <c r="MR140" s="138">
        <f t="shared" ca="1" si="746"/>
        <v>0</v>
      </c>
      <c r="MS140" s="138">
        <f t="shared" ca="1" si="746"/>
        <v>0</v>
      </c>
      <c r="MT140" s="138">
        <f t="shared" ca="1" si="746"/>
        <v>0</v>
      </c>
      <c r="MU140" s="138">
        <f t="shared" ca="1" si="746"/>
        <v>0</v>
      </c>
      <c r="MV140" s="138">
        <f t="shared" ca="1" si="746"/>
        <v>0</v>
      </c>
      <c r="MW140" s="138">
        <f t="shared" ca="1" si="746"/>
        <v>0</v>
      </c>
      <c r="MX140" s="138">
        <f t="shared" ca="1" si="746"/>
        <v>0</v>
      </c>
      <c r="MY140" s="138">
        <f t="shared" ca="1" si="746"/>
        <v>0</v>
      </c>
      <c r="MZ140" s="138">
        <f t="shared" ca="1" si="746"/>
        <v>0</v>
      </c>
      <c r="NA140" s="138">
        <f t="shared" ca="1" si="746"/>
        <v>0</v>
      </c>
      <c r="NB140" s="138">
        <f t="shared" ca="1" si="746"/>
        <v>0</v>
      </c>
      <c r="NC140" s="138">
        <f t="shared" ca="1" si="746"/>
        <v>0</v>
      </c>
      <c r="ND140" s="138">
        <f t="shared" ca="1" si="746"/>
        <v>0</v>
      </c>
      <c r="NE140" s="138">
        <f t="shared" ca="1" si="746"/>
        <v>0</v>
      </c>
      <c r="NF140" s="138">
        <f t="shared" ca="1" si="746"/>
        <v>0</v>
      </c>
      <c r="NG140" s="138">
        <f t="shared" ca="1" si="746"/>
        <v>0</v>
      </c>
      <c r="NH140" s="138">
        <f t="shared" ca="1" si="746"/>
        <v>0</v>
      </c>
      <c r="NI140" s="138">
        <f t="shared" ca="1" si="746"/>
        <v>0</v>
      </c>
      <c r="NJ140" s="138">
        <f t="shared" ca="1" si="746"/>
        <v>0</v>
      </c>
      <c r="NK140" s="138">
        <f t="shared" ca="1" si="746"/>
        <v>0</v>
      </c>
      <c r="NL140" s="138">
        <f t="shared" ca="1" si="746"/>
        <v>0</v>
      </c>
      <c r="NM140" s="138">
        <f t="shared" ca="1" si="746"/>
        <v>0</v>
      </c>
      <c r="NN140" s="138">
        <f t="shared" ca="1" si="746"/>
        <v>0</v>
      </c>
      <c r="NO140" s="138">
        <f t="shared" ca="1" si="746"/>
        <v>0</v>
      </c>
      <c r="NP140" s="138">
        <f t="shared" ca="1" si="746"/>
        <v>0</v>
      </c>
      <c r="NQ140" s="138">
        <f t="shared" ca="1" si="746"/>
        <v>0</v>
      </c>
      <c r="NR140" s="138">
        <f t="shared" ca="1" si="746"/>
        <v>0</v>
      </c>
      <c r="NS140" s="138">
        <f t="shared" ca="1" si="746"/>
        <v>0</v>
      </c>
      <c r="NT140" s="138">
        <f t="shared" ca="1" si="746"/>
        <v>0</v>
      </c>
      <c r="NU140" s="138">
        <f t="shared" ca="1" si="746"/>
        <v>0</v>
      </c>
      <c r="NV140" s="138">
        <f t="shared" ca="1" si="746"/>
        <v>0</v>
      </c>
      <c r="NW140" s="138">
        <f t="shared" ca="1" si="746"/>
        <v>0</v>
      </c>
      <c r="NX140" s="138">
        <f t="shared" ca="1" si="746"/>
        <v>0</v>
      </c>
      <c r="NY140" s="138">
        <f t="shared" ca="1" si="746"/>
        <v>0</v>
      </c>
      <c r="NZ140" s="138">
        <f t="shared" ref="NZ140:QK140" ca="1" si="747">NZ118</f>
        <v>0</v>
      </c>
      <c r="OA140" s="138">
        <f t="shared" ca="1" si="747"/>
        <v>0</v>
      </c>
      <c r="OB140" s="138">
        <f t="shared" ca="1" si="747"/>
        <v>0</v>
      </c>
      <c r="OC140" s="138">
        <f t="shared" ca="1" si="747"/>
        <v>0</v>
      </c>
      <c r="OD140" s="138">
        <f t="shared" ca="1" si="747"/>
        <v>0</v>
      </c>
      <c r="OE140" s="138">
        <f t="shared" ca="1" si="747"/>
        <v>0</v>
      </c>
      <c r="OF140" s="138">
        <f t="shared" ca="1" si="747"/>
        <v>0</v>
      </c>
      <c r="OG140" s="138">
        <f t="shared" ca="1" si="747"/>
        <v>0</v>
      </c>
      <c r="OH140" s="138">
        <f t="shared" ca="1" si="747"/>
        <v>0</v>
      </c>
      <c r="OI140" s="138">
        <f t="shared" ca="1" si="747"/>
        <v>0</v>
      </c>
      <c r="OJ140" s="138">
        <f t="shared" ca="1" si="747"/>
        <v>0</v>
      </c>
      <c r="OK140" s="138">
        <f t="shared" ca="1" si="747"/>
        <v>0</v>
      </c>
      <c r="OL140" s="138">
        <f t="shared" ca="1" si="747"/>
        <v>0</v>
      </c>
      <c r="OM140" s="138">
        <f t="shared" ca="1" si="747"/>
        <v>0</v>
      </c>
      <c r="ON140" s="138">
        <f t="shared" ca="1" si="747"/>
        <v>0</v>
      </c>
      <c r="OO140" s="138">
        <f t="shared" ca="1" si="747"/>
        <v>0</v>
      </c>
      <c r="OP140" s="138">
        <f t="shared" ca="1" si="747"/>
        <v>0</v>
      </c>
      <c r="OQ140" s="138">
        <f t="shared" ca="1" si="747"/>
        <v>0</v>
      </c>
      <c r="OR140" s="138">
        <f t="shared" ca="1" si="747"/>
        <v>0</v>
      </c>
      <c r="OS140" s="138">
        <f t="shared" ca="1" si="747"/>
        <v>0</v>
      </c>
      <c r="OT140" s="138">
        <f t="shared" ca="1" si="747"/>
        <v>0</v>
      </c>
      <c r="OU140" s="138">
        <f t="shared" ca="1" si="747"/>
        <v>0</v>
      </c>
      <c r="OV140" s="138">
        <f t="shared" ca="1" si="747"/>
        <v>0</v>
      </c>
      <c r="OW140" s="138">
        <f t="shared" ca="1" si="747"/>
        <v>0</v>
      </c>
      <c r="OX140" s="138">
        <f t="shared" ca="1" si="747"/>
        <v>0</v>
      </c>
      <c r="OY140" s="138">
        <f t="shared" ca="1" si="747"/>
        <v>0</v>
      </c>
      <c r="OZ140" s="138">
        <f t="shared" ca="1" si="747"/>
        <v>0</v>
      </c>
      <c r="PA140" s="138">
        <f t="shared" ca="1" si="747"/>
        <v>0</v>
      </c>
      <c r="PB140" s="138">
        <f t="shared" ca="1" si="747"/>
        <v>0</v>
      </c>
      <c r="PC140" s="138">
        <f t="shared" ca="1" si="747"/>
        <v>0</v>
      </c>
      <c r="PD140" s="138">
        <f t="shared" ca="1" si="747"/>
        <v>0</v>
      </c>
      <c r="PE140" s="138">
        <f t="shared" ca="1" si="747"/>
        <v>0</v>
      </c>
      <c r="PF140" s="138">
        <f t="shared" ca="1" si="747"/>
        <v>0</v>
      </c>
      <c r="PG140" s="138">
        <f t="shared" ca="1" si="747"/>
        <v>0</v>
      </c>
      <c r="PH140" s="138">
        <f t="shared" ca="1" si="747"/>
        <v>0</v>
      </c>
      <c r="PI140" s="138">
        <f t="shared" ca="1" si="747"/>
        <v>0</v>
      </c>
      <c r="PJ140" s="138">
        <f t="shared" ca="1" si="747"/>
        <v>0</v>
      </c>
      <c r="PK140" s="138">
        <f t="shared" ca="1" si="747"/>
        <v>0</v>
      </c>
      <c r="PL140" s="138">
        <f t="shared" ca="1" si="747"/>
        <v>0</v>
      </c>
      <c r="PM140" s="138">
        <f t="shared" ca="1" si="747"/>
        <v>0</v>
      </c>
      <c r="PN140" s="138">
        <f t="shared" ca="1" si="747"/>
        <v>0</v>
      </c>
      <c r="PO140" s="138">
        <f t="shared" ca="1" si="747"/>
        <v>0</v>
      </c>
      <c r="PP140" s="138">
        <f t="shared" ca="1" si="747"/>
        <v>0</v>
      </c>
      <c r="PQ140" s="138">
        <f t="shared" ca="1" si="747"/>
        <v>0</v>
      </c>
      <c r="PR140" s="138">
        <f t="shared" ca="1" si="747"/>
        <v>0</v>
      </c>
      <c r="PS140" s="138">
        <f t="shared" ca="1" si="747"/>
        <v>0</v>
      </c>
      <c r="PT140" s="138">
        <f t="shared" ca="1" si="747"/>
        <v>0</v>
      </c>
      <c r="PU140" s="138">
        <f t="shared" ca="1" si="747"/>
        <v>0</v>
      </c>
      <c r="PV140" s="138">
        <f t="shared" ca="1" si="747"/>
        <v>0</v>
      </c>
      <c r="PW140" s="138">
        <f t="shared" ca="1" si="747"/>
        <v>0</v>
      </c>
      <c r="PX140" s="138">
        <f t="shared" ca="1" si="747"/>
        <v>0</v>
      </c>
      <c r="PY140" s="138">
        <f t="shared" ca="1" si="747"/>
        <v>0</v>
      </c>
      <c r="PZ140" s="138">
        <f t="shared" ca="1" si="747"/>
        <v>0</v>
      </c>
      <c r="QA140" s="138">
        <f t="shared" ca="1" si="747"/>
        <v>0</v>
      </c>
      <c r="QB140" s="138">
        <f t="shared" ca="1" si="747"/>
        <v>0</v>
      </c>
      <c r="QC140" s="138">
        <f t="shared" ca="1" si="747"/>
        <v>0</v>
      </c>
      <c r="QD140" s="138">
        <f t="shared" ca="1" si="747"/>
        <v>0</v>
      </c>
      <c r="QE140" s="138">
        <f t="shared" ca="1" si="747"/>
        <v>0</v>
      </c>
      <c r="QF140" s="138">
        <f t="shared" ca="1" si="747"/>
        <v>0</v>
      </c>
      <c r="QG140" s="138">
        <f t="shared" ca="1" si="747"/>
        <v>0</v>
      </c>
      <c r="QH140" s="138">
        <f t="shared" ca="1" si="747"/>
        <v>0</v>
      </c>
      <c r="QI140" s="138">
        <f t="shared" ca="1" si="747"/>
        <v>0</v>
      </c>
      <c r="QJ140" s="138">
        <f t="shared" ca="1" si="747"/>
        <v>0</v>
      </c>
      <c r="QK140" s="138">
        <f t="shared" ca="1" si="747"/>
        <v>0</v>
      </c>
      <c r="QL140" s="138">
        <f t="shared" ref="QL140:RR140" ca="1" si="748">QL118</f>
        <v>0</v>
      </c>
      <c r="QM140" s="138">
        <f t="shared" ca="1" si="748"/>
        <v>0</v>
      </c>
      <c r="QN140" s="138">
        <f t="shared" ca="1" si="748"/>
        <v>0</v>
      </c>
      <c r="QO140" s="138">
        <f t="shared" ca="1" si="748"/>
        <v>0</v>
      </c>
      <c r="QP140" s="138">
        <f t="shared" ca="1" si="748"/>
        <v>0</v>
      </c>
      <c r="QQ140" s="138">
        <f t="shared" ca="1" si="748"/>
        <v>0</v>
      </c>
      <c r="QR140" s="138">
        <f t="shared" ca="1" si="748"/>
        <v>0</v>
      </c>
      <c r="QS140" s="138">
        <f t="shared" ca="1" si="748"/>
        <v>0</v>
      </c>
      <c r="QT140" s="138">
        <f t="shared" ca="1" si="748"/>
        <v>0</v>
      </c>
      <c r="QU140" s="138">
        <f t="shared" ca="1" si="748"/>
        <v>0</v>
      </c>
      <c r="QV140" s="138">
        <f t="shared" ca="1" si="748"/>
        <v>0</v>
      </c>
      <c r="QW140" s="138">
        <f t="shared" ca="1" si="748"/>
        <v>0</v>
      </c>
      <c r="QX140" s="138">
        <f t="shared" ca="1" si="748"/>
        <v>0</v>
      </c>
      <c r="QY140" s="138">
        <f t="shared" ca="1" si="748"/>
        <v>0</v>
      </c>
      <c r="QZ140" s="138">
        <f t="shared" ca="1" si="748"/>
        <v>0</v>
      </c>
      <c r="RA140" s="138">
        <f t="shared" ca="1" si="748"/>
        <v>0</v>
      </c>
      <c r="RB140" s="138">
        <f t="shared" ca="1" si="748"/>
        <v>0</v>
      </c>
      <c r="RC140" s="138">
        <f t="shared" ca="1" si="748"/>
        <v>0</v>
      </c>
      <c r="RD140" s="138">
        <f t="shared" ca="1" si="748"/>
        <v>0</v>
      </c>
      <c r="RE140" s="138">
        <f t="shared" ca="1" si="748"/>
        <v>0</v>
      </c>
      <c r="RF140" s="138">
        <f t="shared" ca="1" si="748"/>
        <v>0</v>
      </c>
      <c r="RG140" s="138">
        <f t="shared" ca="1" si="748"/>
        <v>0</v>
      </c>
      <c r="RH140" s="138">
        <f t="shared" ca="1" si="748"/>
        <v>0</v>
      </c>
      <c r="RI140" s="138">
        <f t="shared" ca="1" si="748"/>
        <v>0</v>
      </c>
      <c r="RJ140" s="138">
        <f t="shared" ca="1" si="748"/>
        <v>0</v>
      </c>
      <c r="RK140" s="138">
        <f t="shared" ca="1" si="748"/>
        <v>0</v>
      </c>
      <c r="RL140" s="138">
        <f t="shared" ca="1" si="748"/>
        <v>0</v>
      </c>
      <c r="RM140" s="138">
        <f t="shared" ca="1" si="748"/>
        <v>0</v>
      </c>
      <c r="RN140" s="138">
        <f t="shared" ca="1" si="748"/>
        <v>0</v>
      </c>
      <c r="RO140" s="138">
        <f t="shared" ca="1" si="748"/>
        <v>0</v>
      </c>
      <c r="RP140" s="138">
        <f t="shared" ca="1" si="748"/>
        <v>0</v>
      </c>
      <c r="RQ140" s="138">
        <f t="shared" ca="1" si="748"/>
        <v>0</v>
      </c>
      <c r="RR140" s="138">
        <f t="shared" ca="1" si="748"/>
        <v>0</v>
      </c>
    </row>
    <row r="141" spans="1:486" s="9" customFormat="1" ht="28.8">
      <c r="A141" s="137"/>
      <c r="C141" s="132" t="s">
        <v>272</v>
      </c>
      <c r="D141" s="9" t="s">
        <v>257</v>
      </c>
      <c r="E141" s="138">
        <f>E119</f>
        <v>111097171.54231954</v>
      </c>
      <c r="F141" s="138">
        <f t="shared" ref="F141:BQ141" ca="1" si="749">F119</f>
        <v>111385519.12652764</v>
      </c>
      <c r="G141" s="138">
        <f t="shared" ca="1" si="749"/>
        <v>111674800.95727333</v>
      </c>
      <c r="H141" s="138">
        <f t="shared" ca="1" si="749"/>
        <v>111965020.06151655</v>
      </c>
      <c r="I141" s="138">
        <f t="shared" ca="1" si="749"/>
        <v>112256179.4760246</v>
      </c>
      <c r="J141" s="138">
        <f t="shared" ca="1" si="749"/>
        <v>112548282.24740398</v>
      </c>
      <c r="K141" s="138">
        <f t="shared" ca="1" si="749"/>
        <v>112841331.43213207</v>
      </c>
      <c r="L141" s="138">
        <f t="shared" ca="1" si="749"/>
        <v>113135330.09658939</v>
      </c>
      <c r="M141" s="138">
        <f t="shared" ca="1" si="749"/>
        <v>113430281.31709144</v>
      </c>
      <c r="N141" s="138">
        <f t="shared" ca="1" si="749"/>
        <v>113726188.179921</v>
      </c>
      <c r="O141" s="138">
        <f t="shared" ca="1" si="749"/>
        <v>114023053.78136042</v>
      </c>
      <c r="P141" s="138">
        <f t="shared" ca="1" si="749"/>
        <v>114320881.22772399</v>
      </c>
      <c r="Q141" s="138">
        <f t="shared" ca="1" si="749"/>
        <v>114619673.63539055</v>
      </c>
      <c r="R141" s="138">
        <f t="shared" ca="1" si="749"/>
        <v>114919434.13083586</v>
      </c>
      <c r="S141" s="138">
        <f t="shared" ca="1" si="749"/>
        <v>115220165.8506656</v>
      </c>
      <c r="T141" s="138">
        <f t="shared" ca="1" si="749"/>
        <v>115521871.94164801</v>
      </c>
      <c r="U141" s="138">
        <f t="shared" ca="1" si="749"/>
        <v>115824555.56074682</v>
      </c>
      <c r="V141" s="138">
        <f t="shared" ca="1" si="749"/>
        <v>116128219.87515438</v>
      </c>
      <c r="W141" s="138">
        <f t="shared" ca="1" si="749"/>
        <v>116432868.0623247</v>
      </c>
      <c r="X141" s="138">
        <f t="shared" ca="1" si="749"/>
        <v>116738503.31000686</v>
      </c>
      <c r="Y141" s="138">
        <f t="shared" ca="1" si="749"/>
        <v>117045128.8162781</v>
      </c>
      <c r="Z141" s="138">
        <f t="shared" ca="1" si="749"/>
        <v>117352747.78957751</v>
      </c>
      <c r="AA141" s="138">
        <f t="shared" ca="1" si="749"/>
        <v>117661363.44873953</v>
      </c>
      <c r="AB141" s="138">
        <f t="shared" ca="1" si="749"/>
        <v>117970979.0230276</v>
      </c>
      <c r="AC141" s="138">
        <f t="shared" ca="1" si="749"/>
        <v>118281597.752168</v>
      </c>
      <c r="AD141" s="138">
        <f t="shared" ca="1" si="749"/>
        <v>118593222.88638371</v>
      </c>
      <c r="AE141" s="138">
        <f t="shared" ca="1" si="749"/>
        <v>118905857.68642849</v>
      </c>
      <c r="AF141" s="138">
        <f t="shared" ca="1" si="749"/>
        <v>119219505.42362085</v>
      </c>
      <c r="AG141" s="138">
        <f t="shared" ca="1" si="749"/>
        <v>119534169.37987846</v>
      </c>
      <c r="AH141" s="138">
        <f t="shared" ca="1" si="749"/>
        <v>119849852.84775236</v>
      </c>
      <c r="AI141" s="138">
        <f t="shared" ca="1" si="749"/>
        <v>120166559.13046151</v>
      </c>
      <c r="AJ141" s="138">
        <f t="shared" ca="1" si="749"/>
        <v>120484291.54192722</v>
      </c>
      <c r="AK141" s="138">
        <f t="shared" ca="1" si="749"/>
        <v>120803053.40680799</v>
      </c>
      <c r="AL141" s="138">
        <f t="shared" ca="1" si="749"/>
        <v>121122848.06053418</v>
      </c>
      <c r="AM141" s="138">
        <f t="shared" ca="1" si="749"/>
        <v>121443678.84934297</v>
      </c>
      <c r="AN141" s="138">
        <f t="shared" ca="1" si="749"/>
        <v>121765549.13031331</v>
      </c>
      <c r="AO141" s="138">
        <f t="shared" ca="1" si="749"/>
        <v>122088462.27140114</v>
      </c>
      <c r="AP141" s="138">
        <f t="shared" ca="1" si="749"/>
        <v>122412421.65147454</v>
      </c>
      <c r="AQ141" s="138">
        <f t="shared" ca="1" si="749"/>
        <v>122737430.66034919</v>
      </c>
      <c r="AR141" s="138">
        <f t="shared" ca="1" si="749"/>
        <v>123063492.69882366</v>
      </c>
      <c r="AS141" s="138">
        <f t="shared" ca="1" si="749"/>
        <v>123390611.17871526</v>
      </c>
      <c r="AT141" s="138">
        <f t="shared" ca="1" si="749"/>
        <v>123718789.52289549</v>
      </c>
      <c r="AU141" s="138">
        <f t="shared" ca="1" si="749"/>
        <v>124048031.16532597</v>
      </c>
      <c r="AV141" s="138">
        <f t="shared" ca="1" si="749"/>
        <v>124378339.55109441</v>
      </c>
      <c r="AW141" s="138">
        <f t="shared" ca="1" si="749"/>
        <v>124709718.13645053</v>
      </c>
      <c r="AX141" s="138">
        <f t="shared" ca="1" si="749"/>
        <v>125042170.38884237</v>
      </c>
      <c r="AY141" s="138">
        <f t="shared" ca="1" si="749"/>
        <v>125375699.7869525</v>
      </c>
      <c r="AZ141" s="138">
        <f t="shared" ca="1" si="749"/>
        <v>125710309.82073438</v>
      </c>
      <c r="BA141" s="138">
        <f t="shared" ca="1" si="749"/>
        <v>126046003.99144897</v>
      </c>
      <c r="BB141" s="138">
        <f t="shared" ca="1" si="749"/>
        <v>126382785.81170133</v>
      </c>
      <c r="BC141" s="138">
        <f t="shared" ca="1" si="749"/>
        <v>126720658.80547726</v>
      </c>
      <c r="BD141" s="138">
        <f t="shared" ca="1" si="749"/>
        <v>127059626.50818044</v>
      </c>
      <c r="BE141" s="138">
        <f t="shared" ca="1" si="749"/>
        <v>127399692.46666911</v>
      </c>
      <c r="BF141" s="138">
        <f t="shared" ca="1" si="749"/>
        <v>127740860.23929349</v>
      </c>
      <c r="BG141" s="138">
        <f t="shared" ca="1" si="749"/>
        <v>128083133.39593267</v>
      </c>
      <c r="BH141" s="138">
        <f t="shared" ca="1" si="749"/>
        <v>128426515.51803234</v>
      </c>
      <c r="BI141" s="138">
        <f t="shared" ca="1" si="749"/>
        <v>128771010.19864199</v>
      </c>
      <c r="BJ141" s="138">
        <f t="shared" ca="1" si="749"/>
        <v>129116621.04245251</v>
      </c>
      <c r="BK141" s="138">
        <f t="shared" ca="1" si="749"/>
        <v>129463351.66583419</v>
      </c>
      <c r="BL141" s="138">
        <f t="shared" ca="1" si="749"/>
        <v>129811205.6968742</v>
      </c>
      <c r="BM141" s="138">
        <f t="shared" ca="1" si="749"/>
        <v>90041619.907131165</v>
      </c>
      <c r="BN141" s="138">
        <f t="shared" ca="1" si="749"/>
        <v>90134860.32326293</v>
      </c>
      <c r="BO141" s="138">
        <f t="shared" ca="1" si="749"/>
        <v>90228402.847209945</v>
      </c>
      <c r="BP141" s="138">
        <f t="shared" ca="1" si="749"/>
        <v>90322248.45783028</v>
      </c>
      <c r="BQ141" s="138">
        <f t="shared" ca="1" si="749"/>
        <v>90416398.137153581</v>
      </c>
      <c r="BR141" s="138">
        <f t="shared" ref="BR141:EC141" ca="1" si="750">BR119</f>
        <v>90510852.870391339</v>
      </c>
      <c r="BS141" s="138">
        <f t="shared" ca="1" si="750"/>
        <v>90605613.645947263</v>
      </c>
      <c r="BT141" s="138">
        <f t="shared" ca="1" si="750"/>
        <v>90700681.455427557</v>
      </c>
      <c r="BU141" s="138">
        <f t="shared" ca="1" si="750"/>
        <v>90796057.293651372</v>
      </c>
      <c r="BV141" s="138">
        <f t="shared" ca="1" si="750"/>
        <v>90891742.158661082</v>
      </c>
      <c r="BW141" s="138">
        <f t="shared" ca="1" si="750"/>
        <v>90987737.051732883</v>
      </c>
      <c r="BX141" s="138">
        <f t="shared" ca="1" si="750"/>
        <v>91084042.97738719</v>
      </c>
      <c r="BY141" s="138">
        <f t="shared" ca="1" si="750"/>
        <v>91180660.943399131</v>
      </c>
      <c r="BZ141" s="138">
        <f t="shared" ca="1" si="750"/>
        <v>91277591.960809141</v>
      </c>
      <c r="CA141" s="138">
        <f t="shared" ca="1" si="750"/>
        <v>91374837.043933526</v>
      </c>
      <c r="CB141" s="138">
        <f t="shared" ca="1" si="750"/>
        <v>91472397.210375071</v>
      </c>
      <c r="CC141" s="138">
        <f t="shared" ca="1" si="750"/>
        <v>91570273.481033698</v>
      </c>
      <c r="CD141" s="138">
        <f t="shared" ca="1" si="750"/>
        <v>91668466.880117089</v>
      </c>
      <c r="CE141" s="138">
        <f t="shared" ca="1" si="750"/>
        <v>91766978.435151547</v>
      </c>
      <c r="CF141" s="138">
        <f t="shared" ca="1" si="750"/>
        <v>91865809.176992595</v>
      </c>
      <c r="CG141" s="138">
        <f t="shared" ca="1" si="750"/>
        <v>91964960.139835835</v>
      </c>
      <c r="CH141" s="138">
        <f t="shared" ca="1" si="750"/>
        <v>92064432.361227751</v>
      </c>
      <c r="CI141" s="138">
        <f t="shared" ca="1" si="750"/>
        <v>92164226.882076621</v>
      </c>
      <c r="CJ141" s="138">
        <f t="shared" ca="1" si="750"/>
        <v>92264344.746663332</v>
      </c>
      <c r="CK141" s="138">
        <f t="shared" ca="1" si="750"/>
        <v>92364787.002652332</v>
      </c>
      <c r="CL141" s="138">
        <f t="shared" ca="1" si="750"/>
        <v>92465554.701102614</v>
      </c>
      <c r="CM141" s="138">
        <f t="shared" ca="1" si="750"/>
        <v>92566648.896478713</v>
      </c>
      <c r="CN141" s="138">
        <f t="shared" ca="1" si="750"/>
        <v>92668070.646661699</v>
      </c>
      <c r="CO141" s="138">
        <f t="shared" ca="1" si="750"/>
        <v>92769821.012960315</v>
      </c>
      <c r="CP141" s="138">
        <f t="shared" ca="1" si="750"/>
        <v>92871901.060122043</v>
      </c>
      <c r="CQ141" s="138">
        <f t="shared" ca="1" si="750"/>
        <v>92974311.856344178</v>
      </c>
      <c r="CR141" s="138">
        <f t="shared" ca="1" si="750"/>
        <v>93077054.473285168</v>
      </c>
      <c r="CS141" s="138">
        <f t="shared" ca="1" si="750"/>
        <v>93180129.986075699</v>
      </c>
      <c r="CT141" s="138">
        <f t="shared" ca="1" si="750"/>
        <v>93283539.473329991</v>
      </c>
      <c r="CU141" s="138">
        <f t="shared" ca="1" si="750"/>
        <v>93387284.017157018</v>
      </c>
      <c r="CV141" s="138">
        <f t="shared" ca="1" si="750"/>
        <v>93491364.703171983</v>
      </c>
      <c r="CW141" s="138">
        <f t="shared" ca="1" si="750"/>
        <v>93595782.620507538</v>
      </c>
      <c r="CX141" s="138">
        <f t="shared" ca="1" si="750"/>
        <v>93700538.861825213</v>
      </c>
      <c r="CY141" s="138">
        <f t="shared" ca="1" si="750"/>
        <v>93805634.523326904</v>
      </c>
      <c r="CZ141" s="138">
        <f t="shared" ca="1" si="750"/>
        <v>93911070.704766273</v>
      </c>
      <c r="DA141" s="138">
        <f t="shared" ca="1" si="750"/>
        <v>94016848.5094603</v>
      </c>
      <c r="DB141" s="138">
        <f t="shared" ca="1" si="750"/>
        <v>94122969.044300839</v>
      </c>
      <c r="DC141" s="138">
        <f t="shared" ca="1" si="750"/>
        <v>94229433.419766128</v>
      </c>
      <c r="DD141" s="138">
        <f t="shared" ca="1" si="750"/>
        <v>94336242.749932528</v>
      </c>
      <c r="DE141" s="138">
        <f t="shared" ca="1" si="750"/>
        <v>94443398.152486026</v>
      </c>
      <c r="DF141" s="138">
        <f t="shared" ca="1" si="750"/>
        <v>94550900.748734117</v>
      </c>
      <c r="DG141" s="138">
        <f t="shared" ca="1" si="750"/>
        <v>94658751.663617343</v>
      </c>
      <c r="DH141" s="138">
        <f t="shared" ca="1" si="750"/>
        <v>94766952.025721252</v>
      </c>
      <c r="DI141" s="138">
        <f t="shared" ca="1" si="750"/>
        <v>94875502.967288047</v>
      </c>
      <c r="DJ141" s="138">
        <f t="shared" ca="1" si="750"/>
        <v>94984405.624228507</v>
      </c>
      <c r="DK141" s="138">
        <f t="shared" ca="1" si="750"/>
        <v>95093661.136133939</v>
      </c>
      <c r="DL141" s="138">
        <f t="shared" ca="1" si="750"/>
        <v>95203270.646287948</v>
      </c>
      <c r="DM141" s="138">
        <f t="shared" ca="1" si="750"/>
        <v>95313235.301678538</v>
      </c>
      <c r="DN141" s="138">
        <f t="shared" ca="1" si="750"/>
        <v>95423556.253010049</v>
      </c>
      <c r="DO141" s="138">
        <f t="shared" ca="1" si="750"/>
        <v>95534234.65471521</v>
      </c>
      <c r="DP141" s="138">
        <f t="shared" ca="1" si="750"/>
        <v>95645271.664967239</v>
      </c>
      <c r="DQ141" s="138">
        <f t="shared" ca="1" si="750"/>
        <v>95756668.445691913</v>
      </c>
      <c r="DR141" s="138">
        <f t="shared" ca="1" si="750"/>
        <v>95868426.16257979</v>
      </c>
      <c r="DS141" s="138">
        <f t="shared" ca="1" si="750"/>
        <v>95980545.985098347</v>
      </c>
      <c r="DT141" s="138">
        <f t="shared" ca="1" si="750"/>
        <v>96093029.086504281</v>
      </c>
      <c r="DU141" s="138">
        <f t="shared" ca="1" si="750"/>
        <v>96205876.643855721</v>
      </c>
      <c r="DV141" s="138">
        <f t="shared" ca="1" si="750"/>
        <v>96319089.838024601</v>
      </c>
      <c r="DW141" s="138">
        <f t="shared" ca="1" si="750"/>
        <v>96432669.853708968</v>
      </c>
      <c r="DX141" s="138">
        <f t="shared" ca="1" si="750"/>
        <v>96546617.879445434</v>
      </c>
      <c r="DY141" s="138">
        <f t="shared" ca="1" si="750"/>
        <v>96660935.107621551</v>
      </c>
      <c r="DZ141" s="138">
        <f t="shared" ca="1" si="750"/>
        <v>96775622.734488338</v>
      </c>
      <c r="EA141" s="138">
        <f t="shared" ca="1" si="750"/>
        <v>96890681.960172772</v>
      </c>
      <c r="EB141" s="138">
        <f t="shared" ca="1" si="750"/>
        <v>97006113.988690376</v>
      </c>
      <c r="EC141" s="138">
        <f t="shared" ca="1" si="750"/>
        <v>97121920.027957782</v>
      </c>
      <c r="ED141" s="138">
        <f t="shared" ref="ED141:GO141" ca="1" si="751">ED119</f>
        <v>97238101.289805382</v>
      </c>
      <c r="EE141" s="138">
        <f t="shared" ca="1" si="751"/>
        <v>97354658.989990011</v>
      </c>
      <c r="EF141" s="138">
        <f t="shared" ca="1" si="751"/>
        <v>97471594.348207682</v>
      </c>
      <c r="EG141" s="138">
        <f t="shared" ca="1" si="751"/>
        <v>97588908.588106349</v>
      </c>
      <c r="EH141" s="138">
        <f t="shared" ca="1" si="751"/>
        <v>97706602.937298685</v>
      </c>
      <c r="EI141" s="138">
        <f t="shared" ca="1" si="751"/>
        <v>97824678.627374932</v>
      </c>
      <c r="EJ141" s="138">
        <f t="shared" ca="1" si="751"/>
        <v>97943136.893915847</v>
      </c>
      <c r="EK141" s="138">
        <f t="shared" ca="1" si="751"/>
        <v>98061978.976505548</v>
      </c>
      <c r="EL141" s="138">
        <f t="shared" ca="1" si="751"/>
        <v>98181206.118744507</v>
      </c>
      <c r="EM141" s="138">
        <f t="shared" ca="1" si="751"/>
        <v>98300819.568262652</v>
      </c>
      <c r="EN141" s="138">
        <f t="shared" ca="1" si="751"/>
        <v>98420820.576732278</v>
      </c>
      <c r="EO141" s="138">
        <f t="shared" ca="1" si="751"/>
        <v>98541210.399881259</v>
      </c>
      <c r="EP141" s="138">
        <f t="shared" ca="1" si="751"/>
        <v>98661990.297506124</v>
      </c>
      <c r="EQ141" s="138">
        <f t="shared" ca="1" si="751"/>
        <v>98783161.533485264</v>
      </c>
      <c r="ER141" s="138">
        <f t="shared" ca="1" si="751"/>
        <v>98904725.375792146</v>
      </c>
      <c r="ES141" s="138">
        <f t="shared" ca="1" si="751"/>
        <v>99026683.096508652</v>
      </c>
      <c r="ET141" s="138">
        <f t="shared" ca="1" si="751"/>
        <v>99149035.971838266</v>
      </c>
      <c r="EU141" s="138">
        <f t="shared" ca="1" si="751"/>
        <v>99271785.282119513</v>
      </c>
      <c r="EV141" s="138">
        <f t="shared" ca="1" si="751"/>
        <v>99394932.311839342</v>
      </c>
      <c r="EW141" s="138">
        <f t="shared" ca="1" si="751"/>
        <v>99518478.349646553</v>
      </c>
      <c r="EX141" s="138">
        <f t="shared" ca="1" si="751"/>
        <v>99642424.688365281</v>
      </c>
      <c r="EY141" s="138">
        <f t="shared" ca="1" si="751"/>
        <v>99766772.625008568</v>
      </c>
      <c r="EZ141" s="138">
        <f t="shared" ca="1" si="751"/>
        <v>99891523.460791886</v>
      </c>
      <c r="FA141" s="138">
        <f t="shared" ca="1" si="751"/>
        <v>100016678.50114673</v>
      </c>
      <c r="FB141" s="138">
        <f t="shared" ca="1" si="751"/>
        <v>100142239.0557344</v>
      </c>
      <c r="FC141" s="138">
        <f t="shared" ca="1" si="751"/>
        <v>100268206.43845952</v>
      </c>
      <c r="FD141" s="138">
        <f t="shared" ca="1" si="751"/>
        <v>100394581.96748398</v>
      </c>
      <c r="FE141" s="138">
        <f t="shared" ca="1" si="751"/>
        <v>100521366.9652406</v>
      </c>
      <c r="FF141" s="138">
        <f t="shared" ca="1" si="751"/>
        <v>100648562.75844702</v>
      </c>
      <c r="FG141" s="138">
        <f t="shared" ca="1" si="751"/>
        <v>100776170.67811954</v>
      </c>
      <c r="FH141" s="138">
        <f t="shared" ca="1" si="751"/>
        <v>100904192.05958712</v>
      </c>
      <c r="FI141" s="138">
        <f t="shared" ca="1" si="751"/>
        <v>101032628.24250528</v>
      </c>
      <c r="FJ141" s="138">
        <f t="shared" ca="1" si="751"/>
        <v>101161480.57087019</v>
      </c>
      <c r="FK141" s="138">
        <f t="shared" ca="1" si="751"/>
        <v>101290750.39303267</v>
      </c>
      <c r="FL141" s="138">
        <f t="shared" ca="1" si="751"/>
        <v>101420439.06171229</v>
      </c>
      <c r="FM141" s="138">
        <f t="shared" ca="1" si="751"/>
        <v>101550547.93401167</v>
      </c>
      <c r="FN141" s="138">
        <f t="shared" ca="1" si="751"/>
        <v>101681078.37143043</v>
      </c>
      <c r="FO141" s="138">
        <f t="shared" ca="1" si="751"/>
        <v>101812031.73987967</v>
      </c>
      <c r="FP141" s="138">
        <f t="shared" ca="1" si="751"/>
        <v>101943409.40969616</v>
      </c>
      <c r="FQ141" s="138">
        <f t="shared" ca="1" si="751"/>
        <v>102075212.75565666</v>
      </c>
      <c r="FR141" s="138">
        <f t="shared" ca="1" si="751"/>
        <v>102207443.15699238</v>
      </c>
      <c r="FS141" s="138">
        <f t="shared" ca="1" si="751"/>
        <v>102340101.99740334</v>
      </c>
      <c r="FT141" s="138">
        <f t="shared" ca="1" si="751"/>
        <v>102473190.66507289</v>
      </c>
      <c r="FU141" s="138">
        <f t="shared" ca="1" si="751"/>
        <v>102606710.55268222</v>
      </c>
      <c r="FV141" s="138">
        <f t="shared" ca="1" si="751"/>
        <v>102740663.05742496</v>
      </c>
      <c r="FW141" s="138">
        <f t="shared" ca="1" si="751"/>
        <v>102875049.58102173</v>
      </c>
      <c r="FX141" s="138">
        <f t="shared" ca="1" si="751"/>
        <v>103009871.52973491</v>
      </c>
      <c r="FY141" s="138">
        <f t="shared" ca="1" si="751"/>
        <v>103145130.3143833</v>
      </c>
      <c r="FZ141" s="138">
        <f t="shared" ca="1" si="751"/>
        <v>103280827.35035686</v>
      </c>
      <c r="GA141" s="138">
        <f t="shared" ca="1" si="751"/>
        <v>103416964.05763155</v>
      </c>
      <c r="GB141" s="138">
        <f t="shared" ca="1" si="751"/>
        <v>103553541.86078422</v>
      </c>
      <c r="GC141" s="138">
        <f t="shared" ca="1" si="751"/>
        <v>103690562.18900745</v>
      </c>
      <c r="GD141" s="138">
        <f t="shared" ca="1" si="751"/>
        <v>103828026.47612455</v>
      </c>
      <c r="GE141" s="138">
        <f t="shared" ca="1" si="751"/>
        <v>103965936.16060457</v>
      </c>
      <c r="GF141" s="138">
        <f t="shared" ca="1" si="751"/>
        <v>104104292.6855773</v>
      </c>
      <c r="GG141" s="138">
        <f t="shared" ca="1" si="751"/>
        <v>104243097.49884844</v>
      </c>
      <c r="GH141" s="138">
        <f t="shared" ca="1" si="751"/>
        <v>104382352.05291474</v>
      </c>
      <c r="GI141" s="138">
        <f t="shared" ca="1" si="751"/>
        <v>104522057.8049791</v>
      </c>
      <c r="GJ141" s="138">
        <f t="shared" ca="1" si="751"/>
        <v>104662216.21696596</v>
      </c>
      <c r="GK141" s="138">
        <f t="shared" ca="1" si="751"/>
        <v>104802828.75553653</v>
      </c>
      <c r="GL141" s="138">
        <f t="shared" ca="1" si="751"/>
        <v>104943896.8921041</v>
      </c>
      <c r="GM141" s="138">
        <f t="shared" ca="1" si="751"/>
        <v>105085422.10284954</v>
      </c>
      <c r="GN141" s="138">
        <f t="shared" ca="1" si="751"/>
        <v>105227405.86873664</v>
      </c>
      <c r="GO141" s="138">
        <f t="shared" ca="1" si="751"/>
        <v>105369849.67552766</v>
      </c>
      <c r="GP141" s="138">
        <f t="shared" ref="GP141:JA141" ca="1" si="752">GP119</f>
        <v>105512755.01379889</v>
      </c>
      <c r="GQ141" s="138">
        <f t="shared" ca="1" si="752"/>
        <v>105656123.3789562</v>
      </c>
      <c r="GR141" s="138">
        <f t="shared" ca="1" si="752"/>
        <v>105799956.27125075</v>
      </c>
      <c r="GS141" s="138">
        <f t="shared" ca="1" si="752"/>
        <v>105944255.19579464</v>
      </c>
      <c r="GT141" s="138">
        <f t="shared" ca="1" si="752"/>
        <v>106089021.66257668</v>
      </c>
      <c r="GU141" s="138">
        <f t="shared" ca="1" si="752"/>
        <v>106234257.18647817</v>
      </c>
      <c r="GV141" s="138">
        <f t="shared" ca="1" si="752"/>
        <v>106379963.28728878</v>
      </c>
      <c r="GW141" s="138">
        <f t="shared" ca="1" si="752"/>
        <v>106526141.48972249</v>
      </c>
      <c r="GX141" s="138">
        <f t="shared" ca="1" si="752"/>
        <v>106672793.3234334</v>
      </c>
      <c r="GY141" s="138">
        <f t="shared" ca="1" si="752"/>
        <v>106819920.32303193</v>
      </c>
      <c r="GZ141" s="138">
        <f t="shared" ca="1" si="752"/>
        <v>106967524.02810073</v>
      </c>
      <c r="HA141" s="138">
        <f t="shared" ca="1" si="752"/>
        <v>107115605.98321085</v>
      </c>
      <c r="HB141" s="138">
        <f t="shared" ca="1" si="752"/>
        <v>107264167.7379379</v>
      </c>
      <c r="HC141" s="138">
        <f t="shared" ca="1" si="752"/>
        <v>107413210.84687831</v>
      </c>
      <c r="HD141" s="138">
        <f t="shared" ca="1" si="752"/>
        <v>107562736.86966544</v>
      </c>
      <c r="HE141" s="138">
        <f t="shared" ca="1" si="752"/>
        <v>107712747.37098615</v>
      </c>
      <c r="HF141" s="138">
        <f t="shared" ca="1" si="752"/>
        <v>107863243.92059693</v>
      </c>
      <c r="HG141" s="138">
        <f t="shared" ca="1" si="752"/>
        <v>108014228.09334044</v>
      </c>
      <c r="HH141" s="138">
        <f t="shared" ca="1" si="752"/>
        <v>108165701.46916203</v>
      </c>
      <c r="HI141" s="138">
        <f t="shared" ca="1" si="752"/>
        <v>108317665.6331262</v>
      </c>
      <c r="HJ141" s="138">
        <f t="shared" ca="1" si="752"/>
        <v>108470122.17543319</v>
      </c>
      <c r="HK141" s="138">
        <f t="shared" ca="1" si="752"/>
        <v>108623072.69143566</v>
      </c>
      <c r="HL141" s="138">
        <f t="shared" ca="1" si="752"/>
        <v>108776518.78165536</v>
      </c>
      <c r="HM141" s="138">
        <f t="shared" ca="1" si="752"/>
        <v>108930462.05179989</v>
      </c>
      <c r="HN141" s="138">
        <f t="shared" ca="1" si="752"/>
        <v>109084904.11277948</v>
      </c>
      <c r="HO141" s="138">
        <f t="shared" ca="1" si="752"/>
        <v>109239846.58072387</v>
      </c>
      <c r="HP141" s="138">
        <f t="shared" ca="1" si="752"/>
        <v>109395291.07699923</v>
      </c>
      <c r="HQ141" s="138">
        <f t="shared" ca="1" si="752"/>
        <v>109551239.22822507</v>
      </c>
      <c r="HR141" s="138">
        <f t="shared" ca="1" si="752"/>
        <v>109707692.66629134</v>
      </c>
      <c r="HS141" s="138">
        <f t="shared" ca="1" si="752"/>
        <v>109864653.02837548</v>
      </c>
      <c r="HT141" s="138">
        <f t="shared" ca="1" si="752"/>
        <v>110022121.95695944</v>
      </c>
      <c r="HU141" s="138">
        <f t="shared" ca="1" si="752"/>
        <v>110180101.09984714</v>
      </c>
      <c r="HV141" s="138">
        <f t="shared" ca="1" si="752"/>
        <v>110338592.11018139</v>
      </c>
      <c r="HW141" s="138">
        <f t="shared" ca="1" si="752"/>
        <v>110497596.64646138</v>
      </c>
      <c r="HX141" s="138">
        <f t="shared" ca="1" si="752"/>
        <v>110657116.37256008</v>
      </c>
      <c r="HY141" s="138">
        <f t="shared" ca="1" si="752"/>
        <v>110817152.95774141</v>
      </c>
      <c r="HZ141" s="138">
        <f t="shared" ca="1" si="752"/>
        <v>110977708.07667801</v>
      </c>
      <c r="IA141" s="138">
        <f t="shared" ca="1" si="752"/>
        <v>111138783.40946853</v>
      </c>
      <c r="IB141" s="138">
        <f t="shared" ca="1" si="752"/>
        <v>111300380.64165539</v>
      </c>
      <c r="IC141" s="138">
        <f t="shared" ca="1" si="752"/>
        <v>111462501.46424216</v>
      </c>
      <c r="ID141" s="138">
        <f t="shared" ca="1" si="752"/>
        <v>111625147.57371162</v>
      </c>
      <c r="IE141" s="138">
        <f t="shared" ca="1" si="752"/>
        <v>111788320.67204319</v>
      </c>
      <c r="IF141" s="138">
        <f t="shared" ca="1" si="752"/>
        <v>111952022.46673089</v>
      </c>
      <c r="IG141" s="138">
        <f t="shared" ca="1" si="752"/>
        <v>112116254.67080121</v>
      </c>
      <c r="IH141" s="138">
        <f t="shared" ca="1" si="752"/>
        <v>112281019.00283098</v>
      </c>
      <c r="II141" s="138">
        <f t="shared" ca="1" si="752"/>
        <v>112446317.18696541</v>
      </c>
      <c r="IJ141" s="138">
        <f t="shared" ca="1" si="752"/>
        <v>112612150.95293605</v>
      </c>
      <c r="IK141" s="138">
        <f t="shared" ca="1" si="752"/>
        <v>0</v>
      </c>
      <c r="IL141" s="138">
        <f t="shared" ca="1" si="752"/>
        <v>0</v>
      </c>
      <c r="IM141" s="138">
        <f t="shared" ca="1" si="752"/>
        <v>0</v>
      </c>
      <c r="IN141" s="138">
        <f t="shared" ca="1" si="752"/>
        <v>0</v>
      </c>
      <c r="IO141" s="138">
        <f t="shared" ca="1" si="752"/>
        <v>0</v>
      </c>
      <c r="IP141" s="138">
        <f t="shared" ca="1" si="752"/>
        <v>0</v>
      </c>
      <c r="IQ141" s="138">
        <f t="shared" ca="1" si="752"/>
        <v>0</v>
      </c>
      <c r="IR141" s="138">
        <f t="shared" ca="1" si="752"/>
        <v>0</v>
      </c>
      <c r="IS141" s="138">
        <f t="shared" ca="1" si="752"/>
        <v>0</v>
      </c>
      <c r="IT141" s="138">
        <f t="shared" ca="1" si="752"/>
        <v>0</v>
      </c>
      <c r="IU141" s="138">
        <f t="shared" ca="1" si="752"/>
        <v>0</v>
      </c>
      <c r="IV141" s="138">
        <f t="shared" ca="1" si="752"/>
        <v>0</v>
      </c>
      <c r="IW141" s="138">
        <f t="shared" ca="1" si="752"/>
        <v>0</v>
      </c>
      <c r="IX141" s="138">
        <f t="shared" ca="1" si="752"/>
        <v>0</v>
      </c>
      <c r="IY141" s="138">
        <f t="shared" ca="1" si="752"/>
        <v>0</v>
      </c>
      <c r="IZ141" s="138">
        <f t="shared" ca="1" si="752"/>
        <v>0</v>
      </c>
      <c r="JA141" s="138">
        <f t="shared" ca="1" si="752"/>
        <v>0</v>
      </c>
      <c r="JB141" s="138">
        <f t="shared" ref="JB141:LM141" ca="1" si="753">JB119</f>
        <v>0</v>
      </c>
      <c r="JC141" s="138">
        <f t="shared" ca="1" si="753"/>
        <v>0</v>
      </c>
      <c r="JD141" s="138">
        <f t="shared" ca="1" si="753"/>
        <v>0</v>
      </c>
      <c r="JE141" s="138">
        <f t="shared" ca="1" si="753"/>
        <v>0</v>
      </c>
      <c r="JF141" s="138">
        <f t="shared" ca="1" si="753"/>
        <v>0</v>
      </c>
      <c r="JG141" s="138">
        <f t="shared" ca="1" si="753"/>
        <v>0</v>
      </c>
      <c r="JH141" s="138">
        <f t="shared" ca="1" si="753"/>
        <v>0</v>
      </c>
      <c r="JI141" s="138">
        <f t="shared" ca="1" si="753"/>
        <v>0</v>
      </c>
      <c r="JJ141" s="138">
        <f t="shared" ca="1" si="753"/>
        <v>0</v>
      </c>
      <c r="JK141" s="138">
        <f t="shared" ca="1" si="753"/>
        <v>0</v>
      </c>
      <c r="JL141" s="138">
        <f t="shared" ca="1" si="753"/>
        <v>0</v>
      </c>
      <c r="JM141" s="138">
        <f t="shared" ca="1" si="753"/>
        <v>0</v>
      </c>
      <c r="JN141" s="138">
        <f t="shared" ca="1" si="753"/>
        <v>0</v>
      </c>
      <c r="JO141" s="138">
        <f t="shared" ca="1" si="753"/>
        <v>0</v>
      </c>
      <c r="JP141" s="138">
        <f t="shared" ca="1" si="753"/>
        <v>0</v>
      </c>
      <c r="JQ141" s="138">
        <f t="shared" ca="1" si="753"/>
        <v>0</v>
      </c>
      <c r="JR141" s="138">
        <f t="shared" ca="1" si="753"/>
        <v>0</v>
      </c>
      <c r="JS141" s="138">
        <f t="shared" ca="1" si="753"/>
        <v>0</v>
      </c>
      <c r="JT141" s="138">
        <f t="shared" ca="1" si="753"/>
        <v>0</v>
      </c>
      <c r="JU141" s="138">
        <f t="shared" ca="1" si="753"/>
        <v>0</v>
      </c>
      <c r="JV141" s="138">
        <f t="shared" ca="1" si="753"/>
        <v>0</v>
      </c>
      <c r="JW141" s="138">
        <f t="shared" ca="1" si="753"/>
        <v>0</v>
      </c>
      <c r="JX141" s="138">
        <f t="shared" ca="1" si="753"/>
        <v>0</v>
      </c>
      <c r="JY141" s="138">
        <f t="shared" ca="1" si="753"/>
        <v>0</v>
      </c>
      <c r="JZ141" s="138">
        <f t="shared" ca="1" si="753"/>
        <v>0</v>
      </c>
      <c r="KA141" s="138">
        <f t="shared" ca="1" si="753"/>
        <v>0</v>
      </c>
      <c r="KB141" s="138">
        <f t="shared" ca="1" si="753"/>
        <v>0</v>
      </c>
      <c r="KC141" s="138">
        <f t="shared" ca="1" si="753"/>
        <v>0</v>
      </c>
      <c r="KD141" s="138">
        <f t="shared" ca="1" si="753"/>
        <v>0</v>
      </c>
      <c r="KE141" s="138">
        <f t="shared" ca="1" si="753"/>
        <v>0</v>
      </c>
      <c r="KF141" s="138">
        <f t="shared" ca="1" si="753"/>
        <v>0</v>
      </c>
      <c r="KG141" s="138">
        <f t="shared" ca="1" si="753"/>
        <v>0</v>
      </c>
      <c r="KH141" s="138">
        <f t="shared" ca="1" si="753"/>
        <v>0</v>
      </c>
      <c r="KI141" s="138">
        <f t="shared" ca="1" si="753"/>
        <v>0</v>
      </c>
      <c r="KJ141" s="138">
        <f t="shared" ca="1" si="753"/>
        <v>0</v>
      </c>
      <c r="KK141" s="138">
        <f t="shared" ca="1" si="753"/>
        <v>0</v>
      </c>
      <c r="KL141" s="138">
        <f t="shared" ca="1" si="753"/>
        <v>0</v>
      </c>
      <c r="KM141" s="138">
        <f t="shared" ca="1" si="753"/>
        <v>0</v>
      </c>
      <c r="KN141" s="138">
        <f t="shared" ca="1" si="753"/>
        <v>0</v>
      </c>
      <c r="KO141" s="138">
        <f t="shared" ca="1" si="753"/>
        <v>0</v>
      </c>
      <c r="KP141" s="138">
        <f t="shared" ca="1" si="753"/>
        <v>0</v>
      </c>
      <c r="KQ141" s="138">
        <f t="shared" ca="1" si="753"/>
        <v>0</v>
      </c>
      <c r="KR141" s="138">
        <f t="shared" ca="1" si="753"/>
        <v>0</v>
      </c>
      <c r="KS141" s="138">
        <f t="shared" ca="1" si="753"/>
        <v>0</v>
      </c>
      <c r="KT141" s="138">
        <f t="shared" ca="1" si="753"/>
        <v>0</v>
      </c>
      <c r="KU141" s="138">
        <f t="shared" ca="1" si="753"/>
        <v>0</v>
      </c>
      <c r="KV141" s="138">
        <f t="shared" ca="1" si="753"/>
        <v>0</v>
      </c>
      <c r="KW141" s="138">
        <f t="shared" ca="1" si="753"/>
        <v>0</v>
      </c>
      <c r="KX141" s="138">
        <f t="shared" ca="1" si="753"/>
        <v>0</v>
      </c>
      <c r="KY141" s="138">
        <f t="shared" ca="1" si="753"/>
        <v>0</v>
      </c>
      <c r="KZ141" s="138">
        <f t="shared" ca="1" si="753"/>
        <v>0</v>
      </c>
      <c r="LA141" s="138">
        <f t="shared" ca="1" si="753"/>
        <v>0</v>
      </c>
      <c r="LB141" s="138">
        <f t="shared" ca="1" si="753"/>
        <v>0</v>
      </c>
      <c r="LC141" s="138">
        <f t="shared" ca="1" si="753"/>
        <v>0</v>
      </c>
      <c r="LD141" s="138">
        <f t="shared" ca="1" si="753"/>
        <v>0</v>
      </c>
      <c r="LE141" s="138">
        <f t="shared" ca="1" si="753"/>
        <v>0</v>
      </c>
      <c r="LF141" s="138">
        <f t="shared" ca="1" si="753"/>
        <v>0</v>
      </c>
      <c r="LG141" s="138">
        <f t="shared" ca="1" si="753"/>
        <v>0</v>
      </c>
      <c r="LH141" s="138">
        <f t="shared" ca="1" si="753"/>
        <v>0</v>
      </c>
      <c r="LI141" s="138">
        <f t="shared" ca="1" si="753"/>
        <v>0</v>
      </c>
      <c r="LJ141" s="138">
        <f t="shared" ca="1" si="753"/>
        <v>0</v>
      </c>
      <c r="LK141" s="138">
        <f t="shared" ca="1" si="753"/>
        <v>0</v>
      </c>
      <c r="LL141" s="138">
        <f t="shared" ca="1" si="753"/>
        <v>0</v>
      </c>
      <c r="LM141" s="138">
        <f t="shared" ca="1" si="753"/>
        <v>0</v>
      </c>
      <c r="LN141" s="138">
        <f t="shared" ref="LN141:NY141" ca="1" si="754">LN119</f>
        <v>0</v>
      </c>
      <c r="LO141" s="138">
        <f t="shared" ca="1" si="754"/>
        <v>0</v>
      </c>
      <c r="LP141" s="138">
        <f t="shared" ca="1" si="754"/>
        <v>0</v>
      </c>
      <c r="LQ141" s="138">
        <f t="shared" ca="1" si="754"/>
        <v>0</v>
      </c>
      <c r="LR141" s="138">
        <f t="shared" ca="1" si="754"/>
        <v>0</v>
      </c>
      <c r="LS141" s="138">
        <f t="shared" ca="1" si="754"/>
        <v>0</v>
      </c>
      <c r="LT141" s="138">
        <f t="shared" ca="1" si="754"/>
        <v>0</v>
      </c>
      <c r="LU141" s="138">
        <f t="shared" ca="1" si="754"/>
        <v>0</v>
      </c>
      <c r="LV141" s="138">
        <f t="shared" ca="1" si="754"/>
        <v>0</v>
      </c>
      <c r="LW141" s="138">
        <f t="shared" ca="1" si="754"/>
        <v>0</v>
      </c>
      <c r="LX141" s="138">
        <f t="shared" ca="1" si="754"/>
        <v>0</v>
      </c>
      <c r="LY141" s="138">
        <f t="shared" ca="1" si="754"/>
        <v>0</v>
      </c>
      <c r="LZ141" s="138">
        <f t="shared" ca="1" si="754"/>
        <v>0</v>
      </c>
      <c r="MA141" s="138">
        <f t="shared" ca="1" si="754"/>
        <v>0</v>
      </c>
      <c r="MB141" s="138">
        <f t="shared" ca="1" si="754"/>
        <v>0</v>
      </c>
      <c r="MC141" s="138">
        <f t="shared" ca="1" si="754"/>
        <v>0</v>
      </c>
      <c r="MD141" s="138">
        <f t="shared" ca="1" si="754"/>
        <v>0</v>
      </c>
      <c r="ME141" s="138">
        <f t="shared" ca="1" si="754"/>
        <v>0</v>
      </c>
      <c r="MF141" s="138">
        <f t="shared" ca="1" si="754"/>
        <v>0</v>
      </c>
      <c r="MG141" s="138">
        <f t="shared" ca="1" si="754"/>
        <v>0</v>
      </c>
      <c r="MH141" s="138">
        <f t="shared" ca="1" si="754"/>
        <v>0</v>
      </c>
      <c r="MI141" s="138">
        <f t="shared" ca="1" si="754"/>
        <v>0</v>
      </c>
      <c r="MJ141" s="138">
        <f t="shared" ca="1" si="754"/>
        <v>0</v>
      </c>
      <c r="MK141" s="138">
        <f t="shared" ca="1" si="754"/>
        <v>0</v>
      </c>
      <c r="ML141" s="138">
        <f t="shared" ca="1" si="754"/>
        <v>0</v>
      </c>
      <c r="MM141" s="138">
        <f t="shared" ca="1" si="754"/>
        <v>0</v>
      </c>
      <c r="MN141" s="138">
        <f t="shared" ca="1" si="754"/>
        <v>0</v>
      </c>
      <c r="MO141" s="138">
        <f t="shared" ca="1" si="754"/>
        <v>0</v>
      </c>
      <c r="MP141" s="138">
        <f t="shared" ca="1" si="754"/>
        <v>0</v>
      </c>
      <c r="MQ141" s="138">
        <f t="shared" ca="1" si="754"/>
        <v>0</v>
      </c>
      <c r="MR141" s="138">
        <f t="shared" ca="1" si="754"/>
        <v>0</v>
      </c>
      <c r="MS141" s="138">
        <f t="shared" ca="1" si="754"/>
        <v>0</v>
      </c>
      <c r="MT141" s="138">
        <f t="shared" ca="1" si="754"/>
        <v>0</v>
      </c>
      <c r="MU141" s="138">
        <f t="shared" ca="1" si="754"/>
        <v>0</v>
      </c>
      <c r="MV141" s="138">
        <f t="shared" ca="1" si="754"/>
        <v>0</v>
      </c>
      <c r="MW141" s="138">
        <f t="shared" ca="1" si="754"/>
        <v>0</v>
      </c>
      <c r="MX141" s="138">
        <f t="shared" ca="1" si="754"/>
        <v>0</v>
      </c>
      <c r="MY141" s="138">
        <f t="shared" ca="1" si="754"/>
        <v>0</v>
      </c>
      <c r="MZ141" s="138">
        <f t="shared" ca="1" si="754"/>
        <v>0</v>
      </c>
      <c r="NA141" s="138">
        <f t="shared" ca="1" si="754"/>
        <v>0</v>
      </c>
      <c r="NB141" s="138">
        <f t="shared" ca="1" si="754"/>
        <v>0</v>
      </c>
      <c r="NC141" s="138">
        <f t="shared" ca="1" si="754"/>
        <v>0</v>
      </c>
      <c r="ND141" s="138">
        <f t="shared" ca="1" si="754"/>
        <v>0</v>
      </c>
      <c r="NE141" s="138">
        <f t="shared" ca="1" si="754"/>
        <v>0</v>
      </c>
      <c r="NF141" s="138">
        <f t="shared" ca="1" si="754"/>
        <v>0</v>
      </c>
      <c r="NG141" s="138">
        <f t="shared" ca="1" si="754"/>
        <v>0</v>
      </c>
      <c r="NH141" s="138">
        <f t="shared" ca="1" si="754"/>
        <v>0</v>
      </c>
      <c r="NI141" s="138">
        <f t="shared" ca="1" si="754"/>
        <v>0</v>
      </c>
      <c r="NJ141" s="138">
        <f t="shared" ca="1" si="754"/>
        <v>0</v>
      </c>
      <c r="NK141" s="138">
        <f t="shared" ca="1" si="754"/>
        <v>0</v>
      </c>
      <c r="NL141" s="138">
        <f t="shared" ca="1" si="754"/>
        <v>0</v>
      </c>
      <c r="NM141" s="138">
        <f t="shared" ca="1" si="754"/>
        <v>0</v>
      </c>
      <c r="NN141" s="138">
        <f t="shared" ca="1" si="754"/>
        <v>0</v>
      </c>
      <c r="NO141" s="138">
        <f t="shared" ca="1" si="754"/>
        <v>0</v>
      </c>
      <c r="NP141" s="138">
        <f t="shared" ca="1" si="754"/>
        <v>0</v>
      </c>
      <c r="NQ141" s="138">
        <f t="shared" ca="1" si="754"/>
        <v>0</v>
      </c>
      <c r="NR141" s="138">
        <f t="shared" ca="1" si="754"/>
        <v>0</v>
      </c>
      <c r="NS141" s="138">
        <f t="shared" ca="1" si="754"/>
        <v>0</v>
      </c>
      <c r="NT141" s="138">
        <f t="shared" ca="1" si="754"/>
        <v>0</v>
      </c>
      <c r="NU141" s="138">
        <f t="shared" ca="1" si="754"/>
        <v>0</v>
      </c>
      <c r="NV141" s="138">
        <f t="shared" ca="1" si="754"/>
        <v>0</v>
      </c>
      <c r="NW141" s="138">
        <f t="shared" ca="1" si="754"/>
        <v>0</v>
      </c>
      <c r="NX141" s="138">
        <f t="shared" ca="1" si="754"/>
        <v>0</v>
      </c>
      <c r="NY141" s="138">
        <f t="shared" ca="1" si="754"/>
        <v>0</v>
      </c>
      <c r="NZ141" s="138">
        <f t="shared" ref="NZ141:QK141" ca="1" si="755">NZ119</f>
        <v>0</v>
      </c>
      <c r="OA141" s="138">
        <f t="shared" ca="1" si="755"/>
        <v>0</v>
      </c>
      <c r="OB141" s="138">
        <f t="shared" ca="1" si="755"/>
        <v>0</v>
      </c>
      <c r="OC141" s="138">
        <f t="shared" ca="1" si="755"/>
        <v>0</v>
      </c>
      <c r="OD141" s="138">
        <f t="shared" ca="1" si="755"/>
        <v>0</v>
      </c>
      <c r="OE141" s="138">
        <f t="shared" ca="1" si="755"/>
        <v>0</v>
      </c>
      <c r="OF141" s="138">
        <f t="shared" ca="1" si="755"/>
        <v>0</v>
      </c>
      <c r="OG141" s="138">
        <f t="shared" ca="1" si="755"/>
        <v>0</v>
      </c>
      <c r="OH141" s="138">
        <f t="shared" ca="1" si="755"/>
        <v>0</v>
      </c>
      <c r="OI141" s="138">
        <f t="shared" ca="1" si="755"/>
        <v>0</v>
      </c>
      <c r="OJ141" s="138">
        <f t="shared" ca="1" si="755"/>
        <v>0</v>
      </c>
      <c r="OK141" s="138">
        <f t="shared" ca="1" si="755"/>
        <v>0</v>
      </c>
      <c r="OL141" s="138">
        <f t="shared" ca="1" si="755"/>
        <v>0</v>
      </c>
      <c r="OM141" s="138">
        <f t="shared" ca="1" si="755"/>
        <v>0</v>
      </c>
      <c r="ON141" s="138">
        <f t="shared" ca="1" si="755"/>
        <v>0</v>
      </c>
      <c r="OO141" s="138">
        <f t="shared" ca="1" si="755"/>
        <v>0</v>
      </c>
      <c r="OP141" s="138">
        <f t="shared" ca="1" si="755"/>
        <v>0</v>
      </c>
      <c r="OQ141" s="138">
        <f t="shared" ca="1" si="755"/>
        <v>0</v>
      </c>
      <c r="OR141" s="138">
        <f t="shared" ca="1" si="755"/>
        <v>0</v>
      </c>
      <c r="OS141" s="138">
        <f t="shared" ca="1" si="755"/>
        <v>0</v>
      </c>
      <c r="OT141" s="138">
        <f t="shared" ca="1" si="755"/>
        <v>0</v>
      </c>
      <c r="OU141" s="138">
        <f t="shared" ca="1" si="755"/>
        <v>0</v>
      </c>
      <c r="OV141" s="138">
        <f t="shared" ca="1" si="755"/>
        <v>0</v>
      </c>
      <c r="OW141" s="138">
        <f t="shared" ca="1" si="755"/>
        <v>0</v>
      </c>
      <c r="OX141" s="138">
        <f t="shared" ca="1" si="755"/>
        <v>0</v>
      </c>
      <c r="OY141" s="138">
        <f t="shared" ca="1" si="755"/>
        <v>0</v>
      </c>
      <c r="OZ141" s="138">
        <f t="shared" ca="1" si="755"/>
        <v>0</v>
      </c>
      <c r="PA141" s="138">
        <f t="shared" ca="1" si="755"/>
        <v>0</v>
      </c>
      <c r="PB141" s="138">
        <f t="shared" ca="1" si="755"/>
        <v>0</v>
      </c>
      <c r="PC141" s="138">
        <f t="shared" ca="1" si="755"/>
        <v>0</v>
      </c>
      <c r="PD141" s="138">
        <f t="shared" ca="1" si="755"/>
        <v>0</v>
      </c>
      <c r="PE141" s="138">
        <f t="shared" ca="1" si="755"/>
        <v>0</v>
      </c>
      <c r="PF141" s="138">
        <f t="shared" ca="1" si="755"/>
        <v>0</v>
      </c>
      <c r="PG141" s="138">
        <f t="shared" ca="1" si="755"/>
        <v>0</v>
      </c>
      <c r="PH141" s="138">
        <f t="shared" ca="1" si="755"/>
        <v>0</v>
      </c>
      <c r="PI141" s="138">
        <f t="shared" ca="1" si="755"/>
        <v>0</v>
      </c>
      <c r="PJ141" s="138">
        <f t="shared" ca="1" si="755"/>
        <v>0</v>
      </c>
      <c r="PK141" s="138">
        <f t="shared" ca="1" si="755"/>
        <v>0</v>
      </c>
      <c r="PL141" s="138">
        <f t="shared" ca="1" si="755"/>
        <v>0</v>
      </c>
      <c r="PM141" s="138">
        <f t="shared" ca="1" si="755"/>
        <v>0</v>
      </c>
      <c r="PN141" s="138">
        <f t="shared" ca="1" si="755"/>
        <v>0</v>
      </c>
      <c r="PO141" s="138">
        <f t="shared" ca="1" si="755"/>
        <v>0</v>
      </c>
      <c r="PP141" s="138">
        <f t="shared" ca="1" si="755"/>
        <v>0</v>
      </c>
      <c r="PQ141" s="138">
        <f t="shared" ca="1" si="755"/>
        <v>0</v>
      </c>
      <c r="PR141" s="138">
        <f t="shared" ca="1" si="755"/>
        <v>0</v>
      </c>
      <c r="PS141" s="138">
        <f t="shared" ca="1" si="755"/>
        <v>0</v>
      </c>
      <c r="PT141" s="138">
        <f t="shared" ca="1" si="755"/>
        <v>0</v>
      </c>
      <c r="PU141" s="138">
        <f t="shared" ca="1" si="755"/>
        <v>0</v>
      </c>
      <c r="PV141" s="138">
        <f t="shared" ca="1" si="755"/>
        <v>0</v>
      </c>
      <c r="PW141" s="138">
        <f t="shared" ca="1" si="755"/>
        <v>0</v>
      </c>
      <c r="PX141" s="138">
        <f t="shared" ca="1" si="755"/>
        <v>0</v>
      </c>
      <c r="PY141" s="138">
        <f t="shared" ca="1" si="755"/>
        <v>0</v>
      </c>
      <c r="PZ141" s="138">
        <f t="shared" ca="1" si="755"/>
        <v>0</v>
      </c>
      <c r="QA141" s="138">
        <f t="shared" ca="1" si="755"/>
        <v>0</v>
      </c>
      <c r="QB141" s="138">
        <f t="shared" ca="1" si="755"/>
        <v>0</v>
      </c>
      <c r="QC141" s="138">
        <f t="shared" ca="1" si="755"/>
        <v>0</v>
      </c>
      <c r="QD141" s="138">
        <f t="shared" ca="1" si="755"/>
        <v>0</v>
      </c>
      <c r="QE141" s="138">
        <f t="shared" ca="1" si="755"/>
        <v>0</v>
      </c>
      <c r="QF141" s="138">
        <f t="shared" ca="1" si="755"/>
        <v>0</v>
      </c>
      <c r="QG141" s="138">
        <f t="shared" ca="1" si="755"/>
        <v>0</v>
      </c>
      <c r="QH141" s="138">
        <f t="shared" ca="1" si="755"/>
        <v>0</v>
      </c>
      <c r="QI141" s="138">
        <f t="shared" ca="1" si="755"/>
        <v>0</v>
      </c>
      <c r="QJ141" s="138">
        <f t="shared" ca="1" si="755"/>
        <v>0</v>
      </c>
      <c r="QK141" s="138">
        <f t="shared" ca="1" si="755"/>
        <v>0</v>
      </c>
      <c r="QL141" s="138">
        <f t="shared" ref="QL141:RR141" ca="1" si="756">QL119</f>
        <v>0</v>
      </c>
      <c r="QM141" s="138">
        <f t="shared" ca="1" si="756"/>
        <v>0</v>
      </c>
      <c r="QN141" s="138">
        <f t="shared" ca="1" si="756"/>
        <v>0</v>
      </c>
      <c r="QO141" s="138">
        <f t="shared" ca="1" si="756"/>
        <v>0</v>
      </c>
      <c r="QP141" s="138">
        <f t="shared" ca="1" si="756"/>
        <v>0</v>
      </c>
      <c r="QQ141" s="138">
        <f t="shared" ca="1" si="756"/>
        <v>0</v>
      </c>
      <c r="QR141" s="138">
        <f t="shared" ca="1" si="756"/>
        <v>0</v>
      </c>
      <c r="QS141" s="138">
        <f t="shared" ca="1" si="756"/>
        <v>0</v>
      </c>
      <c r="QT141" s="138">
        <f t="shared" ca="1" si="756"/>
        <v>0</v>
      </c>
      <c r="QU141" s="138">
        <f t="shared" ca="1" si="756"/>
        <v>0</v>
      </c>
      <c r="QV141" s="138">
        <f t="shared" ca="1" si="756"/>
        <v>0</v>
      </c>
      <c r="QW141" s="138">
        <f t="shared" ca="1" si="756"/>
        <v>0</v>
      </c>
      <c r="QX141" s="138">
        <f t="shared" ca="1" si="756"/>
        <v>0</v>
      </c>
      <c r="QY141" s="138">
        <f t="shared" ca="1" si="756"/>
        <v>0</v>
      </c>
      <c r="QZ141" s="138">
        <f t="shared" ca="1" si="756"/>
        <v>0</v>
      </c>
      <c r="RA141" s="138">
        <f t="shared" ca="1" si="756"/>
        <v>0</v>
      </c>
      <c r="RB141" s="138">
        <f t="shared" ca="1" si="756"/>
        <v>0</v>
      </c>
      <c r="RC141" s="138">
        <f t="shared" ca="1" si="756"/>
        <v>0</v>
      </c>
      <c r="RD141" s="138">
        <f t="shared" ca="1" si="756"/>
        <v>0</v>
      </c>
      <c r="RE141" s="138">
        <f t="shared" ca="1" si="756"/>
        <v>0</v>
      </c>
      <c r="RF141" s="138">
        <f t="shared" ca="1" si="756"/>
        <v>0</v>
      </c>
      <c r="RG141" s="138">
        <f t="shared" ca="1" si="756"/>
        <v>0</v>
      </c>
      <c r="RH141" s="138">
        <f t="shared" ca="1" si="756"/>
        <v>0</v>
      </c>
      <c r="RI141" s="138">
        <f t="shared" ca="1" si="756"/>
        <v>0</v>
      </c>
      <c r="RJ141" s="138">
        <f t="shared" ca="1" si="756"/>
        <v>0</v>
      </c>
      <c r="RK141" s="138">
        <f t="shared" ca="1" si="756"/>
        <v>0</v>
      </c>
      <c r="RL141" s="138">
        <f t="shared" ca="1" si="756"/>
        <v>0</v>
      </c>
      <c r="RM141" s="138">
        <f t="shared" ca="1" si="756"/>
        <v>0</v>
      </c>
      <c r="RN141" s="138">
        <f t="shared" ca="1" si="756"/>
        <v>0</v>
      </c>
      <c r="RO141" s="138">
        <f t="shared" ca="1" si="756"/>
        <v>0</v>
      </c>
      <c r="RP141" s="138">
        <f t="shared" ca="1" si="756"/>
        <v>0</v>
      </c>
      <c r="RQ141" s="138">
        <f t="shared" ca="1" si="756"/>
        <v>0</v>
      </c>
      <c r="RR141" s="138">
        <f t="shared" ca="1" si="756"/>
        <v>0</v>
      </c>
    </row>
    <row r="142" spans="1:486" s="9" customFormat="1">
      <c r="A142" s="137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  <c r="EW142" s="32"/>
      <c r="EX142" s="32"/>
      <c r="EY142" s="32"/>
      <c r="EZ142" s="32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2"/>
      <c r="IG142" s="32"/>
      <c r="IH142" s="32"/>
      <c r="II142" s="32"/>
      <c r="IJ142" s="32"/>
      <c r="IK142" s="32"/>
      <c r="IL142" s="32"/>
      <c r="IM142" s="32"/>
      <c r="IN142" s="32"/>
      <c r="IO142" s="32"/>
      <c r="IP142" s="32"/>
      <c r="IQ142" s="32"/>
      <c r="IR142" s="32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32"/>
      <c r="KP142" s="32"/>
      <c r="KQ142" s="32"/>
      <c r="KR142" s="32"/>
      <c r="KS142" s="32"/>
      <c r="KT142" s="32"/>
      <c r="KU142" s="32"/>
      <c r="KV142" s="32"/>
      <c r="KW142" s="32"/>
      <c r="KX142" s="32"/>
      <c r="KY142" s="32"/>
      <c r="KZ142" s="32"/>
      <c r="LA142" s="32"/>
      <c r="LB142" s="32"/>
      <c r="LC142" s="32"/>
      <c r="LD142" s="32"/>
      <c r="LE142" s="32"/>
      <c r="LF142" s="32"/>
      <c r="LG142" s="32"/>
      <c r="LH142" s="32"/>
      <c r="LI142" s="32"/>
      <c r="LJ142" s="32"/>
      <c r="LK142" s="32"/>
      <c r="LL142" s="32"/>
      <c r="LM142" s="32"/>
      <c r="LN142" s="32"/>
      <c r="LO142" s="32"/>
      <c r="LP142" s="32"/>
      <c r="LQ142" s="32"/>
      <c r="LR142" s="32"/>
      <c r="LS142" s="32"/>
      <c r="LT142" s="32"/>
      <c r="LU142" s="32"/>
      <c r="LV142" s="32"/>
      <c r="LW142" s="32"/>
      <c r="LX142" s="32"/>
      <c r="LY142" s="32"/>
      <c r="LZ142" s="32"/>
      <c r="MA142" s="32"/>
      <c r="MB142" s="32"/>
      <c r="MC142" s="32"/>
      <c r="MD142" s="32"/>
      <c r="ME142" s="32"/>
      <c r="MF142" s="32"/>
      <c r="MG142" s="32"/>
      <c r="MH142" s="32"/>
      <c r="MI142" s="32"/>
      <c r="MJ142" s="32"/>
      <c r="MK142" s="32"/>
      <c r="ML142" s="32"/>
      <c r="MM142" s="32"/>
      <c r="MN142" s="32"/>
      <c r="MO142" s="32"/>
      <c r="MP142" s="32"/>
      <c r="MQ142" s="32"/>
      <c r="MR142" s="32"/>
      <c r="MS142" s="32"/>
      <c r="MT142" s="32"/>
      <c r="MU142" s="32"/>
      <c r="MV142" s="32"/>
      <c r="MW142" s="32"/>
      <c r="MX142" s="32"/>
      <c r="MY142" s="32"/>
      <c r="MZ142" s="32"/>
      <c r="NA142" s="32"/>
      <c r="NB142" s="32"/>
      <c r="NC142" s="32"/>
      <c r="ND142" s="32"/>
      <c r="NE142" s="32"/>
      <c r="NF142" s="32"/>
      <c r="NG142" s="32"/>
      <c r="NH142" s="32"/>
      <c r="NI142" s="32"/>
      <c r="NJ142" s="32"/>
      <c r="NK142" s="32"/>
      <c r="NL142" s="32"/>
      <c r="NM142" s="32"/>
      <c r="NN142" s="32"/>
      <c r="NO142" s="32"/>
      <c r="NP142" s="32"/>
      <c r="NQ142" s="32"/>
      <c r="NR142" s="32"/>
      <c r="NS142" s="32"/>
      <c r="NT142" s="32"/>
      <c r="NU142" s="32"/>
      <c r="NV142" s="32"/>
      <c r="NW142" s="32"/>
      <c r="NX142" s="32"/>
      <c r="NY142" s="32"/>
      <c r="NZ142" s="32"/>
      <c r="OA142" s="32"/>
      <c r="OB142" s="32"/>
      <c r="OC142" s="32"/>
      <c r="OD142" s="32"/>
      <c r="OE142" s="32"/>
      <c r="OF142" s="32"/>
      <c r="OG142" s="32"/>
      <c r="OH142" s="32"/>
      <c r="OI142" s="32"/>
      <c r="OJ142" s="32"/>
      <c r="OK142" s="32"/>
      <c r="OL142" s="32"/>
      <c r="OM142" s="32"/>
      <c r="ON142" s="32"/>
      <c r="OO142" s="32"/>
      <c r="OP142" s="32"/>
      <c r="OQ142" s="32"/>
      <c r="OR142" s="32"/>
      <c r="OS142" s="32"/>
      <c r="OT142" s="32"/>
      <c r="OU142" s="32"/>
      <c r="OV142" s="32"/>
      <c r="OW142" s="32"/>
      <c r="OX142" s="32"/>
      <c r="OY142" s="32"/>
      <c r="OZ142" s="32"/>
      <c r="PA142" s="32"/>
      <c r="PB142" s="32"/>
      <c r="PC142" s="32"/>
      <c r="PD142" s="32"/>
      <c r="PE142" s="32"/>
      <c r="PF142" s="32"/>
      <c r="PG142" s="32"/>
      <c r="PH142" s="32"/>
      <c r="PI142" s="32"/>
      <c r="PJ142" s="32"/>
      <c r="PK142" s="32"/>
      <c r="PL142" s="32"/>
      <c r="PM142" s="32"/>
      <c r="PN142" s="32"/>
      <c r="PO142" s="32"/>
      <c r="PP142" s="32"/>
      <c r="PQ142" s="32"/>
      <c r="PR142" s="32"/>
      <c r="PS142" s="32"/>
      <c r="PT142" s="32"/>
      <c r="PU142" s="32"/>
      <c r="PV142" s="32"/>
      <c r="PW142" s="32"/>
      <c r="PX142" s="32"/>
      <c r="PY142" s="32"/>
      <c r="PZ142" s="32"/>
      <c r="QA142" s="32"/>
      <c r="QB142" s="32"/>
      <c r="QC142" s="32"/>
      <c r="QD142" s="32"/>
      <c r="QE142" s="32"/>
      <c r="QF142" s="32"/>
      <c r="QG142" s="32"/>
      <c r="QH142" s="32"/>
      <c r="QI142" s="32"/>
      <c r="QJ142" s="32"/>
      <c r="QK142" s="32"/>
      <c r="QL142" s="32"/>
      <c r="QM142" s="32"/>
      <c r="QN142" s="32"/>
      <c r="QO142" s="32"/>
      <c r="QP142" s="32"/>
      <c r="QQ142" s="32"/>
      <c r="QR142" s="32"/>
      <c r="QS142" s="32"/>
      <c r="QT142" s="32"/>
      <c r="QU142" s="32"/>
      <c r="QV142" s="32"/>
      <c r="QW142" s="32"/>
      <c r="QX142" s="32"/>
      <c r="QY142" s="32"/>
      <c r="QZ142" s="32"/>
      <c r="RA142" s="32"/>
      <c r="RB142" s="32"/>
      <c r="RC142" s="32"/>
      <c r="RD142" s="32"/>
      <c r="RE142" s="32"/>
      <c r="RF142" s="32"/>
      <c r="RG142" s="32"/>
      <c r="RH142" s="32"/>
      <c r="RI142" s="32"/>
      <c r="RJ142" s="32"/>
      <c r="RK142" s="32"/>
      <c r="RL142" s="32"/>
      <c r="RM142" s="32"/>
      <c r="RN142" s="32"/>
      <c r="RO142" s="32"/>
      <c r="RP142" s="32"/>
      <c r="RQ142" s="32"/>
      <c r="RR142" s="32"/>
    </row>
    <row r="143" spans="1:486" s="9" customFormat="1">
      <c r="A143" s="137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  <c r="EW143" s="32"/>
      <c r="EX143" s="32"/>
      <c r="EY143" s="32"/>
      <c r="EZ143" s="32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/>
      <c r="FR143" s="32"/>
      <c r="FS143" s="32"/>
      <c r="FT143" s="32"/>
      <c r="FU143" s="32"/>
      <c r="FV143" s="32"/>
      <c r="FW143" s="32"/>
      <c r="FX143" s="32"/>
      <c r="FY143" s="32"/>
      <c r="FZ143" s="32"/>
      <c r="GA143" s="32"/>
      <c r="GB143" s="32"/>
      <c r="GC143" s="32"/>
      <c r="GD143" s="32"/>
      <c r="GE143" s="32"/>
      <c r="GF143" s="32"/>
      <c r="GG143" s="32"/>
      <c r="GH143" s="32"/>
      <c r="GI143" s="32"/>
      <c r="GJ143" s="32"/>
      <c r="GK143" s="32"/>
      <c r="GL143" s="32"/>
      <c r="GM143" s="32"/>
      <c r="GN143" s="32"/>
      <c r="GO143" s="32"/>
      <c r="GP143" s="32"/>
      <c r="GQ143" s="32"/>
      <c r="GR143" s="32"/>
      <c r="GS143" s="32"/>
      <c r="GT143" s="32"/>
      <c r="GU143" s="32"/>
      <c r="GV143" s="32"/>
      <c r="GW143" s="32"/>
      <c r="GX143" s="32"/>
      <c r="GY143" s="32"/>
      <c r="GZ143" s="32"/>
      <c r="HA143" s="32"/>
      <c r="HB143" s="32"/>
      <c r="HC143" s="32"/>
      <c r="HD143" s="32"/>
      <c r="HE143" s="32"/>
      <c r="HF143" s="32"/>
      <c r="HG143" s="32"/>
      <c r="HH143" s="32"/>
      <c r="HI143" s="32"/>
      <c r="HJ143" s="32"/>
      <c r="HK143" s="32"/>
      <c r="HL143" s="32"/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2"/>
      <c r="IG143" s="32"/>
      <c r="IH143" s="32"/>
      <c r="II143" s="32"/>
      <c r="IJ143" s="32"/>
      <c r="IK143" s="32"/>
      <c r="IL143" s="32"/>
      <c r="IM143" s="32"/>
      <c r="IN143" s="32"/>
      <c r="IO143" s="32"/>
      <c r="IP143" s="32"/>
      <c r="IQ143" s="32"/>
      <c r="IR143" s="32"/>
      <c r="IS143" s="32"/>
      <c r="IT143" s="32"/>
      <c r="IU143" s="32"/>
      <c r="IV143" s="32"/>
      <c r="IW143" s="32"/>
      <c r="IX143" s="32"/>
      <c r="IY143" s="32"/>
      <c r="IZ143" s="32"/>
      <c r="JA143" s="32"/>
      <c r="JB143" s="32"/>
      <c r="JC143" s="32"/>
      <c r="JD143" s="32"/>
      <c r="JE143" s="32"/>
      <c r="JF143" s="32"/>
      <c r="JG143" s="32"/>
      <c r="JH143" s="32"/>
      <c r="JI143" s="32"/>
      <c r="JJ143" s="32"/>
      <c r="JK143" s="32"/>
      <c r="JL143" s="32"/>
      <c r="JM143" s="32"/>
      <c r="JN143" s="32"/>
      <c r="JO143" s="32"/>
      <c r="JP143" s="32"/>
      <c r="JQ143" s="32"/>
      <c r="JR143" s="32"/>
      <c r="JS143" s="32"/>
      <c r="JT143" s="32"/>
      <c r="JU143" s="32"/>
      <c r="JV143" s="32"/>
      <c r="JW143" s="32"/>
      <c r="JX143" s="32"/>
      <c r="JY143" s="32"/>
      <c r="JZ143" s="32"/>
      <c r="KA143" s="32"/>
      <c r="KB143" s="32"/>
      <c r="KC143" s="32"/>
      <c r="KD143" s="32"/>
      <c r="KE143" s="32"/>
      <c r="KF143" s="32"/>
      <c r="KG143" s="32"/>
      <c r="KH143" s="32"/>
      <c r="KI143" s="32"/>
      <c r="KJ143" s="32"/>
      <c r="KK143" s="32"/>
      <c r="KL143" s="32"/>
      <c r="KM143" s="32"/>
      <c r="KN143" s="32"/>
      <c r="KO143" s="32"/>
      <c r="KP143" s="32"/>
      <c r="KQ143" s="32"/>
      <c r="KR143" s="32"/>
      <c r="KS143" s="32"/>
      <c r="KT143" s="32"/>
      <c r="KU143" s="32"/>
      <c r="KV143" s="32"/>
      <c r="KW143" s="32"/>
      <c r="KX143" s="32"/>
      <c r="KY143" s="32"/>
      <c r="KZ143" s="32"/>
      <c r="LA143" s="32"/>
      <c r="LB143" s="32"/>
      <c r="LC143" s="32"/>
      <c r="LD143" s="32"/>
      <c r="LE143" s="32"/>
      <c r="LF143" s="32"/>
      <c r="LG143" s="32"/>
      <c r="LH143" s="32"/>
      <c r="LI143" s="32"/>
      <c r="LJ143" s="32"/>
      <c r="LK143" s="32"/>
      <c r="LL143" s="32"/>
      <c r="LM143" s="32"/>
      <c r="LN143" s="32"/>
      <c r="LO143" s="32"/>
      <c r="LP143" s="32"/>
      <c r="LQ143" s="32"/>
      <c r="LR143" s="32"/>
      <c r="LS143" s="32"/>
      <c r="LT143" s="32"/>
      <c r="LU143" s="32"/>
      <c r="LV143" s="32"/>
      <c r="LW143" s="32"/>
      <c r="LX143" s="32"/>
      <c r="LY143" s="32"/>
      <c r="LZ143" s="32"/>
      <c r="MA143" s="32"/>
      <c r="MB143" s="32"/>
      <c r="MC143" s="32"/>
      <c r="MD143" s="32"/>
      <c r="ME143" s="32"/>
      <c r="MF143" s="32"/>
      <c r="MG143" s="32"/>
      <c r="MH143" s="32"/>
      <c r="MI143" s="32"/>
      <c r="MJ143" s="32"/>
      <c r="MK143" s="32"/>
      <c r="ML143" s="32"/>
      <c r="MM143" s="32"/>
      <c r="MN143" s="32"/>
      <c r="MO143" s="32"/>
      <c r="MP143" s="32"/>
      <c r="MQ143" s="32"/>
      <c r="MR143" s="32"/>
      <c r="MS143" s="32"/>
      <c r="MT143" s="32"/>
      <c r="MU143" s="32"/>
      <c r="MV143" s="32"/>
      <c r="MW143" s="32"/>
      <c r="MX143" s="32"/>
      <c r="MY143" s="32"/>
      <c r="MZ143" s="32"/>
      <c r="NA143" s="32"/>
      <c r="NB143" s="32"/>
      <c r="NC143" s="32"/>
      <c r="ND143" s="32"/>
      <c r="NE143" s="32"/>
      <c r="NF143" s="32"/>
      <c r="NG143" s="32"/>
      <c r="NH143" s="32"/>
      <c r="NI143" s="32"/>
      <c r="NJ143" s="32"/>
      <c r="NK143" s="32"/>
      <c r="NL143" s="32"/>
      <c r="NM143" s="32"/>
      <c r="NN143" s="32"/>
      <c r="NO143" s="32"/>
      <c r="NP143" s="32"/>
      <c r="NQ143" s="32"/>
      <c r="NR143" s="32"/>
      <c r="NS143" s="32"/>
      <c r="NT143" s="32"/>
      <c r="NU143" s="32"/>
      <c r="NV143" s="32"/>
      <c r="NW143" s="32"/>
      <c r="NX143" s="32"/>
      <c r="NY143" s="32"/>
      <c r="NZ143" s="32"/>
      <c r="OA143" s="32"/>
      <c r="OB143" s="32"/>
      <c r="OC143" s="32"/>
      <c r="OD143" s="32"/>
      <c r="OE143" s="32"/>
      <c r="OF143" s="32"/>
      <c r="OG143" s="32"/>
      <c r="OH143" s="32"/>
      <c r="OI143" s="32"/>
      <c r="OJ143" s="32"/>
      <c r="OK143" s="32"/>
      <c r="OL143" s="32"/>
      <c r="OM143" s="32"/>
      <c r="ON143" s="32"/>
      <c r="OO143" s="32"/>
      <c r="OP143" s="32"/>
      <c r="OQ143" s="32"/>
      <c r="OR143" s="32"/>
      <c r="OS143" s="32"/>
      <c r="OT143" s="32"/>
      <c r="OU143" s="32"/>
      <c r="OV143" s="32"/>
      <c r="OW143" s="32"/>
      <c r="OX143" s="32"/>
      <c r="OY143" s="32"/>
      <c r="OZ143" s="32"/>
      <c r="PA143" s="32"/>
      <c r="PB143" s="32"/>
      <c r="PC143" s="32"/>
      <c r="PD143" s="32"/>
      <c r="PE143" s="32"/>
      <c r="PF143" s="32"/>
      <c r="PG143" s="32"/>
      <c r="PH143" s="32"/>
      <c r="PI143" s="32"/>
      <c r="PJ143" s="32"/>
      <c r="PK143" s="32"/>
      <c r="PL143" s="32"/>
      <c r="PM143" s="32"/>
      <c r="PN143" s="32"/>
      <c r="PO143" s="32"/>
      <c r="PP143" s="32"/>
      <c r="PQ143" s="32"/>
      <c r="PR143" s="32"/>
      <c r="PS143" s="32"/>
      <c r="PT143" s="32"/>
      <c r="PU143" s="32"/>
      <c r="PV143" s="32"/>
      <c r="PW143" s="32"/>
      <c r="PX143" s="32"/>
      <c r="PY143" s="32"/>
      <c r="PZ143" s="32"/>
      <c r="QA143" s="32"/>
      <c r="QB143" s="32"/>
      <c r="QC143" s="32"/>
      <c r="QD143" s="32"/>
      <c r="QE143" s="32"/>
      <c r="QF143" s="32"/>
      <c r="QG143" s="32"/>
      <c r="QH143" s="32"/>
      <c r="QI143" s="32"/>
      <c r="QJ143" s="32"/>
      <c r="QK143" s="32"/>
      <c r="QL143" s="32"/>
      <c r="QM143" s="32"/>
      <c r="QN143" s="32"/>
      <c r="QO143" s="32"/>
      <c r="QP143" s="32"/>
      <c r="QQ143" s="32"/>
      <c r="QR143" s="32"/>
      <c r="QS143" s="32"/>
      <c r="QT143" s="32"/>
      <c r="QU143" s="32"/>
      <c r="QV143" s="32"/>
      <c r="QW143" s="32"/>
      <c r="QX143" s="32"/>
      <c r="QY143" s="32"/>
      <c r="QZ143" s="32"/>
      <c r="RA143" s="32"/>
      <c r="RB143" s="32"/>
      <c r="RC143" s="32"/>
      <c r="RD143" s="32"/>
      <c r="RE143" s="32"/>
      <c r="RF143" s="32"/>
      <c r="RG143" s="32"/>
      <c r="RH143" s="32"/>
      <c r="RI143" s="32"/>
      <c r="RJ143" s="32"/>
      <c r="RK143" s="32"/>
      <c r="RL143" s="32"/>
      <c r="RM143" s="32"/>
      <c r="RN143" s="32"/>
      <c r="RO143" s="32"/>
      <c r="RP143" s="32"/>
      <c r="RQ143" s="32"/>
      <c r="RR143" s="32"/>
    </row>
    <row r="144" spans="1:486" s="9" customFormat="1">
      <c r="A144" s="137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  <c r="EW144" s="32"/>
      <c r="EX144" s="32"/>
      <c r="EY144" s="32"/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/>
      <c r="GB144" s="32"/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2"/>
      <c r="IG144" s="32"/>
      <c r="IH144" s="32"/>
      <c r="II144" s="32"/>
      <c r="IJ144" s="32"/>
      <c r="IK144" s="32"/>
      <c r="IL144" s="32"/>
      <c r="IM144" s="32"/>
      <c r="IN144" s="32"/>
      <c r="IO144" s="32"/>
      <c r="IP144" s="32"/>
      <c r="IQ144" s="32"/>
      <c r="IR144" s="32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/>
      <c r="JP144" s="32"/>
      <c r="JQ144" s="32"/>
      <c r="JR144" s="32"/>
      <c r="JS144" s="32"/>
      <c r="JT144" s="32"/>
      <c r="JU144" s="32"/>
      <c r="JV144" s="32"/>
      <c r="JW144" s="32"/>
      <c r="JX144" s="32"/>
      <c r="JY144" s="32"/>
      <c r="JZ144" s="32"/>
      <c r="KA144" s="32"/>
      <c r="KB144" s="32"/>
      <c r="KC144" s="32"/>
      <c r="KD144" s="32"/>
      <c r="KE144" s="32"/>
      <c r="KF144" s="32"/>
      <c r="KG144" s="32"/>
      <c r="KH144" s="32"/>
      <c r="KI144" s="32"/>
      <c r="KJ144" s="32"/>
      <c r="KK144" s="32"/>
      <c r="KL144" s="32"/>
      <c r="KM144" s="32"/>
      <c r="KN144" s="32"/>
      <c r="KO144" s="32"/>
      <c r="KP144" s="32"/>
      <c r="KQ144" s="32"/>
      <c r="KR144" s="32"/>
      <c r="KS144" s="32"/>
      <c r="KT144" s="32"/>
      <c r="KU144" s="32"/>
      <c r="KV144" s="32"/>
      <c r="KW144" s="32"/>
      <c r="KX144" s="32"/>
      <c r="KY144" s="32"/>
      <c r="KZ144" s="32"/>
      <c r="LA144" s="32"/>
      <c r="LB144" s="32"/>
      <c r="LC144" s="32"/>
      <c r="LD144" s="32"/>
      <c r="LE144" s="32"/>
      <c r="LF144" s="32"/>
      <c r="LG144" s="32"/>
      <c r="LH144" s="32"/>
      <c r="LI144" s="32"/>
      <c r="LJ144" s="32"/>
      <c r="LK144" s="32"/>
      <c r="LL144" s="32"/>
      <c r="LM144" s="32"/>
      <c r="LN144" s="32"/>
      <c r="LO144" s="32"/>
      <c r="LP144" s="32"/>
      <c r="LQ144" s="32"/>
      <c r="LR144" s="32"/>
      <c r="LS144" s="32"/>
      <c r="LT144" s="32"/>
      <c r="LU144" s="32"/>
      <c r="LV144" s="32"/>
      <c r="LW144" s="32"/>
      <c r="LX144" s="32"/>
      <c r="LY144" s="32"/>
      <c r="LZ144" s="32"/>
      <c r="MA144" s="32"/>
      <c r="MB144" s="32"/>
      <c r="MC144" s="32"/>
      <c r="MD144" s="32"/>
      <c r="ME144" s="32"/>
      <c r="MF144" s="32"/>
      <c r="MG144" s="32"/>
      <c r="MH144" s="32"/>
      <c r="MI144" s="32"/>
      <c r="MJ144" s="32"/>
      <c r="MK144" s="32"/>
      <c r="ML144" s="32"/>
      <c r="MM144" s="32"/>
      <c r="MN144" s="32"/>
      <c r="MO144" s="32"/>
      <c r="MP144" s="32"/>
      <c r="MQ144" s="32"/>
      <c r="MR144" s="32"/>
      <c r="MS144" s="32"/>
      <c r="MT144" s="32"/>
      <c r="MU144" s="32"/>
      <c r="MV144" s="32"/>
      <c r="MW144" s="32"/>
      <c r="MX144" s="32"/>
      <c r="MY144" s="32"/>
      <c r="MZ144" s="32"/>
      <c r="NA144" s="32"/>
      <c r="NB144" s="32"/>
      <c r="NC144" s="32"/>
      <c r="ND144" s="32"/>
      <c r="NE144" s="32"/>
      <c r="NF144" s="32"/>
      <c r="NG144" s="32"/>
      <c r="NH144" s="32"/>
      <c r="NI144" s="32"/>
      <c r="NJ144" s="32"/>
      <c r="NK144" s="32"/>
      <c r="NL144" s="32"/>
      <c r="NM144" s="32"/>
      <c r="NN144" s="32"/>
      <c r="NO144" s="32"/>
      <c r="NP144" s="32"/>
      <c r="NQ144" s="32"/>
      <c r="NR144" s="32"/>
      <c r="NS144" s="32"/>
      <c r="NT144" s="32"/>
      <c r="NU144" s="32"/>
      <c r="NV144" s="32"/>
      <c r="NW144" s="32"/>
      <c r="NX144" s="32"/>
      <c r="NY144" s="32"/>
      <c r="NZ144" s="32"/>
      <c r="OA144" s="32"/>
      <c r="OB144" s="32"/>
      <c r="OC144" s="32"/>
      <c r="OD144" s="32"/>
      <c r="OE144" s="32"/>
      <c r="OF144" s="32"/>
      <c r="OG144" s="32"/>
      <c r="OH144" s="32"/>
      <c r="OI144" s="32"/>
      <c r="OJ144" s="32"/>
      <c r="OK144" s="32"/>
      <c r="OL144" s="32"/>
      <c r="OM144" s="32"/>
      <c r="ON144" s="32"/>
      <c r="OO144" s="32"/>
      <c r="OP144" s="32"/>
      <c r="OQ144" s="32"/>
      <c r="OR144" s="32"/>
      <c r="OS144" s="32"/>
      <c r="OT144" s="32"/>
      <c r="OU144" s="32"/>
      <c r="OV144" s="32"/>
      <c r="OW144" s="32"/>
      <c r="OX144" s="32"/>
      <c r="OY144" s="32"/>
      <c r="OZ144" s="32"/>
      <c r="PA144" s="32"/>
      <c r="PB144" s="32"/>
      <c r="PC144" s="32"/>
      <c r="PD144" s="32"/>
      <c r="PE144" s="32"/>
      <c r="PF144" s="32"/>
      <c r="PG144" s="32"/>
      <c r="PH144" s="32"/>
      <c r="PI144" s="32"/>
      <c r="PJ144" s="32"/>
      <c r="PK144" s="32"/>
      <c r="PL144" s="32"/>
      <c r="PM144" s="32"/>
      <c r="PN144" s="32"/>
      <c r="PO144" s="32"/>
      <c r="PP144" s="32"/>
      <c r="PQ144" s="32"/>
      <c r="PR144" s="32"/>
      <c r="PS144" s="32"/>
      <c r="PT144" s="32"/>
      <c r="PU144" s="32"/>
      <c r="PV144" s="32"/>
      <c r="PW144" s="32"/>
      <c r="PX144" s="32"/>
      <c r="PY144" s="32"/>
      <c r="PZ144" s="32"/>
      <c r="QA144" s="32"/>
      <c r="QB144" s="32"/>
      <c r="QC144" s="32"/>
      <c r="QD144" s="32"/>
      <c r="QE144" s="32"/>
      <c r="QF144" s="32"/>
      <c r="QG144" s="32"/>
      <c r="QH144" s="32"/>
      <c r="QI144" s="32"/>
      <c r="QJ144" s="32"/>
      <c r="QK144" s="32"/>
      <c r="QL144" s="32"/>
      <c r="QM144" s="32"/>
      <c r="QN144" s="32"/>
      <c r="QO144" s="32"/>
      <c r="QP144" s="32"/>
      <c r="QQ144" s="32"/>
      <c r="QR144" s="32"/>
      <c r="QS144" s="32"/>
      <c r="QT144" s="32"/>
      <c r="QU144" s="32"/>
      <c r="QV144" s="32"/>
      <c r="QW144" s="32"/>
      <c r="QX144" s="32"/>
      <c r="QY144" s="32"/>
      <c r="QZ144" s="32"/>
      <c r="RA144" s="32"/>
      <c r="RB144" s="32"/>
      <c r="RC144" s="32"/>
      <c r="RD144" s="32"/>
      <c r="RE144" s="32"/>
      <c r="RF144" s="32"/>
      <c r="RG144" s="32"/>
      <c r="RH144" s="32"/>
      <c r="RI144" s="32"/>
      <c r="RJ144" s="32"/>
      <c r="RK144" s="32"/>
      <c r="RL144" s="32"/>
      <c r="RM144" s="32"/>
      <c r="RN144" s="32"/>
      <c r="RO144" s="32"/>
      <c r="RP144" s="32"/>
      <c r="RQ144" s="32"/>
      <c r="RR144" s="32"/>
    </row>
    <row r="145" spans="1:486" s="9" customFormat="1">
      <c r="A145" s="137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/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2"/>
      <c r="IG145" s="32"/>
      <c r="IH145" s="32"/>
      <c r="II145" s="32"/>
      <c r="IJ145" s="32"/>
      <c r="IK145" s="32"/>
      <c r="IL145" s="32"/>
      <c r="IM145" s="32"/>
      <c r="IN145" s="32"/>
      <c r="IO145" s="32"/>
      <c r="IP145" s="32"/>
      <c r="IQ145" s="32"/>
      <c r="IR145" s="32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/>
      <c r="JK145" s="32"/>
      <c r="JL145" s="32"/>
      <c r="JM145" s="32"/>
      <c r="JN145" s="32"/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/>
      <c r="KC145" s="32"/>
      <c r="KD145" s="32"/>
      <c r="KE145" s="32"/>
      <c r="KF145" s="32"/>
      <c r="KG145" s="32"/>
      <c r="KH145" s="32"/>
      <c r="KI145" s="32"/>
      <c r="KJ145" s="32"/>
      <c r="KK145" s="32"/>
      <c r="KL145" s="32"/>
      <c r="KM145" s="32"/>
      <c r="KN145" s="32"/>
      <c r="KO145" s="32"/>
      <c r="KP145" s="32"/>
      <c r="KQ145" s="32"/>
      <c r="KR145" s="32"/>
      <c r="KS145" s="32"/>
      <c r="KT145" s="32"/>
      <c r="KU145" s="32"/>
      <c r="KV145" s="32"/>
      <c r="KW145" s="32"/>
      <c r="KX145" s="32"/>
      <c r="KY145" s="32"/>
      <c r="KZ145" s="32"/>
      <c r="LA145" s="32"/>
      <c r="LB145" s="32"/>
      <c r="LC145" s="32"/>
      <c r="LD145" s="32"/>
      <c r="LE145" s="32"/>
      <c r="LF145" s="32"/>
      <c r="LG145" s="32"/>
      <c r="LH145" s="32"/>
      <c r="LI145" s="32"/>
      <c r="LJ145" s="32"/>
      <c r="LK145" s="32"/>
      <c r="LL145" s="32"/>
      <c r="LM145" s="32"/>
      <c r="LN145" s="32"/>
      <c r="LO145" s="32"/>
      <c r="LP145" s="32"/>
      <c r="LQ145" s="32"/>
      <c r="LR145" s="32"/>
      <c r="LS145" s="32"/>
      <c r="LT145" s="32"/>
      <c r="LU145" s="32"/>
      <c r="LV145" s="32"/>
      <c r="LW145" s="32"/>
      <c r="LX145" s="32"/>
      <c r="LY145" s="32"/>
      <c r="LZ145" s="32"/>
      <c r="MA145" s="32"/>
      <c r="MB145" s="32"/>
      <c r="MC145" s="32"/>
      <c r="MD145" s="32"/>
      <c r="ME145" s="32"/>
      <c r="MF145" s="32"/>
      <c r="MG145" s="32"/>
      <c r="MH145" s="32"/>
      <c r="MI145" s="32"/>
      <c r="MJ145" s="32"/>
      <c r="MK145" s="32"/>
      <c r="ML145" s="32"/>
      <c r="MM145" s="32"/>
      <c r="MN145" s="32"/>
      <c r="MO145" s="32"/>
      <c r="MP145" s="32"/>
      <c r="MQ145" s="32"/>
      <c r="MR145" s="32"/>
      <c r="MS145" s="32"/>
      <c r="MT145" s="32"/>
      <c r="MU145" s="32"/>
      <c r="MV145" s="32"/>
      <c r="MW145" s="32"/>
      <c r="MX145" s="32"/>
      <c r="MY145" s="32"/>
      <c r="MZ145" s="32"/>
      <c r="NA145" s="32"/>
      <c r="NB145" s="32"/>
      <c r="NC145" s="32"/>
      <c r="ND145" s="32"/>
      <c r="NE145" s="32"/>
      <c r="NF145" s="32"/>
      <c r="NG145" s="32"/>
      <c r="NH145" s="32"/>
      <c r="NI145" s="32"/>
      <c r="NJ145" s="32"/>
      <c r="NK145" s="32"/>
      <c r="NL145" s="32"/>
      <c r="NM145" s="32"/>
      <c r="NN145" s="32"/>
      <c r="NO145" s="32"/>
      <c r="NP145" s="32"/>
      <c r="NQ145" s="32"/>
      <c r="NR145" s="32"/>
      <c r="NS145" s="32"/>
      <c r="NT145" s="32"/>
      <c r="NU145" s="32"/>
      <c r="NV145" s="32"/>
      <c r="NW145" s="32"/>
      <c r="NX145" s="32"/>
      <c r="NY145" s="32"/>
      <c r="NZ145" s="32"/>
      <c r="OA145" s="32"/>
      <c r="OB145" s="32"/>
      <c r="OC145" s="32"/>
      <c r="OD145" s="32"/>
      <c r="OE145" s="32"/>
      <c r="OF145" s="32"/>
      <c r="OG145" s="32"/>
      <c r="OH145" s="32"/>
      <c r="OI145" s="32"/>
      <c r="OJ145" s="32"/>
      <c r="OK145" s="32"/>
      <c r="OL145" s="32"/>
      <c r="OM145" s="32"/>
      <c r="ON145" s="32"/>
      <c r="OO145" s="32"/>
      <c r="OP145" s="32"/>
      <c r="OQ145" s="32"/>
      <c r="OR145" s="32"/>
      <c r="OS145" s="32"/>
      <c r="OT145" s="32"/>
      <c r="OU145" s="32"/>
      <c r="OV145" s="32"/>
      <c r="OW145" s="32"/>
      <c r="OX145" s="32"/>
      <c r="OY145" s="32"/>
      <c r="OZ145" s="32"/>
      <c r="PA145" s="32"/>
      <c r="PB145" s="32"/>
      <c r="PC145" s="32"/>
      <c r="PD145" s="32"/>
      <c r="PE145" s="32"/>
      <c r="PF145" s="32"/>
      <c r="PG145" s="32"/>
      <c r="PH145" s="32"/>
      <c r="PI145" s="32"/>
      <c r="PJ145" s="32"/>
      <c r="PK145" s="32"/>
      <c r="PL145" s="32"/>
      <c r="PM145" s="32"/>
      <c r="PN145" s="32"/>
      <c r="PO145" s="32"/>
      <c r="PP145" s="32"/>
      <c r="PQ145" s="32"/>
      <c r="PR145" s="32"/>
      <c r="PS145" s="32"/>
      <c r="PT145" s="32"/>
      <c r="PU145" s="32"/>
      <c r="PV145" s="32"/>
      <c r="PW145" s="32"/>
      <c r="PX145" s="32"/>
      <c r="PY145" s="32"/>
      <c r="PZ145" s="32"/>
      <c r="QA145" s="32"/>
      <c r="QB145" s="32"/>
      <c r="QC145" s="32"/>
      <c r="QD145" s="32"/>
      <c r="QE145" s="32"/>
      <c r="QF145" s="32"/>
      <c r="QG145" s="32"/>
      <c r="QH145" s="32"/>
      <c r="QI145" s="32"/>
      <c r="QJ145" s="32"/>
      <c r="QK145" s="32"/>
      <c r="QL145" s="32"/>
      <c r="QM145" s="32"/>
      <c r="QN145" s="32"/>
      <c r="QO145" s="32"/>
      <c r="QP145" s="32"/>
      <c r="QQ145" s="32"/>
      <c r="QR145" s="32"/>
      <c r="QS145" s="32"/>
      <c r="QT145" s="32"/>
      <c r="QU145" s="32"/>
      <c r="QV145" s="32"/>
      <c r="QW145" s="32"/>
      <c r="QX145" s="32"/>
      <c r="QY145" s="32"/>
      <c r="QZ145" s="32"/>
      <c r="RA145" s="32"/>
      <c r="RB145" s="32"/>
      <c r="RC145" s="32"/>
      <c r="RD145" s="32"/>
      <c r="RE145" s="32"/>
      <c r="RF145" s="32"/>
      <c r="RG145" s="32"/>
      <c r="RH145" s="32"/>
      <c r="RI145" s="32"/>
      <c r="RJ145" s="32"/>
      <c r="RK145" s="32"/>
      <c r="RL145" s="32"/>
      <c r="RM145" s="32"/>
      <c r="RN145" s="32"/>
      <c r="RO145" s="32"/>
      <c r="RP145" s="32"/>
      <c r="RQ145" s="32"/>
      <c r="RR145" s="32"/>
    </row>
    <row r="146" spans="1:486" s="9" customFormat="1">
      <c r="A146" s="137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  <c r="EW146" s="32"/>
      <c r="EX146" s="32"/>
      <c r="EY146" s="32"/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32"/>
      <c r="GA146" s="32"/>
      <c r="GB146" s="32"/>
      <c r="GC146" s="32"/>
      <c r="GD146" s="32"/>
      <c r="GE146" s="32"/>
      <c r="GF146" s="32"/>
      <c r="GG146" s="32"/>
      <c r="GH146" s="32"/>
      <c r="GI146" s="32"/>
      <c r="GJ146" s="32"/>
      <c r="GK146" s="32"/>
      <c r="GL146" s="32"/>
      <c r="GM146" s="32"/>
      <c r="GN146" s="32"/>
      <c r="GO146" s="32"/>
      <c r="GP146" s="32"/>
      <c r="GQ146" s="32"/>
      <c r="GR146" s="32"/>
      <c r="GS146" s="32"/>
      <c r="GT146" s="32"/>
      <c r="GU146" s="32"/>
      <c r="GV146" s="32"/>
      <c r="GW146" s="32"/>
      <c r="GX146" s="32"/>
      <c r="GY146" s="32"/>
      <c r="GZ146" s="32"/>
      <c r="HA146" s="32"/>
      <c r="HB146" s="32"/>
      <c r="HC146" s="32"/>
      <c r="HD146" s="32"/>
      <c r="HE146" s="32"/>
      <c r="HF146" s="32"/>
      <c r="HG146" s="32"/>
      <c r="HH146" s="32"/>
      <c r="HI146" s="32"/>
      <c r="HJ146" s="32"/>
      <c r="HK146" s="32"/>
      <c r="HL146" s="32"/>
      <c r="HM146" s="32"/>
      <c r="HN146" s="32"/>
      <c r="HO146" s="32"/>
      <c r="HP146" s="32"/>
      <c r="HQ146" s="32"/>
      <c r="HR146" s="32"/>
      <c r="HS146" s="32"/>
      <c r="HT146" s="32"/>
      <c r="HU146" s="32"/>
      <c r="HV146" s="32"/>
      <c r="HW146" s="32"/>
      <c r="HX146" s="32"/>
      <c r="HY146" s="32"/>
      <c r="HZ146" s="32"/>
      <c r="IA146" s="32"/>
      <c r="IB146" s="32"/>
      <c r="IC146" s="32"/>
      <c r="ID146" s="32"/>
      <c r="IE146" s="32"/>
      <c r="IF146" s="32"/>
      <c r="IG146" s="32"/>
      <c r="IH146" s="32"/>
      <c r="II146" s="32"/>
      <c r="IJ146" s="32"/>
      <c r="IK146" s="32"/>
      <c r="IL146" s="32"/>
      <c r="IM146" s="32"/>
      <c r="IN146" s="32"/>
      <c r="IO146" s="32"/>
      <c r="IP146" s="32"/>
      <c r="IQ146" s="32"/>
      <c r="IR146" s="32"/>
      <c r="IS146" s="32"/>
      <c r="IT146" s="32"/>
      <c r="IU146" s="32"/>
      <c r="IV146" s="32"/>
      <c r="IW146" s="32"/>
      <c r="IX146" s="32"/>
      <c r="IY146" s="32"/>
      <c r="IZ146" s="32"/>
      <c r="JA146" s="32"/>
      <c r="JB146" s="32"/>
      <c r="JC146" s="32"/>
      <c r="JD146" s="32"/>
      <c r="JE146" s="32"/>
      <c r="JF146" s="32"/>
      <c r="JG146" s="32"/>
      <c r="JH146" s="32"/>
      <c r="JI146" s="32"/>
      <c r="JJ146" s="32"/>
      <c r="JK146" s="32"/>
      <c r="JL146" s="32"/>
      <c r="JM146" s="32"/>
      <c r="JN146" s="32"/>
      <c r="JO146" s="32"/>
      <c r="JP146" s="32"/>
      <c r="JQ146" s="32"/>
      <c r="JR146" s="32"/>
      <c r="JS146" s="32"/>
      <c r="JT146" s="32"/>
      <c r="JU146" s="32"/>
      <c r="JV146" s="32"/>
      <c r="JW146" s="32"/>
      <c r="JX146" s="32"/>
      <c r="JY146" s="32"/>
      <c r="JZ146" s="32"/>
      <c r="KA146" s="32"/>
      <c r="KB146" s="32"/>
      <c r="KC146" s="32"/>
      <c r="KD146" s="32"/>
      <c r="KE146" s="32"/>
      <c r="KF146" s="32"/>
      <c r="KG146" s="32"/>
      <c r="KH146" s="32"/>
      <c r="KI146" s="32"/>
      <c r="KJ146" s="32"/>
      <c r="KK146" s="32"/>
      <c r="KL146" s="32"/>
      <c r="KM146" s="32"/>
      <c r="KN146" s="32"/>
      <c r="KO146" s="32"/>
      <c r="KP146" s="32"/>
      <c r="KQ146" s="32"/>
      <c r="KR146" s="32"/>
      <c r="KS146" s="32"/>
      <c r="KT146" s="32"/>
      <c r="KU146" s="32"/>
      <c r="KV146" s="32"/>
      <c r="KW146" s="32"/>
      <c r="KX146" s="32"/>
      <c r="KY146" s="32"/>
      <c r="KZ146" s="32"/>
      <c r="LA146" s="32"/>
      <c r="LB146" s="32"/>
      <c r="LC146" s="32"/>
      <c r="LD146" s="32"/>
      <c r="LE146" s="32"/>
      <c r="LF146" s="32"/>
      <c r="LG146" s="32"/>
      <c r="LH146" s="32"/>
      <c r="LI146" s="32"/>
      <c r="LJ146" s="32"/>
      <c r="LK146" s="32"/>
      <c r="LL146" s="32"/>
      <c r="LM146" s="32"/>
      <c r="LN146" s="32"/>
      <c r="LO146" s="32"/>
      <c r="LP146" s="32"/>
      <c r="LQ146" s="32"/>
      <c r="LR146" s="32"/>
      <c r="LS146" s="32"/>
      <c r="LT146" s="32"/>
      <c r="LU146" s="32"/>
      <c r="LV146" s="32"/>
      <c r="LW146" s="32"/>
      <c r="LX146" s="32"/>
      <c r="LY146" s="32"/>
      <c r="LZ146" s="32"/>
      <c r="MA146" s="32"/>
      <c r="MB146" s="32"/>
      <c r="MC146" s="32"/>
      <c r="MD146" s="32"/>
      <c r="ME146" s="32"/>
      <c r="MF146" s="32"/>
      <c r="MG146" s="32"/>
      <c r="MH146" s="32"/>
      <c r="MI146" s="32"/>
      <c r="MJ146" s="32"/>
      <c r="MK146" s="32"/>
      <c r="ML146" s="32"/>
      <c r="MM146" s="32"/>
      <c r="MN146" s="32"/>
      <c r="MO146" s="32"/>
      <c r="MP146" s="32"/>
      <c r="MQ146" s="32"/>
      <c r="MR146" s="32"/>
      <c r="MS146" s="32"/>
      <c r="MT146" s="32"/>
      <c r="MU146" s="32"/>
      <c r="MV146" s="32"/>
      <c r="MW146" s="32"/>
      <c r="MX146" s="32"/>
      <c r="MY146" s="32"/>
      <c r="MZ146" s="32"/>
      <c r="NA146" s="32"/>
      <c r="NB146" s="32"/>
      <c r="NC146" s="32"/>
      <c r="ND146" s="32"/>
      <c r="NE146" s="32"/>
      <c r="NF146" s="32"/>
      <c r="NG146" s="32"/>
      <c r="NH146" s="32"/>
      <c r="NI146" s="32"/>
      <c r="NJ146" s="32"/>
      <c r="NK146" s="32"/>
      <c r="NL146" s="32"/>
      <c r="NM146" s="32"/>
      <c r="NN146" s="32"/>
      <c r="NO146" s="32"/>
      <c r="NP146" s="32"/>
      <c r="NQ146" s="32"/>
      <c r="NR146" s="32"/>
      <c r="NS146" s="32"/>
      <c r="NT146" s="32"/>
      <c r="NU146" s="32"/>
      <c r="NV146" s="32"/>
      <c r="NW146" s="32"/>
      <c r="NX146" s="32"/>
      <c r="NY146" s="32"/>
      <c r="NZ146" s="32"/>
      <c r="OA146" s="32"/>
      <c r="OB146" s="32"/>
      <c r="OC146" s="32"/>
      <c r="OD146" s="32"/>
      <c r="OE146" s="32"/>
      <c r="OF146" s="32"/>
      <c r="OG146" s="32"/>
      <c r="OH146" s="32"/>
      <c r="OI146" s="32"/>
      <c r="OJ146" s="32"/>
      <c r="OK146" s="32"/>
      <c r="OL146" s="32"/>
      <c r="OM146" s="32"/>
      <c r="ON146" s="32"/>
      <c r="OO146" s="32"/>
      <c r="OP146" s="32"/>
      <c r="OQ146" s="32"/>
      <c r="OR146" s="32"/>
      <c r="OS146" s="32"/>
      <c r="OT146" s="32"/>
      <c r="OU146" s="32"/>
      <c r="OV146" s="32"/>
      <c r="OW146" s="32"/>
      <c r="OX146" s="32"/>
      <c r="OY146" s="32"/>
      <c r="OZ146" s="32"/>
      <c r="PA146" s="32"/>
      <c r="PB146" s="32"/>
      <c r="PC146" s="32"/>
      <c r="PD146" s="32"/>
      <c r="PE146" s="32"/>
      <c r="PF146" s="32"/>
      <c r="PG146" s="32"/>
      <c r="PH146" s="32"/>
      <c r="PI146" s="32"/>
      <c r="PJ146" s="32"/>
      <c r="PK146" s="32"/>
      <c r="PL146" s="32"/>
      <c r="PM146" s="32"/>
      <c r="PN146" s="32"/>
      <c r="PO146" s="32"/>
      <c r="PP146" s="32"/>
      <c r="PQ146" s="32"/>
      <c r="PR146" s="32"/>
      <c r="PS146" s="32"/>
      <c r="PT146" s="32"/>
      <c r="PU146" s="32"/>
      <c r="PV146" s="32"/>
      <c r="PW146" s="32"/>
      <c r="PX146" s="32"/>
      <c r="PY146" s="32"/>
      <c r="PZ146" s="32"/>
      <c r="QA146" s="32"/>
      <c r="QB146" s="32"/>
      <c r="QC146" s="32"/>
      <c r="QD146" s="32"/>
      <c r="QE146" s="32"/>
      <c r="QF146" s="32"/>
      <c r="QG146" s="32"/>
      <c r="QH146" s="32"/>
      <c r="QI146" s="32"/>
      <c r="QJ146" s="32"/>
      <c r="QK146" s="32"/>
      <c r="QL146" s="32"/>
      <c r="QM146" s="32"/>
      <c r="QN146" s="32"/>
      <c r="QO146" s="32"/>
      <c r="QP146" s="32"/>
      <c r="QQ146" s="32"/>
      <c r="QR146" s="32"/>
      <c r="QS146" s="32"/>
      <c r="QT146" s="32"/>
      <c r="QU146" s="32"/>
      <c r="QV146" s="32"/>
      <c r="QW146" s="32"/>
      <c r="QX146" s="32"/>
      <c r="QY146" s="32"/>
      <c r="QZ146" s="32"/>
      <c r="RA146" s="32"/>
      <c r="RB146" s="32"/>
      <c r="RC146" s="32"/>
      <c r="RD146" s="32"/>
      <c r="RE146" s="32"/>
      <c r="RF146" s="32"/>
      <c r="RG146" s="32"/>
      <c r="RH146" s="32"/>
      <c r="RI146" s="32"/>
      <c r="RJ146" s="32"/>
      <c r="RK146" s="32"/>
      <c r="RL146" s="32"/>
      <c r="RM146" s="32"/>
      <c r="RN146" s="32"/>
      <c r="RO146" s="32"/>
      <c r="RP146" s="32"/>
      <c r="RQ146" s="32"/>
      <c r="RR146" s="32"/>
    </row>
    <row r="147" spans="1:486" s="9" customFormat="1">
      <c r="A147" s="137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/>
      <c r="HO147" s="32"/>
      <c r="HP147" s="32"/>
      <c r="HQ147" s="32"/>
      <c r="HR147" s="32"/>
      <c r="HS147" s="32"/>
      <c r="HT147" s="32"/>
      <c r="HU147" s="32"/>
      <c r="HV147" s="32"/>
      <c r="HW147" s="32"/>
      <c r="HX147" s="32"/>
      <c r="HY147" s="32"/>
      <c r="HZ147" s="32"/>
      <c r="IA147" s="32"/>
      <c r="IB147" s="32"/>
      <c r="IC147" s="32"/>
      <c r="ID147" s="32"/>
      <c r="IE147" s="32"/>
      <c r="IF147" s="32"/>
      <c r="IG147" s="32"/>
      <c r="IH147" s="32"/>
      <c r="II147" s="32"/>
      <c r="IJ147" s="32"/>
      <c r="IK147" s="32"/>
      <c r="IL147" s="32"/>
      <c r="IM147" s="32"/>
      <c r="IN147" s="32"/>
      <c r="IO147" s="32"/>
      <c r="IP147" s="32"/>
      <c r="IQ147" s="32"/>
      <c r="IR147" s="32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/>
      <c r="JO147" s="32"/>
      <c r="JP147" s="32"/>
      <c r="JQ147" s="32"/>
      <c r="JR147" s="32"/>
      <c r="JS147" s="32"/>
      <c r="JT147" s="32"/>
      <c r="JU147" s="32"/>
      <c r="JV147" s="32"/>
      <c r="JW147" s="32"/>
      <c r="JX147" s="32"/>
      <c r="JY147" s="32"/>
      <c r="JZ147" s="32"/>
      <c r="KA147" s="32"/>
      <c r="KB147" s="32"/>
      <c r="KC147" s="32"/>
      <c r="KD147" s="32"/>
      <c r="KE147" s="32"/>
      <c r="KF147" s="32"/>
      <c r="KG147" s="32"/>
      <c r="KH147" s="32"/>
      <c r="KI147" s="32"/>
      <c r="KJ147" s="32"/>
      <c r="KK147" s="32"/>
      <c r="KL147" s="32"/>
      <c r="KM147" s="32"/>
      <c r="KN147" s="32"/>
      <c r="KO147" s="32"/>
      <c r="KP147" s="32"/>
      <c r="KQ147" s="32"/>
      <c r="KR147" s="32"/>
      <c r="KS147" s="32"/>
      <c r="KT147" s="32"/>
      <c r="KU147" s="32"/>
      <c r="KV147" s="32"/>
      <c r="KW147" s="32"/>
      <c r="KX147" s="32"/>
      <c r="KY147" s="32"/>
      <c r="KZ147" s="32"/>
      <c r="LA147" s="32"/>
      <c r="LB147" s="32"/>
      <c r="LC147" s="32"/>
      <c r="LD147" s="32"/>
      <c r="LE147" s="32"/>
      <c r="LF147" s="32"/>
      <c r="LG147" s="32"/>
      <c r="LH147" s="32"/>
      <c r="LI147" s="32"/>
      <c r="LJ147" s="32"/>
      <c r="LK147" s="32"/>
      <c r="LL147" s="32"/>
      <c r="LM147" s="32"/>
      <c r="LN147" s="32"/>
      <c r="LO147" s="32"/>
      <c r="LP147" s="32"/>
      <c r="LQ147" s="32"/>
      <c r="LR147" s="32"/>
      <c r="LS147" s="32"/>
      <c r="LT147" s="32"/>
      <c r="LU147" s="32"/>
      <c r="LV147" s="32"/>
      <c r="LW147" s="32"/>
      <c r="LX147" s="32"/>
      <c r="LY147" s="32"/>
      <c r="LZ147" s="32"/>
      <c r="MA147" s="32"/>
      <c r="MB147" s="32"/>
      <c r="MC147" s="32"/>
      <c r="MD147" s="32"/>
      <c r="ME147" s="32"/>
      <c r="MF147" s="32"/>
      <c r="MG147" s="32"/>
      <c r="MH147" s="32"/>
      <c r="MI147" s="32"/>
      <c r="MJ147" s="32"/>
      <c r="MK147" s="32"/>
      <c r="ML147" s="32"/>
      <c r="MM147" s="32"/>
      <c r="MN147" s="32"/>
      <c r="MO147" s="32"/>
      <c r="MP147" s="32"/>
      <c r="MQ147" s="32"/>
      <c r="MR147" s="32"/>
      <c r="MS147" s="32"/>
      <c r="MT147" s="32"/>
      <c r="MU147" s="32"/>
      <c r="MV147" s="32"/>
      <c r="MW147" s="32"/>
      <c r="MX147" s="32"/>
      <c r="MY147" s="32"/>
      <c r="MZ147" s="32"/>
      <c r="NA147" s="32"/>
      <c r="NB147" s="32"/>
      <c r="NC147" s="32"/>
      <c r="ND147" s="32"/>
      <c r="NE147" s="32"/>
      <c r="NF147" s="32"/>
      <c r="NG147" s="32"/>
      <c r="NH147" s="32"/>
      <c r="NI147" s="32"/>
      <c r="NJ147" s="32"/>
      <c r="NK147" s="32"/>
      <c r="NL147" s="32"/>
      <c r="NM147" s="32"/>
      <c r="NN147" s="32"/>
      <c r="NO147" s="32"/>
      <c r="NP147" s="32"/>
      <c r="NQ147" s="32"/>
      <c r="NR147" s="32"/>
      <c r="NS147" s="32"/>
      <c r="NT147" s="32"/>
      <c r="NU147" s="32"/>
      <c r="NV147" s="32"/>
      <c r="NW147" s="32"/>
      <c r="NX147" s="32"/>
      <c r="NY147" s="32"/>
      <c r="NZ147" s="32"/>
      <c r="OA147" s="32"/>
      <c r="OB147" s="32"/>
      <c r="OC147" s="32"/>
      <c r="OD147" s="32"/>
      <c r="OE147" s="32"/>
      <c r="OF147" s="32"/>
      <c r="OG147" s="32"/>
      <c r="OH147" s="32"/>
      <c r="OI147" s="32"/>
      <c r="OJ147" s="32"/>
      <c r="OK147" s="32"/>
      <c r="OL147" s="32"/>
      <c r="OM147" s="32"/>
      <c r="ON147" s="32"/>
      <c r="OO147" s="32"/>
      <c r="OP147" s="32"/>
      <c r="OQ147" s="32"/>
      <c r="OR147" s="32"/>
      <c r="OS147" s="32"/>
      <c r="OT147" s="32"/>
      <c r="OU147" s="32"/>
      <c r="OV147" s="32"/>
      <c r="OW147" s="32"/>
      <c r="OX147" s="32"/>
      <c r="OY147" s="32"/>
      <c r="OZ147" s="32"/>
      <c r="PA147" s="32"/>
      <c r="PB147" s="32"/>
      <c r="PC147" s="32"/>
      <c r="PD147" s="32"/>
      <c r="PE147" s="32"/>
      <c r="PF147" s="32"/>
      <c r="PG147" s="32"/>
      <c r="PH147" s="32"/>
      <c r="PI147" s="32"/>
      <c r="PJ147" s="32"/>
      <c r="PK147" s="32"/>
      <c r="PL147" s="32"/>
      <c r="PM147" s="32"/>
      <c r="PN147" s="32"/>
      <c r="PO147" s="32"/>
      <c r="PP147" s="32"/>
      <c r="PQ147" s="32"/>
      <c r="PR147" s="32"/>
      <c r="PS147" s="32"/>
      <c r="PT147" s="32"/>
      <c r="PU147" s="32"/>
      <c r="PV147" s="32"/>
      <c r="PW147" s="32"/>
      <c r="PX147" s="32"/>
      <c r="PY147" s="32"/>
      <c r="PZ147" s="32"/>
      <c r="QA147" s="32"/>
      <c r="QB147" s="32"/>
      <c r="QC147" s="32"/>
      <c r="QD147" s="32"/>
      <c r="QE147" s="32"/>
      <c r="QF147" s="32"/>
      <c r="QG147" s="32"/>
      <c r="QH147" s="32"/>
      <c r="QI147" s="32"/>
      <c r="QJ147" s="32"/>
      <c r="QK147" s="32"/>
      <c r="QL147" s="32"/>
      <c r="QM147" s="32"/>
      <c r="QN147" s="32"/>
      <c r="QO147" s="32"/>
      <c r="QP147" s="32"/>
      <c r="QQ147" s="32"/>
      <c r="QR147" s="32"/>
      <c r="QS147" s="32"/>
      <c r="QT147" s="32"/>
      <c r="QU147" s="32"/>
      <c r="QV147" s="32"/>
      <c r="QW147" s="32"/>
      <c r="QX147" s="32"/>
      <c r="QY147" s="32"/>
      <c r="QZ147" s="32"/>
      <c r="RA147" s="32"/>
      <c r="RB147" s="32"/>
      <c r="RC147" s="32"/>
      <c r="RD147" s="32"/>
      <c r="RE147" s="32"/>
      <c r="RF147" s="32"/>
      <c r="RG147" s="32"/>
      <c r="RH147" s="32"/>
      <c r="RI147" s="32"/>
      <c r="RJ147" s="32"/>
      <c r="RK147" s="32"/>
      <c r="RL147" s="32"/>
      <c r="RM147" s="32"/>
      <c r="RN147" s="32"/>
      <c r="RO147" s="32"/>
      <c r="RP147" s="32"/>
      <c r="RQ147" s="32"/>
      <c r="RR147" s="32"/>
    </row>
    <row r="148" spans="1:486" s="9" customFormat="1">
      <c r="A148" s="137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/>
      <c r="HF148" s="32"/>
      <c r="HG148" s="32"/>
      <c r="HH148" s="32"/>
      <c r="HI148" s="32"/>
      <c r="HJ148" s="32"/>
      <c r="HK148" s="32"/>
      <c r="HL148" s="32"/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2"/>
      <c r="IG148" s="32"/>
      <c r="IH148" s="32"/>
      <c r="II148" s="32"/>
      <c r="IJ148" s="32"/>
      <c r="IK148" s="32"/>
      <c r="IL148" s="32"/>
      <c r="IM148" s="32"/>
      <c r="IN148" s="32"/>
      <c r="IO148" s="32"/>
      <c r="IP148" s="32"/>
      <c r="IQ148" s="32"/>
      <c r="IR148" s="32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/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/>
      <c r="JP148" s="32"/>
      <c r="JQ148" s="32"/>
      <c r="JR148" s="32"/>
      <c r="JS148" s="32"/>
      <c r="JT148" s="32"/>
      <c r="JU148" s="32"/>
      <c r="JV148" s="32"/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/>
      <c r="KH148" s="32"/>
      <c r="KI148" s="32"/>
      <c r="KJ148" s="32"/>
      <c r="KK148" s="32"/>
      <c r="KL148" s="32"/>
      <c r="KM148" s="32"/>
      <c r="KN148" s="32"/>
      <c r="KO148" s="32"/>
      <c r="KP148" s="32"/>
      <c r="KQ148" s="32"/>
      <c r="KR148" s="32"/>
      <c r="KS148" s="32"/>
      <c r="KT148" s="32"/>
      <c r="KU148" s="32"/>
      <c r="KV148" s="32"/>
      <c r="KW148" s="32"/>
      <c r="KX148" s="32"/>
      <c r="KY148" s="32"/>
      <c r="KZ148" s="32"/>
      <c r="LA148" s="32"/>
      <c r="LB148" s="32"/>
      <c r="LC148" s="32"/>
      <c r="LD148" s="32"/>
      <c r="LE148" s="32"/>
      <c r="LF148" s="32"/>
      <c r="LG148" s="32"/>
      <c r="LH148" s="32"/>
      <c r="LI148" s="32"/>
      <c r="LJ148" s="32"/>
      <c r="LK148" s="32"/>
      <c r="LL148" s="32"/>
      <c r="LM148" s="32"/>
      <c r="LN148" s="32"/>
      <c r="LO148" s="32"/>
      <c r="LP148" s="32"/>
      <c r="LQ148" s="32"/>
      <c r="LR148" s="32"/>
      <c r="LS148" s="32"/>
      <c r="LT148" s="32"/>
      <c r="LU148" s="32"/>
      <c r="LV148" s="32"/>
      <c r="LW148" s="32"/>
      <c r="LX148" s="32"/>
      <c r="LY148" s="32"/>
      <c r="LZ148" s="32"/>
      <c r="MA148" s="32"/>
      <c r="MB148" s="32"/>
      <c r="MC148" s="32"/>
      <c r="MD148" s="32"/>
      <c r="ME148" s="32"/>
      <c r="MF148" s="32"/>
      <c r="MG148" s="32"/>
      <c r="MH148" s="32"/>
      <c r="MI148" s="32"/>
      <c r="MJ148" s="32"/>
      <c r="MK148" s="32"/>
      <c r="ML148" s="32"/>
      <c r="MM148" s="32"/>
      <c r="MN148" s="32"/>
      <c r="MO148" s="32"/>
      <c r="MP148" s="32"/>
      <c r="MQ148" s="32"/>
      <c r="MR148" s="32"/>
      <c r="MS148" s="32"/>
      <c r="MT148" s="32"/>
      <c r="MU148" s="32"/>
      <c r="MV148" s="32"/>
      <c r="MW148" s="32"/>
      <c r="MX148" s="32"/>
      <c r="MY148" s="32"/>
      <c r="MZ148" s="32"/>
      <c r="NA148" s="32"/>
      <c r="NB148" s="32"/>
      <c r="NC148" s="32"/>
      <c r="ND148" s="32"/>
      <c r="NE148" s="32"/>
      <c r="NF148" s="32"/>
      <c r="NG148" s="32"/>
      <c r="NH148" s="32"/>
      <c r="NI148" s="32"/>
      <c r="NJ148" s="32"/>
      <c r="NK148" s="32"/>
      <c r="NL148" s="32"/>
      <c r="NM148" s="32"/>
      <c r="NN148" s="32"/>
      <c r="NO148" s="32"/>
      <c r="NP148" s="32"/>
      <c r="NQ148" s="32"/>
      <c r="NR148" s="32"/>
      <c r="NS148" s="32"/>
      <c r="NT148" s="32"/>
      <c r="NU148" s="32"/>
      <c r="NV148" s="32"/>
      <c r="NW148" s="32"/>
      <c r="NX148" s="32"/>
      <c r="NY148" s="32"/>
      <c r="NZ148" s="32"/>
      <c r="OA148" s="32"/>
      <c r="OB148" s="32"/>
      <c r="OC148" s="32"/>
      <c r="OD148" s="32"/>
      <c r="OE148" s="32"/>
      <c r="OF148" s="32"/>
      <c r="OG148" s="32"/>
      <c r="OH148" s="32"/>
      <c r="OI148" s="32"/>
      <c r="OJ148" s="32"/>
      <c r="OK148" s="32"/>
      <c r="OL148" s="32"/>
      <c r="OM148" s="32"/>
      <c r="ON148" s="32"/>
      <c r="OO148" s="32"/>
      <c r="OP148" s="32"/>
      <c r="OQ148" s="32"/>
      <c r="OR148" s="32"/>
      <c r="OS148" s="32"/>
      <c r="OT148" s="32"/>
      <c r="OU148" s="32"/>
      <c r="OV148" s="32"/>
      <c r="OW148" s="32"/>
      <c r="OX148" s="32"/>
      <c r="OY148" s="32"/>
      <c r="OZ148" s="32"/>
      <c r="PA148" s="32"/>
      <c r="PB148" s="32"/>
      <c r="PC148" s="32"/>
      <c r="PD148" s="32"/>
      <c r="PE148" s="32"/>
      <c r="PF148" s="32"/>
      <c r="PG148" s="32"/>
      <c r="PH148" s="32"/>
      <c r="PI148" s="32"/>
      <c r="PJ148" s="32"/>
      <c r="PK148" s="32"/>
      <c r="PL148" s="32"/>
      <c r="PM148" s="32"/>
      <c r="PN148" s="32"/>
      <c r="PO148" s="32"/>
      <c r="PP148" s="32"/>
      <c r="PQ148" s="32"/>
      <c r="PR148" s="32"/>
      <c r="PS148" s="32"/>
      <c r="PT148" s="32"/>
      <c r="PU148" s="32"/>
      <c r="PV148" s="32"/>
      <c r="PW148" s="32"/>
      <c r="PX148" s="32"/>
      <c r="PY148" s="32"/>
      <c r="PZ148" s="32"/>
      <c r="QA148" s="32"/>
      <c r="QB148" s="32"/>
      <c r="QC148" s="32"/>
      <c r="QD148" s="32"/>
      <c r="QE148" s="32"/>
      <c r="QF148" s="32"/>
      <c r="QG148" s="32"/>
      <c r="QH148" s="32"/>
      <c r="QI148" s="32"/>
      <c r="QJ148" s="32"/>
      <c r="QK148" s="32"/>
      <c r="QL148" s="32"/>
      <c r="QM148" s="32"/>
      <c r="QN148" s="32"/>
      <c r="QO148" s="32"/>
      <c r="QP148" s="32"/>
      <c r="QQ148" s="32"/>
      <c r="QR148" s="32"/>
      <c r="QS148" s="32"/>
      <c r="QT148" s="32"/>
      <c r="QU148" s="32"/>
      <c r="QV148" s="32"/>
      <c r="QW148" s="32"/>
      <c r="QX148" s="32"/>
      <c r="QY148" s="32"/>
      <c r="QZ148" s="32"/>
      <c r="RA148" s="32"/>
      <c r="RB148" s="32"/>
      <c r="RC148" s="32"/>
      <c r="RD148" s="32"/>
      <c r="RE148" s="32"/>
      <c r="RF148" s="32"/>
      <c r="RG148" s="32"/>
      <c r="RH148" s="32"/>
      <c r="RI148" s="32"/>
      <c r="RJ148" s="32"/>
      <c r="RK148" s="32"/>
      <c r="RL148" s="32"/>
      <c r="RM148" s="32"/>
      <c r="RN148" s="32"/>
      <c r="RO148" s="32"/>
      <c r="RP148" s="32"/>
      <c r="RQ148" s="32"/>
      <c r="RR148" s="32"/>
    </row>
    <row r="149" spans="1:486" s="9" customFormat="1">
      <c r="A149" s="137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  <c r="EW149" s="32"/>
      <c r="EX149" s="32"/>
      <c r="EY149" s="32"/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  <c r="FK149" s="32"/>
      <c r="FL149" s="32"/>
      <c r="FM149" s="32"/>
      <c r="FN149" s="32"/>
      <c r="FO149" s="32"/>
      <c r="FP149" s="32"/>
      <c r="FQ149" s="32"/>
      <c r="FR149" s="32"/>
      <c r="FS149" s="32"/>
      <c r="FT149" s="32"/>
      <c r="FU149" s="32"/>
      <c r="FV149" s="32"/>
      <c r="FW149" s="32"/>
      <c r="FX149" s="32"/>
      <c r="FY149" s="32"/>
      <c r="FZ149" s="32"/>
      <c r="GA149" s="32"/>
      <c r="GB149" s="32"/>
      <c r="GC149" s="32"/>
      <c r="GD149" s="32"/>
      <c r="GE149" s="32"/>
      <c r="GF149" s="32"/>
      <c r="GG149" s="32"/>
      <c r="GH149" s="32"/>
      <c r="GI149" s="32"/>
      <c r="GJ149" s="32"/>
      <c r="GK149" s="32"/>
      <c r="GL149" s="32"/>
      <c r="GM149" s="32"/>
      <c r="GN149" s="32"/>
      <c r="GO149" s="32"/>
      <c r="GP149" s="32"/>
      <c r="GQ149" s="32"/>
      <c r="GR149" s="32"/>
      <c r="GS149" s="32"/>
      <c r="GT149" s="32"/>
      <c r="GU149" s="32"/>
      <c r="GV149" s="32"/>
      <c r="GW149" s="32"/>
      <c r="GX149" s="32"/>
      <c r="GY149" s="32"/>
      <c r="GZ149" s="32"/>
      <c r="HA149" s="32"/>
      <c r="HB149" s="32"/>
      <c r="HC149" s="32"/>
      <c r="HD149" s="32"/>
      <c r="HE149" s="32"/>
      <c r="HF149" s="32"/>
      <c r="HG149" s="32"/>
      <c r="HH149" s="32"/>
      <c r="HI149" s="32"/>
      <c r="HJ149" s="32"/>
      <c r="HK149" s="32"/>
      <c r="HL149" s="32"/>
      <c r="HM149" s="32"/>
      <c r="HN149" s="32"/>
      <c r="HO149" s="32"/>
      <c r="HP149" s="32"/>
      <c r="HQ149" s="32"/>
      <c r="HR149" s="32"/>
      <c r="HS149" s="32"/>
      <c r="HT149" s="32"/>
      <c r="HU149" s="32"/>
      <c r="HV149" s="32"/>
      <c r="HW149" s="32"/>
      <c r="HX149" s="32"/>
      <c r="HY149" s="32"/>
      <c r="HZ149" s="32"/>
      <c r="IA149" s="32"/>
      <c r="IB149" s="32"/>
      <c r="IC149" s="32"/>
      <c r="ID149" s="32"/>
      <c r="IE149" s="32"/>
      <c r="IF149" s="32"/>
      <c r="IG149" s="32"/>
      <c r="IH149" s="32"/>
      <c r="II149" s="32"/>
      <c r="IJ149" s="32"/>
      <c r="IK149" s="32"/>
      <c r="IL149" s="32"/>
      <c r="IM149" s="32"/>
      <c r="IN149" s="32"/>
      <c r="IO149" s="32"/>
      <c r="IP149" s="32"/>
      <c r="IQ149" s="32"/>
      <c r="IR149" s="32"/>
      <c r="IS149" s="32"/>
      <c r="IT149" s="32"/>
      <c r="IU149" s="32"/>
      <c r="IV149" s="32"/>
      <c r="IW149" s="32"/>
      <c r="IX149" s="32"/>
      <c r="IY149" s="32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/>
      <c r="JK149" s="32"/>
      <c r="JL149" s="32"/>
      <c r="JM149" s="32"/>
      <c r="JN149" s="32"/>
      <c r="JO149" s="32"/>
      <c r="JP149" s="32"/>
      <c r="JQ149" s="32"/>
      <c r="JR149" s="32"/>
      <c r="JS149" s="32"/>
      <c r="JT149" s="32"/>
      <c r="JU149" s="32"/>
      <c r="JV149" s="32"/>
      <c r="JW149" s="32"/>
      <c r="JX149" s="32"/>
      <c r="JY149" s="32"/>
      <c r="JZ149" s="32"/>
      <c r="KA149" s="32"/>
      <c r="KB149" s="32"/>
      <c r="KC149" s="32"/>
      <c r="KD149" s="32"/>
      <c r="KE149" s="32"/>
      <c r="KF149" s="32"/>
      <c r="KG149" s="32"/>
      <c r="KH149" s="32"/>
      <c r="KI149" s="32"/>
      <c r="KJ149" s="32"/>
      <c r="KK149" s="32"/>
      <c r="KL149" s="32"/>
      <c r="KM149" s="32"/>
      <c r="KN149" s="32"/>
      <c r="KO149" s="32"/>
      <c r="KP149" s="32"/>
      <c r="KQ149" s="32"/>
      <c r="KR149" s="32"/>
      <c r="KS149" s="32"/>
      <c r="KT149" s="32"/>
      <c r="KU149" s="32"/>
      <c r="KV149" s="32"/>
      <c r="KW149" s="32"/>
      <c r="KX149" s="32"/>
      <c r="KY149" s="32"/>
      <c r="KZ149" s="32"/>
      <c r="LA149" s="32"/>
      <c r="LB149" s="32"/>
      <c r="LC149" s="32"/>
      <c r="LD149" s="32"/>
      <c r="LE149" s="32"/>
      <c r="LF149" s="32"/>
      <c r="LG149" s="32"/>
      <c r="LH149" s="32"/>
      <c r="LI149" s="32"/>
      <c r="LJ149" s="32"/>
      <c r="LK149" s="32"/>
      <c r="LL149" s="32"/>
      <c r="LM149" s="32"/>
      <c r="LN149" s="32"/>
      <c r="LO149" s="32"/>
      <c r="LP149" s="32"/>
      <c r="LQ149" s="32"/>
      <c r="LR149" s="32"/>
      <c r="LS149" s="32"/>
      <c r="LT149" s="32"/>
      <c r="LU149" s="32"/>
      <c r="LV149" s="32"/>
      <c r="LW149" s="32"/>
      <c r="LX149" s="32"/>
      <c r="LY149" s="32"/>
      <c r="LZ149" s="32"/>
      <c r="MA149" s="32"/>
      <c r="MB149" s="32"/>
      <c r="MC149" s="32"/>
      <c r="MD149" s="32"/>
      <c r="ME149" s="32"/>
      <c r="MF149" s="32"/>
      <c r="MG149" s="32"/>
      <c r="MH149" s="32"/>
      <c r="MI149" s="32"/>
      <c r="MJ149" s="32"/>
      <c r="MK149" s="32"/>
      <c r="ML149" s="32"/>
      <c r="MM149" s="32"/>
      <c r="MN149" s="32"/>
      <c r="MO149" s="32"/>
      <c r="MP149" s="32"/>
      <c r="MQ149" s="32"/>
      <c r="MR149" s="32"/>
      <c r="MS149" s="32"/>
      <c r="MT149" s="32"/>
      <c r="MU149" s="32"/>
      <c r="MV149" s="32"/>
      <c r="MW149" s="32"/>
      <c r="MX149" s="32"/>
      <c r="MY149" s="32"/>
      <c r="MZ149" s="32"/>
      <c r="NA149" s="32"/>
      <c r="NB149" s="32"/>
      <c r="NC149" s="32"/>
      <c r="ND149" s="32"/>
      <c r="NE149" s="32"/>
      <c r="NF149" s="32"/>
      <c r="NG149" s="32"/>
      <c r="NH149" s="32"/>
      <c r="NI149" s="32"/>
      <c r="NJ149" s="32"/>
      <c r="NK149" s="32"/>
      <c r="NL149" s="32"/>
      <c r="NM149" s="32"/>
      <c r="NN149" s="32"/>
      <c r="NO149" s="32"/>
      <c r="NP149" s="32"/>
      <c r="NQ149" s="32"/>
      <c r="NR149" s="32"/>
      <c r="NS149" s="32"/>
      <c r="NT149" s="32"/>
      <c r="NU149" s="32"/>
      <c r="NV149" s="32"/>
      <c r="NW149" s="32"/>
      <c r="NX149" s="32"/>
      <c r="NY149" s="32"/>
      <c r="NZ149" s="32"/>
      <c r="OA149" s="32"/>
      <c r="OB149" s="32"/>
      <c r="OC149" s="32"/>
      <c r="OD149" s="32"/>
      <c r="OE149" s="32"/>
      <c r="OF149" s="32"/>
      <c r="OG149" s="32"/>
      <c r="OH149" s="32"/>
      <c r="OI149" s="32"/>
      <c r="OJ149" s="32"/>
      <c r="OK149" s="32"/>
      <c r="OL149" s="32"/>
      <c r="OM149" s="32"/>
      <c r="ON149" s="32"/>
      <c r="OO149" s="32"/>
      <c r="OP149" s="32"/>
      <c r="OQ149" s="32"/>
      <c r="OR149" s="32"/>
      <c r="OS149" s="32"/>
      <c r="OT149" s="32"/>
      <c r="OU149" s="32"/>
      <c r="OV149" s="32"/>
      <c r="OW149" s="32"/>
      <c r="OX149" s="32"/>
      <c r="OY149" s="32"/>
      <c r="OZ149" s="32"/>
      <c r="PA149" s="32"/>
      <c r="PB149" s="32"/>
      <c r="PC149" s="32"/>
      <c r="PD149" s="32"/>
      <c r="PE149" s="32"/>
      <c r="PF149" s="32"/>
      <c r="PG149" s="32"/>
      <c r="PH149" s="32"/>
      <c r="PI149" s="32"/>
      <c r="PJ149" s="32"/>
      <c r="PK149" s="32"/>
      <c r="PL149" s="32"/>
      <c r="PM149" s="32"/>
      <c r="PN149" s="32"/>
      <c r="PO149" s="32"/>
      <c r="PP149" s="32"/>
      <c r="PQ149" s="32"/>
      <c r="PR149" s="32"/>
      <c r="PS149" s="32"/>
      <c r="PT149" s="32"/>
      <c r="PU149" s="32"/>
      <c r="PV149" s="32"/>
      <c r="PW149" s="32"/>
      <c r="PX149" s="32"/>
      <c r="PY149" s="32"/>
      <c r="PZ149" s="32"/>
      <c r="QA149" s="32"/>
      <c r="QB149" s="32"/>
      <c r="QC149" s="32"/>
      <c r="QD149" s="32"/>
      <c r="QE149" s="32"/>
      <c r="QF149" s="32"/>
      <c r="QG149" s="32"/>
      <c r="QH149" s="32"/>
      <c r="QI149" s="32"/>
      <c r="QJ149" s="32"/>
      <c r="QK149" s="32"/>
      <c r="QL149" s="32"/>
      <c r="QM149" s="32"/>
      <c r="QN149" s="32"/>
      <c r="QO149" s="32"/>
      <c r="QP149" s="32"/>
      <c r="QQ149" s="32"/>
      <c r="QR149" s="32"/>
      <c r="QS149" s="32"/>
      <c r="QT149" s="32"/>
      <c r="QU149" s="32"/>
      <c r="QV149" s="32"/>
      <c r="QW149" s="32"/>
      <c r="QX149" s="32"/>
      <c r="QY149" s="32"/>
      <c r="QZ149" s="32"/>
      <c r="RA149" s="32"/>
      <c r="RB149" s="32"/>
      <c r="RC149" s="32"/>
      <c r="RD149" s="32"/>
      <c r="RE149" s="32"/>
      <c r="RF149" s="32"/>
      <c r="RG149" s="32"/>
      <c r="RH149" s="32"/>
      <c r="RI149" s="32"/>
      <c r="RJ149" s="32"/>
      <c r="RK149" s="32"/>
      <c r="RL149" s="32"/>
      <c r="RM149" s="32"/>
      <c r="RN149" s="32"/>
      <c r="RO149" s="32"/>
      <c r="RP149" s="32"/>
      <c r="RQ149" s="32"/>
      <c r="RR149" s="32"/>
    </row>
    <row r="150" spans="1:486" s="9" customFormat="1">
      <c r="A150" s="137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/>
      <c r="GB150" s="32"/>
      <c r="GC150" s="32"/>
      <c r="GD150" s="32"/>
      <c r="GE150" s="32"/>
      <c r="GF150" s="32"/>
      <c r="GG150" s="32"/>
      <c r="GH150" s="32"/>
      <c r="GI150" s="32"/>
      <c r="GJ150" s="32"/>
      <c r="GK150" s="32"/>
      <c r="GL150" s="32"/>
      <c r="GM150" s="32"/>
      <c r="GN150" s="32"/>
      <c r="GO150" s="32"/>
      <c r="GP150" s="32"/>
      <c r="GQ150" s="32"/>
      <c r="GR150" s="32"/>
      <c r="GS150" s="32"/>
      <c r="GT150" s="32"/>
      <c r="GU150" s="32"/>
      <c r="GV150" s="32"/>
      <c r="GW150" s="32"/>
      <c r="GX150" s="32"/>
      <c r="GY150" s="32"/>
      <c r="GZ150" s="32"/>
      <c r="HA150" s="32"/>
      <c r="HB150" s="32"/>
      <c r="HC150" s="32"/>
      <c r="HD150" s="32"/>
      <c r="HE150" s="32"/>
      <c r="HF150" s="32"/>
      <c r="HG150" s="32"/>
      <c r="HH150" s="32"/>
      <c r="HI150" s="32"/>
      <c r="HJ150" s="32"/>
      <c r="HK150" s="32"/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/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/>
      <c r="JA150" s="32"/>
      <c r="JB150" s="32"/>
      <c r="JC150" s="32"/>
      <c r="JD150" s="32"/>
      <c r="JE150" s="32"/>
      <c r="JF150" s="32"/>
      <c r="JG150" s="32"/>
      <c r="JH150" s="32"/>
      <c r="JI150" s="32"/>
      <c r="JJ150" s="32"/>
      <c r="JK150" s="32"/>
      <c r="JL150" s="32"/>
      <c r="JM150" s="32"/>
      <c r="JN150" s="32"/>
      <c r="JO150" s="32"/>
      <c r="JP150" s="32"/>
      <c r="JQ150" s="32"/>
      <c r="JR150" s="32"/>
      <c r="JS150" s="32"/>
      <c r="JT150" s="32"/>
      <c r="JU150" s="32"/>
      <c r="JV150" s="32"/>
      <c r="JW150" s="32"/>
      <c r="JX150" s="32"/>
      <c r="JY150" s="32"/>
      <c r="JZ150" s="32"/>
      <c r="KA150" s="32"/>
      <c r="KB150" s="32"/>
      <c r="KC150" s="32"/>
      <c r="KD150" s="32"/>
      <c r="KE150" s="32"/>
      <c r="KF150" s="32"/>
      <c r="KG150" s="32"/>
      <c r="KH150" s="32"/>
      <c r="KI150" s="32"/>
      <c r="KJ150" s="32"/>
      <c r="KK150" s="32"/>
      <c r="KL150" s="32"/>
      <c r="KM150" s="32"/>
      <c r="KN150" s="32"/>
      <c r="KO150" s="32"/>
      <c r="KP150" s="32"/>
      <c r="KQ150" s="32"/>
      <c r="KR150" s="32"/>
      <c r="KS150" s="32"/>
      <c r="KT150" s="32"/>
      <c r="KU150" s="32"/>
      <c r="KV150" s="32"/>
      <c r="KW150" s="32"/>
      <c r="KX150" s="32"/>
      <c r="KY150" s="32"/>
      <c r="KZ150" s="32"/>
      <c r="LA150" s="32"/>
      <c r="LB150" s="32"/>
      <c r="LC150" s="32"/>
      <c r="LD150" s="32"/>
      <c r="LE150" s="32"/>
      <c r="LF150" s="32"/>
      <c r="LG150" s="32"/>
      <c r="LH150" s="32"/>
      <c r="LI150" s="32"/>
      <c r="LJ150" s="32"/>
      <c r="LK150" s="32"/>
      <c r="LL150" s="32"/>
      <c r="LM150" s="32"/>
      <c r="LN150" s="32"/>
      <c r="LO150" s="32"/>
      <c r="LP150" s="32"/>
      <c r="LQ150" s="32"/>
      <c r="LR150" s="32"/>
      <c r="LS150" s="32"/>
      <c r="LT150" s="32"/>
      <c r="LU150" s="32"/>
      <c r="LV150" s="32"/>
      <c r="LW150" s="32"/>
      <c r="LX150" s="32"/>
      <c r="LY150" s="32"/>
      <c r="LZ150" s="32"/>
      <c r="MA150" s="32"/>
      <c r="MB150" s="32"/>
      <c r="MC150" s="32"/>
      <c r="MD150" s="32"/>
      <c r="ME150" s="32"/>
      <c r="MF150" s="32"/>
      <c r="MG150" s="32"/>
      <c r="MH150" s="32"/>
      <c r="MI150" s="32"/>
      <c r="MJ150" s="32"/>
      <c r="MK150" s="32"/>
      <c r="ML150" s="32"/>
      <c r="MM150" s="32"/>
      <c r="MN150" s="32"/>
      <c r="MO150" s="32"/>
      <c r="MP150" s="32"/>
      <c r="MQ150" s="32"/>
      <c r="MR150" s="32"/>
      <c r="MS150" s="32"/>
      <c r="MT150" s="32"/>
      <c r="MU150" s="32"/>
      <c r="MV150" s="32"/>
      <c r="MW150" s="32"/>
      <c r="MX150" s="32"/>
      <c r="MY150" s="32"/>
      <c r="MZ150" s="32"/>
      <c r="NA150" s="32"/>
      <c r="NB150" s="32"/>
      <c r="NC150" s="32"/>
      <c r="ND150" s="32"/>
      <c r="NE150" s="32"/>
      <c r="NF150" s="32"/>
      <c r="NG150" s="32"/>
      <c r="NH150" s="32"/>
      <c r="NI150" s="32"/>
      <c r="NJ150" s="32"/>
      <c r="NK150" s="32"/>
      <c r="NL150" s="32"/>
      <c r="NM150" s="32"/>
      <c r="NN150" s="32"/>
      <c r="NO150" s="32"/>
      <c r="NP150" s="32"/>
      <c r="NQ150" s="32"/>
      <c r="NR150" s="32"/>
      <c r="NS150" s="32"/>
      <c r="NT150" s="32"/>
      <c r="NU150" s="32"/>
      <c r="NV150" s="32"/>
      <c r="NW150" s="32"/>
      <c r="NX150" s="32"/>
      <c r="NY150" s="32"/>
      <c r="NZ150" s="32"/>
      <c r="OA150" s="32"/>
      <c r="OB150" s="32"/>
      <c r="OC150" s="32"/>
      <c r="OD150" s="32"/>
      <c r="OE150" s="32"/>
      <c r="OF150" s="32"/>
      <c r="OG150" s="32"/>
      <c r="OH150" s="32"/>
      <c r="OI150" s="32"/>
      <c r="OJ150" s="32"/>
      <c r="OK150" s="32"/>
      <c r="OL150" s="32"/>
      <c r="OM150" s="32"/>
      <c r="ON150" s="32"/>
      <c r="OO150" s="32"/>
      <c r="OP150" s="32"/>
      <c r="OQ150" s="32"/>
      <c r="OR150" s="32"/>
      <c r="OS150" s="32"/>
      <c r="OT150" s="32"/>
      <c r="OU150" s="32"/>
      <c r="OV150" s="32"/>
      <c r="OW150" s="32"/>
      <c r="OX150" s="32"/>
      <c r="OY150" s="32"/>
      <c r="OZ150" s="32"/>
      <c r="PA150" s="32"/>
      <c r="PB150" s="32"/>
      <c r="PC150" s="32"/>
      <c r="PD150" s="32"/>
      <c r="PE150" s="32"/>
      <c r="PF150" s="32"/>
      <c r="PG150" s="32"/>
      <c r="PH150" s="32"/>
      <c r="PI150" s="32"/>
      <c r="PJ150" s="32"/>
      <c r="PK150" s="32"/>
      <c r="PL150" s="32"/>
      <c r="PM150" s="32"/>
      <c r="PN150" s="32"/>
      <c r="PO150" s="32"/>
      <c r="PP150" s="32"/>
      <c r="PQ150" s="32"/>
      <c r="PR150" s="32"/>
      <c r="PS150" s="32"/>
      <c r="PT150" s="32"/>
      <c r="PU150" s="32"/>
      <c r="PV150" s="32"/>
      <c r="PW150" s="32"/>
      <c r="PX150" s="32"/>
      <c r="PY150" s="32"/>
      <c r="PZ150" s="32"/>
      <c r="QA150" s="32"/>
      <c r="QB150" s="32"/>
      <c r="QC150" s="32"/>
      <c r="QD150" s="32"/>
      <c r="QE150" s="32"/>
      <c r="QF150" s="32"/>
      <c r="QG150" s="32"/>
      <c r="QH150" s="32"/>
      <c r="QI150" s="32"/>
      <c r="QJ150" s="32"/>
      <c r="QK150" s="32"/>
      <c r="QL150" s="32"/>
      <c r="QM150" s="32"/>
      <c r="QN150" s="32"/>
      <c r="QO150" s="32"/>
      <c r="QP150" s="32"/>
      <c r="QQ150" s="32"/>
      <c r="QR150" s="32"/>
      <c r="QS150" s="32"/>
      <c r="QT150" s="32"/>
      <c r="QU150" s="32"/>
      <c r="QV150" s="32"/>
      <c r="QW150" s="32"/>
      <c r="QX150" s="32"/>
      <c r="QY150" s="32"/>
      <c r="QZ150" s="32"/>
      <c r="RA150" s="32"/>
      <c r="RB150" s="32"/>
      <c r="RC150" s="32"/>
      <c r="RD150" s="32"/>
      <c r="RE150" s="32"/>
      <c r="RF150" s="32"/>
      <c r="RG150" s="32"/>
      <c r="RH150" s="32"/>
      <c r="RI150" s="32"/>
      <c r="RJ150" s="32"/>
      <c r="RK150" s="32"/>
      <c r="RL150" s="32"/>
      <c r="RM150" s="32"/>
      <c r="RN150" s="32"/>
      <c r="RO150" s="32"/>
      <c r="RP150" s="32"/>
      <c r="RQ150" s="32"/>
      <c r="RR150" s="32"/>
    </row>
    <row r="151" spans="1:486" s="9" customFormat="1">
      <c r="A151" s="137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2"/>
      <c r="GN151" s="32"/>
      <c r="GO151" s="32"/>
      <c r="GP151" s="32"/>
      <c r="GQ151" s="32"/>
      <c r="GR151" s="32"/>
      <c r="GS151" s="32"/>
      <c r="GT151" s="32"/>
      <c r="GU151" s="32"/>
      <c r="GV151" s="32"/>
      <c r="GW151" s="32"/>
      <c r="GX151" s="32"/>
      <c r="GY151" s="32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/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/>
      <c r="II151" s="32"/>
      <c r="IJ151" s="32"/>
      <c r="IK151" s="32"/>
      <c r="IL151" s="32"/>
      <c r="IM151" s="32"/>
      <c r="IN151" s="32"/>
      <c r="IO151" s="32"/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/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/>
      <c r="KF151" s="32"/>
      <c r="KG151" s="32"/>
      <c r="KH151" s="32"/>
      <c r="KI151" s="32"/>
      <c r="KJ151" s="32"/>
      <c r="KK151" s="32"/>
      <c r="KL151" s="32"/>
      <c r="KM151" s="32"/>
      <c r="KN151" s="32"/>
      <c r="KO151" s="32"/>
      <c r="KP151" s="32"/>
      <c r="KQ151" s="32"/>
      <c r="KR151" s="32"/>
      <c r="KS151" s="32"/>
      <c r="KT151" s="32"/>
      <c r="KU151" s="32"/>
      <c r="KV151" s="32"/>
      <c r="KW151" s="32"/>
      <c r="KX151" s="32"/>
      <c r="KY151" s="32"/>
      <c r="KZ151" s="32"/>
      <c r="LA151" s="32"/>
      <c r="LB151" s="32"/>
      <c r="LC151" s="32"/>
      <c r="LD151" s="32"/>
      <c r="LE151" s="32"/>
      <c r="LF151" s="32"/>
      <c r="LG151" s="32"/>
      <c r="LH151" s="32"/>
      <c r="LI151" s="32"/>
      <c r="LJ151" s="32"/>
      <c r="LK151" s="32"/>
      <c r="LL151" s="32"/>
      <c r="LM151" s="32"/>
      <c r="LN151" s="32"/>
      <c r="LO151" s="32"/>
      <c r="LP151" s="32"/>
      <c r="LQ151" s="32"/>
      <c r="LR151" s="32"/>
      <c r="LS151" s="32"/>
      <c r="LT151" s="32"/>
      <c r="LU151" s="32"/>
      <c r="LV151" s="32"/>
      <c r="LW151" s="32"/>
      <c r="LX151" s="32"/>
      <c r="LY151" s="32"/>
      <c r="LZ151" s="32"/>
      <c r="MA151" s="32"/>
      <c r="MB151" s="32"/>
      <c r="MC151" s="32"/>
      <c r="MD151" s="32"/>
      <c r="ME151" s="32"/>
      <c r="MF151" s="32"/>
      <c r="MG151" s="32"/>
      <c r="MH151" s="32"/>
      <c r="MI151" s="32"/>
      <c r="MJ151" s="32"/>
      <c r="MK151" s="32"/>
      <c r="ML151" s="32"/>
      <c r="MM151" s="32"/>
      <c r="MN151" s="32"/>
      <c r="MO151" s="32"/>
      <c r="MP151" s="32"/>
      <c r="MQ151" s="32"/>
      <c r="MR151" s="32"/>
      <c r="MS151" s="32"/>
      <c r="MT151" s="32"/>
      <c r="MU151" s="32"/>
      <c r="MV151" s="32"/>
      <c r="MW151" s="32"/>
      <c r="MX151" s="32"/>
      <c r="MY151" s="32"/>
      <c r="MZ151" s="32"/>
      <c r="NA151" s="32"/>
      <c r="NB151" s="32"/>
      <c r="NC151" s="32"/>
      <c r="ND151" s="32"/>
      <c r="NE151" s="32"/>
      <c r="NF151" s="32"/>
      <c r="NG151" s="32"/>
      <c r="NH151" s="32"/>
      <c r="NI151" s="32"/>
      <c r="NJ151" s="32"/>
      <c r="NK151" s="32"/>
      <c r="NL151" s="32"/>
      <c r="NM151" s="32"/>
      <c r="NN151" s="32"/>
      <c r="NO151" s="32"/>
      <c r="NP151" s="32"/>
      <c r="NQ151" s="32"/>
      <c r="NR151" s="32"/>
      <c r="NS151" s="32"/>
      <c r="NT151" s="32"/>
      <c r="NU151" s="32"/>
      <c r="NV151" s="32"/>
      <c r="NW151" s="32"/>
      <c r="NX151" s="32"/>
      <c r="NY151" s="32"/>
      <c r="NZ151" s="32"/>
      <c r="OA151" s="32"/>
      <c r="OB151" s="32"/>
      <c r="OC151" s="32"/>
      <c r="OD151" s="32"/>
      <c r="OE151" s="32"/>
      <c r="OF151" s="32"/>
      <c r="OG151" s="32"/>
      <c r="OH151" s="32"/>
      <c r="OI151" s="32"/>
      <c r="OJ151" s="32"/>
      <c r="OK151" s="32"/>
      <c r="OL151" s="32"/>
      <c r="OM151" s="32"/>
      <c r="ON151" s="32"/>
      <c r="OO151" s="32"/>
      <c r="OP151" s="32"/>
      <c r="OQ151" s="32"/>
      <c r="OR151" s="32"/>
      <c r="OS151" s="32"/>
      <c r="OT151" s="32"/>
      <c r="OU151" s="32"/>
      <c r="OV151" s="32"/>
      <c r="OW151" s="32"/>
      <c r="OX151" s="32"/>
      <c r="OY151" s="32"/>
      <c r="OZ151" s="32"/>
      <c r="PA151" s="32"/>
      <c r="PB151" s="32"/>
      <c r="PC151" s="32"/>
      <c r="PD151" s="32"/>
      <c r="PE151" s="32"/>
      <c r="PF151" s="32"/>
      <c r="PG151" s="32"/>
      <c r="PH151" s="32"/>
      <c r="PI151" s="32"/>
      <c r="PJ151" s="32"/>
      <c r="PK151" s="32"/>
      <c r="PL151" s="32"/>
      <c r="PM151" s="32"/>
      <c r="PN151" s="32"/>
      <c r="PO151" s="32"/>
      <c r="PP151" s="32"/>
      <c r="PQ151" s="32"/>
      <c r="PR151" s="32"/>
      <c r="PS151" s="32"/>
      <c r="PT151" s="32"/>
      <c r="PU151" s="32"/>
      <c r="PV151" s="32"/>
      <c r="PW151" s="32"/>
      <c r="PX151" s="32"/>
      <c r="PY151" s="32"/>
      <c r="PZ151" s="32"/>
      <c r="QA151" s="32"/>
      <c r="QB151" s="32"/>
      <c r="QC151" s="32"/>
      <c r="QD151" s="32"/>
      <c r="QE151" s="32"/>
      <c r="QF151" s="32"/>
      <c r="QG151" s="32"/>
      <c r="QH151" s="32"/>
      <c r="QI151" s="32"/>
      <c r="QJ151" s="32"/>
      <c r="QK151" s="32"/>
      <c r="QL151" s="32"/>
      <c r="QM151" s="32"/>
      <c r="QN151" s="32"/>
      <c r="QO151" s="32"/>
      <c r="QP151" s="32"/>
      <c r="QQ151" s="32"/>
      <c r="QR151" s="32"/>
      <c r="QS151" s="32"/>
      <c r="QT151" s="32"/>
      <c r="QU151" s="32"/>
      <c r="QV151" s="32"/>
      <c r="QW151" s="32"/>
      <c r="QX151" s="32"/>
      <c r="QY151" s="32"/>
      <c r="QZ151" s="32"/>
      <c r="RA151" s="32"/>
      <c r="RB151" s="32"/>
      <c r="RC151" s="32"/>
      <c r="RD151" s="32"/>
      <c r="RE151" s="32"/>
      <c r="RF151" s="32"/>
      <c r="RG151" s="32"/>
      <c r="RH151" s="32"/>
      <c r="RI151" s="32"/>
      <c r="RJ151" s="32"/>
      <c r="RK151" s="32"/>
      <c r="RL151" s="32"/>
      <c r="RM151" s="32"/>
      <c r="RN151" s="32"/>
      <c r="RO151" s="32"/>
      <c r="RP151" s="32"/>
      <c r="RQ151" s="32"/>
      <c r="RR151" s="32"/>
    </row>
    <row r="152" spans="1:486" s="9" customFormat="1">
      <c r="A152" s="137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  <c r="GR152" s="32"/>
      <c r="GS152" s="32"/>
      <c r="GT152" s="32"/>
      <c r="GU152" s="32"/>
      <c r="GV152" s="32"/>
      <c r="GW152" s="32"/>
      <c r="GX152" s="32"/>
      <c r="GY152" s="32"/>
      <c r="GZ152" s="32"/>
      <c r="HA152" s="32"/>
      <c r="HB152" s="32"/>
      <c r="HC152" s="32"/>
      <c r="HD152" s="32"/>
      <c r="HE152" s="32"/>
      <c r="HF152" s="32"/>
      <c r="HG152" s="32"/>
      <c r="HH152" s="32"/>
      <c r="HI152" s="32"/>
      <c r="HJ152" s="32"/>
      <c r="HK152" s="32"/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/>
      <c r="JA152" s="32"/>
      <c r="JB152" s="32"/>
      <c r="JC152" s="32"/>
      <c r="JD152" s="32"/>
      <c r="JE152" s="32"/>
      <c r="JF152" s="32"/>
      <c r="JG152" s="32"/>
      <c r="JH152" s="32"/>
      <c r="JI152" s="32"/>
      <c r="JJ152" s="32"/>
      <c r="JK152" s="32"/>
      <c r="JL152" s="32"/>
      <c r="JM152" s="32"/>
      <c r="JN152" s="32"/>
      <c r="JO152" s="32"/>
      <c r="JP152" s="32"/>
      <c r="JQ152" s="32"/>
      <c r="JR152" s="32"/>
      <c r="JS152" s="32"/>
      <c r="JT152" s="32"/>
      <c r="JU152" s="32"/>
      <c r="JV152" s="32"/>
      <c r="JW152" s="32"/>
      <c r="JX152" s="32"/>
      <c r="JY152" s="32"/>
      <c r="JZ152" s="32"/>
      <c r="KA152" s="32"/>
      <c r="KB152" s="32"/>
      <c r="KC152" s="32"/>
      <c r="KD152" s="32"/>
      <c r="KE152" s="32"/>
      <c r="KF152" s="32"/>
      <c r="KG152" s="32"/>
      <c r="KH152" s="32"/>
      <c r="KI152" s="32"/>
      <c r="KJ152" s="32"/>
      <c r="KK152" s="32"/>
      <c r="KL152" s="32"/>
      <c r="KM152" s="32"/>
      <c r="KN152" s="32"/>
      <c r="KO152" s="32"/>
      <c r="KP152" s="32"/>
      <c r="KQ152" s="32"/>
      <c r="KR152" s="32"/>
      <c r="KS152" s="32"/>
      <c r="KT152" s="32"/>
      <c r="KU152" s="32"/>
      <c r="KV152" s="32"/>
      <c r="KW152" s="32"/>
      <c r="KX152" s="32"/>
      <c r="KY152" s="32"/>
      <c r="KZ152" s="32"/>
      <c r="LA152" s="32"/>
      <c r="LB152" s="32"/>
      <c r="LC152" s="32"/>
      <c r="LD152" s="32"/>
      <c r="LE152" s="32"/>
      <c r="LF152" s="32"/>
      <c r="LG152" s="32"/>
      <c r="LH152" s="32"/>
      <c r="LI152" s="32"/>
      <c r="LJ152" s="32"/>
      <c r="LK152" s="32"/>
      <c r="LL152" s="32"/>
      <c r="LM152" s="32"/>
      <c r="LN152" s="32"/>
      <c r="LO152" s="32"/>
      <c r="LP152" s="32"/>
      <c r="LQ152" s="32"/>
      <c r="LR152" s="32"/>
      <c r="LS152" s="32"/>
      <c r="LT152" s="32"/>
      <c r="LU152" s="32"/>
      <c r="LV152" s="32"/>
      <c r="LW152" s="32"/>
      <c r="LX152" s="32"/>
      <c r="LY152" s="32"/>
      <c r="LZ152" s="32"/>
      <c r="MA152" s="32"/>
      <c r="MB152" s="32"/>
      <c r="MC152" s="32"/>
      <c r="MD152" s="32"/>
      <c r="ME152" s="32"/>
      <c r="MF152" s="32"/>
      <c r="MG152" s="32"/>
      <c r="MH152" s="32"/>
      <c r="MI152" s="32"/>
      <c r="MJ152" s="32"/>
      <c r="MK152" s="32"/>
      <c r="ML152" s="32"/>
      <c r="MM152" s="32"/>
      <c r="MN152" s="32"/>
      <c r="MO152" s="32"/>
      <c r="MP152" s="32"/>
      <c r="MQ152" s="32"/>
      <c r="MR152" s="32"/>
      <c r="MS152" s="32"/>
      <c r="MT152" s="32"/>
      <c r="MU152" s="32"/>
      <c r="MV152" s="32"/>
      <c r="MW152" s="32"/>
      <c r="MX152" s="32"/>
      <c r="MY152" s="32"/>
      <c r="MZ152" s="32"/>
      <c r="NA152" s="32"/>
      <c r="NB152" s="32"/>
      <c r="NC152" s="32"/>
      <c r="ND152" s="32"/>
      <c r="NE152" s="32"/>
      <c r="NF152" s="32"/>
      <c r="NG152" s="32"/>
      <c r="NH152" s="32"/>
      <c r="NI152" s="32"/>
      <c r="NJ152" s="32"/>
      <c r="NK152" s="32"/>
      <c r="NL152" s="32"/>
      <c r="NM152" s="32"/>
      <c r="NN152" s="32"/>
      <c r="NO152" s="32"/>
      <c r="NP152" s="32"/>
      <c r="NQ152" s="32"/>
      <c r="NR152" s="32"/>
      <c r="NS152" s="32"/>
      <c r="NT152" s="32"/>
      <c r="NU152" s="32"/>
      <c r="NV152" s="32"/>
      <c r="NW152" s="32"/>
      <c r="NX152" s="32"/>
      <c r="NY152" s="32"/>
      <c r="NZ152" s="32"/>
      <c r="OA152" s="32"/>
      <c r="OB152" s="32"/>
      <c r="OC152" s="32"/>
      <c r="OD152" s="32"/>
      <c r="OE152" s="32"/>
      <c r="OF152" s="32"/>
      <c r="OG152" s="32"/>
      <c r="OH152" s="32"/>
      <c r="OI152" s="32"/>
      <c r="OJ152" s="32"/>
      <c r="OK152" s="32"/>
      <c r="OL152" s="32"/>
      <c r="OM152" s="32"/>
      <c r="ON152" s="32"/>
      <c r="OO152" s="32"/>
      <c r="OP152" s="32"/>
      <c r="OQ152" s="32"/>
      <c r="OR152" s="32"/>
      <c r="OS152" s="32"/>
      <c r="OT152" s="32"/>
      <c r="OU152" s="32"/>
      <c r="OV152" s="32"/>
      <c r="OW152" s="32"/>
      <c r="OX152" s="32"/>
      <c r="OY152" s="32"/>
      <c r="OZ152" s="32"/>
      <c r="PA152" s="32"/>
      <c r="PB152" s="32"/>
      <c r="PC152" s="32"/>
      <c r="PD152" s="32"/>
      <c r="PE152" s="32"/>
      <c r="PF152" s="32"/>
      <c r="PG152" s="32"/>
      <c r="PH152" s="32"/>
      <c r="PI152" s="32"/>
      <c r="PJ152" s="32"/>
      <c r="PK152" s="32"/>
      <c r="PL152" s="32"/>
      <c r="PM152" s="32"/>
      <c r="PN152" s="32"/>
      <c r="PO152" s="32"/>
      <c r="PP152" s="32"/>
      <c r="PQ152" s="32"/>
      <c r="PR152" s="32"/>
      <c r="PS152" s="32"/>
      <c r="PT152" s="32"/>
      <c r="PU152" s="32"/>
      <c r="PV152" s="32"/>
      <c r="PW152" s="32"/>
      <c r="PX152" s="32"/>
      <c r="PY152" s="32"/>
      <c r="PZ152" s="32"/>
      <c r="QA152" s="32"/>
      <c r="QB152" s="32"/>
      <c r="QC152" s="32"/>
      <c r="QD152" s="32"/>
      <c r="QE152" s="32"/>
      <c r="QF152" s="32"/>
      <c r="QG152" s="32"/>
      <c r="QH152" s="32"/>
      <c r="QI152" s="32"/>
      <c r="QJ152" s="32"/>
      <c r="QK152" s="32"/>
      <c r="QL152" s="32"/>
      <c r="QM152" s="32"/>
      <c r="QN152" s="32"/>
      <c r="QO152" s="32"/>
      <c r="QP152" s="32"/>
      <c r="QQ152" s="32"/>
      <c r="QR152" s="32"/>
      <c r="QS152" s="32"/>
      <c r="QT152" s="32"/>
      <c r="QU152" s="32"/>
      <c r="QV152" s="32"/>
      <c r="QW152" s="32"/>
      <c r="QX152" s="32"/>
      <c r="QY152" s="32"/>
      <c r="QZ152" s="32"/>
      <c r="RA152" s="32"/>
      <c r="RB152" s="32"/>
      <c r="RC152" s="32"/>
      <c r="RD152" s="32"/>
      <c r="RE152" s="32"/>
      <c r="RF152" s="32"/>
      <c r="RG152" s="32"/>
      <c r="RH152" s="32"/>
      <c r="RI152" s="32"/>
      <c r="RJ152" s="32"/>
      <c r="RK152" s="32"/>
      <c r="RL152" s="32"/>
      <c r="RM152" s="32"/>
      <c r="RN152" s="32"/>
      <c r="RO152" s="32"/>
      <c r="RP152" s="32"/>
      <c r="RQ152" s="32"/>
      <c r="RR152" s="32"/>
    </row>
    <row r="153" spans="1:486" s="9" customFormat="1">
      <c r="A153" s="137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2"/>
      <c r="GN153" s="32"/>
      <c r="GO153" s="32"/>
      <c r="GP153" s="32"/>
      <c r="GQ153" s="32"/>
      <c r="GR153" s="32"/>
      <c r="GS153" s="32"/>
      <c r="GT153" s="32"/>
      <c r="GU153" s="32"/>
      <c r="GV153" s="32"/>
      <c r="GW153" s="32"/>
      <c r="GX153" s="32"/>
      <c r="GY153" s="32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32"/>
      <c r="KP153" s="32"/>
      <c r="KQ153" s="32"/>
      <c r="KR153" s="32"/>
      <c r="KS153" s="32"/>
      <c r="KT153" s="32"/>
      <c r="KU153" s="32"/>
      <c r="KV153" s="32"/>
      <c r="KW153" s="32"/>
      <c r="KX153" s="32"/>
      <c r="KY153" s="32"/>
      <c r="KZ153" s="32"/>
      <c r="LA153" s="32"/>
      <c r="LB153" s="32"/>
      <c r="LC153" s="32"/>
      <c r="LD153" s="32"/>
      <c r="LE153" s="32"/>
      <c r="LF153" s="32"/>
      <c r="LG153" s="32"/>
      <c r="LH153" s="32"/>
      <c r="LI153" s="32"/>
      <c r="LJ153" s="32"/>
      <c r="LK153" s="32"/>
      <c r="LL153" s="32"/>
      <c r="LM153" s="32"/>
      <c r="LN153" s="32"/>
      <c r="LO153" s="32"/>
      <c r="LP153" s="32"/>
      <c r="LQ153" s="32"/>
      <c r="LR153" s="32"/>
      <c r="LS153" s="32"/>
      <c r="LT153" s="32"/>
      <c r="LU153" s="32"/>
      <c r="LV153" s="32"/>
      <c r="LW153" s="32"/>
      <c r="LX153" s="32"/>
      <c r="LY153" s="32"/>
      <c r="LZ153" s="32"/>
      <c r="MA153" s="32"/>
      <c r="MB153" s="32"/>
      <c r="MC153" s="32"/>
      <c r="MD153" s="32"/>
      <c r="ME153" s="32"/>
      <c r="MF153" s="32"/>
      <c r="MG153" s="32"/>
      <c r="MH153" s="32"/>
      <c r="MI153" s="32"/>
      <c r="MJ153" s="32"/>
      <c r="MK153" s="32"/>
      <c r="ML153" s="32"/>
      <c r="MM153" s="32"/>
      <c r="MN153" s="32"/>
      <c r="MO153" s="32"/>
      <c r="MP153" s="32"/>
      <c r="MQ153" s="32"/>
      <c r="MR153" s="32"/>
      <c r="MS153" s="32"/>
      <c r="MT153" s="32"/>
      <c r="MU153" s="32"/>
      <c r="MV153" s="32"/>
      <c r="MW153" s="32"/>
      <c r="MX153" s="32"/>
      <c r="MY153" s="32"/>
      <c r="MZ153" s="32"/>
      <c r="NA153" s="32"/>
      <c r="NB153" s="32"/>
      <c r="NC153" s="32"/>
      <c r="ND153" s="32"/>
      <c r="NE153" s="32"/>
      <c r="NF153" s="32"/>
      <c r="NG153" s="32"/>
      <c r="NH153" s="32"/>
      <c r="NI153" s="32"/>
      <c r="NJ153" s="32"/>
      <c r="NK153" s="32"/>
      <c r="NL153" s="32"/>
      <c r="NM153" s="32"/>
      <c r="NN153" s="32"/>
      <c r="NO153" s="32"/>
      <c r="NP153" s="32"/>
      <c r="NQ153" s="32"/>
      <c r="NR153" s="32"/>
      <c r="NS153" s="32"/>
      <c r="NT153" s="32"/>
      <c r="NU153" s="32"/>
      <c r="NV153" s="32"/>
      <c r="NW153" s="32"/>
      <c r="NX153" s="32"/>
      <c r="NY153" s="32"/>
      <c r="NZ153" s="32"/>
      <c r="OA153" s="32"/>
      <c r="OB153" s="32"/>
      <c r="OC153" s="32"/>
      <c r="OD153" s="32"/>
      <c r="OE153" s="32"/>
      <c r="OF153" s="32"/>
      <c r="OG153" s="32"/>
      <c r="OH153" s="32"/>
      <c r="OI153" s="32"/>
      <c r="OJ153" s="32"/>
      <c r="OK153" s="32"/>
      <c r="OL153" s="32"/>
      <c r="OM153" s="32"/>
      <c r="ON153" s="32"/>
      <c r="OO153" s="32"/>
      <c r="OP153" s="32"/>
      <c r="OQ153" s="32"/>
      <c r="OR153" s="32"/>
      <c r="OS153" s="32"/>
      <c r="OT153" s="32"/>
      <c r="OU153" s="32"/>
      <c r="OV153" s="32"/>
      <c r="OW153" s="32"/>
      <c r="OX153" s="32"/>
      <c r="OY153" s="32"/>
      <c r="OZ153" s="32"/>
      <c r="PA153" s="32"/>
      <c r="PB153" s="32"/>
      <c r="PC153" s="32"/>
      <c r="PD153" s="32"/>
      <c r="PE153" s="32"/>
      <c r="PF153" s="32"/>
      <c r="PG153" s="32"/>
      <c r="PH153" s="32"/>
      <c r="PI153" s="32"/>
      <c r="PJ153" s="32"/>
      <c r="PK153" s="32"/>
      <c r="PL153" s="32"/>
      <c r="PM153" s="32"/>
      <c r="PN153" s="32"/>
      <c r="PO153" s="32"/>
      <c r="PP153" s="32"/>
      <c r="PQ153" s="32"/>
      <c r="PR153" s="32"/>
      <c r="PS153" s="32"/>
      <c r="PT153" s="32"/>
      <c r="PU153" s="32"/>
      <c r="PV153" s="32"/>
      <c r="PW153" s="32"/>
      <c r="PX153" s="32"/>
      <c r="PY153" s="32"/>
      <c r="PZ153" s="32"/>
      <c r="QA153" s="32"/>
      <c r="QB153" s="32"/>
      <c r="QC153" s="32"/>
      <c r="QD153" s="32"/>
      <c r="QE153" s="32"/>
      <c r="QF153" s="32"/>
      <c r="QG153" s="32"/>
      <c r="QH153" s="32"/>
      <c r="QI153" s="32"/>
      <c r="QJ153" s="32"/>
      <c r="QK153" s="32"/>
      <c r="QL153" s="32"/>
      <c r="QM153" s="32"/>
      <c r="QN153" s="32"/>
      <c r="QO153" s="32"/>
      <c r="QP153" s="32"/>
      <c r="QQ153" s="32"/>
      <c r="QR153" s="32"/>
      <c r="QS153" s="32"/>
      <c r="QT153" s="32"/>
      <c r="QU153" s="32"/>
      <c r="QV153" s="32"/>
      <c r="QW153" s="32"/>
      <c r="QX153" s="32"/>
      <c r="QY153" s="32"/>
      <c r="QZ153" s="32"/>
      <c r="RA153" s="32"/>
      <c r="RB153" s="32"/>
      <c r="RC153" s="32"/>
      <c r="RD153" s="32"/>
      <c r="RE153" s="32"/>
      <c r="RF153" s="32"/>
      <c r="RG153" s="32"/>
      <c r="RH153" s="32"/>
      <c r="RI153" s="32"/>
      <c r="RJ153" s="32"/>
      <c r="RK153" s="32"/>
      <c r="RL153" s="32"/>
      <c r="RM153" s="32"/>
      <c r="RN153" s="32"/>
      <c r="RO153" s="32"/>
      <c r="RP153" s="32"/>
      <c r="RQ153" s="32"/>
      <c r="RR153" s="32"/>
    </row>
    <row r="154" spans="1:486" s="9" customFormat="1">
      <c r="A154" s="137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2"/>
      <c r="GN154" s="32"/>
      <c r="GO154" s="32"/>
      <c r="GP154" s="32"/>
      <c r="GQ154" s="32"/>
      <c r="GR154" s="32"/>
      <c r="GS154" s="32"/>
      <c r="GT154" s="32"/>
      <c r="GU154" s="32"/>
      <c r="GV154" s="32"/>
      <c r="GW154" s="32"/>
      <c r="GX154" s="32"/>
      <c r="GY154" s="32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/>
      <c r="KO154" s="32"/>
      <c r="KP154" s="32"/>
      <c r="KQ154" s="32"/>
      <c r="KR154" s="32"/>
      <c r="KS154" s="32"/>
      <c r="KT154" s="32"/>
      <c r="KU154" s="32"/>
      <c r="KV154" s="32"/>
      <c r="KW154" s="32"/>
      <c r="KX154" s="32"/>
      <c r="KY154" s="32"/>
      <c r="KZ154" s="32"/>
      <c r="LA154" s="32"/>
      <c r="LB154" s="32"/>
      <c r="LC154" s="32"/>
      <c r="LD154" s="32"/>
      <c r="LE154" s="32"/>
      <c r="LF154" s="32"/>
      <c r="LG154" s="32"/>
      <c r="LH154" s="32"/>
      <c r="LI154" s="32"/>
      <c r="LJ154" s="32"/>
      <c r="LK154" s="32"/>
      <c r="LL154" s="32"/>
      <c r="LM154" s="32"/>
      <c r="LN154" s="32"/>
      <c r="LO154" s="32"/>
      <c r="LP154" s="32"/>
      <c r="LQ154" s="32"/>
      <c r="LR154" s="32"/>
      <c r="LS154" s="32"/>
      <c r="LT154" s="32"/>
      <c r="LU154" s="32"/>
      <c r="LV154" s="32"/>
      <c r="LW154" s="32"/>
      <c r="LX154" s="32"/>
      <c r="LY154" s="32"/>
      <c r="LZ154" s="32"/>
      <c r="MA154" s="32"/>
      <c r="MB154" s="32"/>
      <c r="MC154" s="32"/>
      <c r="MD154" s="32"/>
      <c r="ME154" s="32"/>
      <c r="MF154" s="32"/>
      <c r="MG154" s="32"/>
      <c r="MH154" s="32"/>
      <c r="MI154" s="32"/>
      <c r="MJ154" s="32"/>
      <c r="MK154" s="32"/>
      <c r="ML154" s="32"/>
      <c r="MM154" s="32"/>
      <c r="MN154" s="32"/>
      <c r="MO154" s="32"/>
      <c r="MP154" s="32"/>
      <c r="MQ154" s="32"/>
      <c r="MR154" s="32"/>
      <c r="MS154" s="32"/>
      <c r="MT154" s="32"/>
      <c r="MU154" s="32"/>
      <c r="MV154" s="32"/>
      <c r="MW154" s="32"/>
      <c r="MX154" s="32"/>
      <c r="MY154" s="32"/>
      <c r="MZ154" s="32"/>
      <c r="NA154" s="32"/>
      <c r="NB154" s="32"/>
      <c r="NC154" s="32"/>
      <c r="ND154" s="32"/>
      <c r="NE154" s="32"/>
      <c r="NF154" s="32"/>
      <c r="NG154" s="32"/>
      <c r="NH154" s="32"/>
      <c r="NI154" s="32"/>
      <c r="NJ154" s="32"/>
      <c r="NK154" s="32"/>
      <c r="NL154" s="32"/>
      <c r="NM154" s="32"/>
      <c r="NN154" s="32"/>
      <c r="NO154" s="32"/>
      <c r="NP154" s="32"/>
      <c r="NQ154" s="32"/>
      <c r="NR154" s="32"/>
      <c r="NS154" s="32"/>
      <c r="NT154" s="32"/>
      <c r="NU154" s="32"/>
      <c r="NV154" s="32"/>
      <c r="NW154" s="32"/>
      <c r="NX154" s="32"/>
      <c r="NY154" s="32"/>
      <c r="NZ154" s="32"/>
      <c r="OA154" s="32"/>
      <c r="OB154" s="32"/>
      <c r="OC154" s="32"/>
      <c r="OD154" s="32"/>
      <c r="OE154" s="32"/>
      <c r="OF154" s="32"/>
      <c r="OG154" s="32"/>
      <c r="OH154" s="32"/>
      <c r="OI154" s="32"/>
      <c r="OJ154" s="32"/>
      <c r="OK154" s="32"/>
      <c r="OL154" s="32"/>
      <c r="OM154" s="32"/>
      <c r="ON154" s="32"/>
      <c r="OO154" s="32"/>
      <c r="OP154" s="32"/>
      <c r="OQ154" s="32"/>
      <c r="OR154" s="32"/>
      <c r="OS154" s="32"/>
      <c r="OT154" s="32"/>
      <c r="OU154" s="32"/>
      <c r="OV154" s="32"/>
      <c r="OW154" s="32"/>
      <c r="OX154" s="32"/>
      <c r="OY154" s="32"/>
      <c r="OZ154" s="32"/>
      <c r="PA154" s="32"/>
      <c r="PB154" s="32"/>
      <c r="PC154" s="32"/>
      <c r="PD154" s="32"/>
      <c r="PE154" s="32"/>
      <c r="PF154" s="32"/>
      <c r="PG154" s="32"/>
      <c r="PH154" s="32"/>
      <c r="PI154" s="32"/>
      <c r="PJ154" s="32"/>
      <c r="PK154" s="32"/>
      <c r="PL154" s="32"/>
      <c r="PM154" s="32"/>
      <c r="PN154" s="32"/>
      <c r="PO154" s="32"/>
      <c r="PP154" s="32"/>
      <c r="PQ154" s="32"/>
      <c r="PR154" s="32"/>
      <c r="PS154" s="32"/>
      <c r="PT154" s="32"/>
      <c r="PU154" s="32"/>
      <c r="PV154" s="32"/>
      <c r="PW154" s="32"/>
      <c r="PX154" s="32"/>
      <c r="PY154" s="32"/>
      <c r="PZ154" s="32"/>
      <c r="QA154" s="32"/>
      <c r="QB154" s="32"/>
      <c r="QC154" s="32"/>
      <c r="QD154" s="32"/>
      <c r="QE154" s="32"/>
      <c r="QF154" s="32"/>
      <c r="QG154" s="32"/>
      <c r="QH154" s="32"/>
      <c r="QI154" s="32"/>
      <c r="QJ154" s="32"/>
      <c r="QK154" s="32"/>
      <c r="QL154" s="32"/>
      <c r="QM154" s="32"/>
      <c r="QN154" s="32"/>
      <c r="QO154" s="32"/>
      <c r="QP154" s="32"/>
      <c r="QQ154" s="32"/>
      <c r="QR154" s="32"/>
      <c r="QS154" s="32"/>
      <c r="QT154" s="32"/>
      <c r="QU154" s="32"/>
      <c r="QV154" s="32"/>
      <c r="QW154" s="32"/>
      <c r="QX154" s="32"/>
      <c r="QY154" s="32"/>
      <c r="QZ154" s="32"/>
      <c r="RA154" s="32"/>
      <c r="RB154" s="32"/>
      <c r="RC154" s="32"/>
      <c r="RD154" s="32"/>
      <c r="RE154" s="32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</row>
    <row r="155" spans="1:486" s="9" customFormat="1">
      <c r="A155" s="137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2"/>
      <c r="GN155" s="32"/>
      <c r="GO155" s="32"/>
      <c r="GP155" s="32"/>
      <c r="GQ155" s="32"/>
      <c r="GR155" s="32"/>
      <c r="GS155" s="32"/>
      <c r="GT155" s="32"/>
      <c r="GU155" s="32"/>
      <c r="GV155" s="32"/>
      <c r="GW155" s="32"/>
      <c r="GX155" s="32"/>
      <c r="GY155" s="32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/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32"/>
      <c r="KP155" s="32"/>
      <c r="KQ155" s="32"/>
      <c r="KR155" s="32"/>
      <c r="KS155" s="32"/>
      <c r="KT155" s="32"/>
      <c r="KU155" s="32"/>
      <c r="KV155" s="32"/>
      <c r="KW155" s="32"/>
      <c r="KX155" s="32"/>
      <c r="KY155" s="32"/>
      <c r="KZ155" s="32"/>
      <c r="LA155" s="32"/>
      <c r="LB155" s="32"/>
      <c r="LC155" s="32"/>
      <c r="LD155" s="32"/>
      <c r="LE155" s="32"/>
      <c r="LF155" s="32"/>
      <c r="LG155" s="32"/>
      <c r="LH155" s="32"/>
      <c r="LI155" s="32"/>
      <c r="LJ155" s="32"/>
      <c r="LK155" s="32"/>
      <c r="LL155" s="32"/>
      <c r="LM155" s="32"/>
      <c r="LN155" s="32"/>
      <c r="LO155" s="32"/>
      <c r="LP155" s="32"/>
      <c r="LQ155" s="32"/>
      <c r="LR155" s="32"/>
      <c r="LS155" s="32"/>
      <c r="LT155" s="32"/>
      <c r="LU155" s="32"/>
      <c r="LV155" s="32"/>
      <c r="LW155" s="32"/>
      <c r="LX155" s="32"/>
      <c r="LY155" s="32"/>
      <c r="LZ155" s="32"/>
      <c r="MA155" s="32"/>
      <c r="MB155" s="32"/>
      <c r="MC155" s="32"/>
      <c r="MD155" s="32"/>
      <c r="ME155" s="32"/>
      <c r="MF155" s="32"/>
      <c r="MG155" s="32"/>
      <c r="MH155" s="32"/>
      <c r="MI155" s="32"/>
      <c r="MJ155" s="32"/>
      <c r="MK155" s="32"/>
      <c r="ML155" s="32"/>
      <c r="MM155" s="32"/>
      <c r="MN155" s="32"/>
      <c r="MO155" s="32"/>
      <c r="MP155" s="32"/>
      <c r="MQ155" s="32"/>
      <c r="MR155" s="32"/>
      <c r="MS155" s="32"/>
      <c r="MT155" s="32"/>
      <c r="MU155" s="32"/>
      <c r="MV155" s="32"/>
      <c r="MW155" s="32"/>
      <c r="MX155" s="32"/>
      <c r="MY155" s="32"/>
      <c r="MZ155" s="32"/>
      <c r="NA155" s="32"/>
      <c r="NB155" s="32"/>
      <c r="NC155" s="32"/>
      <c r="ND155" s="32"/>
      <c r="NE155" s="32"/>
      <c r="NF155" s="32"/>
      <c r="NG155" s="32"/>
      <c r="NH155" s="32"/>
      <c r="NI155" s="32"/>
      <c r="NJ155" s="32"/>
      <c r="NK155" s="32"/>
      <c r="NL155" s="32"/>
      <c r="NM155" s="32"/>
      <c r="NN155" s="32"/>
      <c r="NO155" s="32"/>
      <c r="NP155" s="32"/>
      <c r="NQ155" s="32"/>
      <c r="NR155" s="32"/>
      <c r="NS155" s="32"/>
      <c r="NT155" s="32"/>
      <c r="NU155" s="32"/>
      <c r="NV155" s="32"/>
      <c r="NW155" s="32"/>
      <c r="NX155" s="32"/>
      <c r="NY155" s="32"/>
      <c r="NZ155" s="32"/>
      <c r="OA155" s="32"/>
      <c r="OB155" s="32"/>
      <c r="OC155" s="32"/>
      <c r="OD155" s="32"/>
      <c r="OE155" s="32"/>
      <c r="OF155" s="32"/>
      <c r="OG155" s="32"/>
      <c r="OH155" s="32"/>
      <c r="OI155" s="32"/>
      <c r="OJ155" s="32"/>
      <c r="OK155" s="32"/>
      <c r="OL155" s="32"/>
      <c r="OM155" s="32"/>
      <c r="ON155" s="32"/>
      <c r="OO155" s="32"/>
      <c r="OP155" s="32"/>
      <c r="OQ155" s="32"/>
      <c r="OR155" s="32"/>
      <c r="OS155" s="32"/>
      <c r="OT155" s="32"/>
      <c r="OU155" s="32"/>
      <c r="OV155" s="32"/>
      <c r="OW155" s="32"/>
      <c r="OX155" s="32"/>
      <c r="OY155" s="32"/>
      <c r="OZ155" s="32"/>
      <c r="PA155" s="32"/>
      <c r="PB155" s="32"/>
      <c r="PC155" s="32"/>
      <c r="PD155" s="32"/>
      <c r="PE155" s="32"/>
      <c r="PF155" s="32"/>
      <c r="PG155" s="32"/>
      <c r="PH155" s="32"/>
      <c r="PI155" s="32"/>
      <c r="PJ155" s="32"/>
      <c r="PK155" s="32"/>
      <c r="PL155" s="32"/>
      <c r="PM155" s="32"/>
      <c r="PN155" s="32"/>
      <c r="PO155" s="32"/>
      <c r="PP155" s="32"/>
      <c r="PQ155" s="32"/>
      <c r="PR155" s="32"/>
      <c r="PS155" s="32"/>
      <c r="PT155" s="32"/>
      <c r="PU155" s="32"/>
      <c r="PV155" s="32"/>
      <c r="PW155" s="32"/>
      <c r="PX155" s="32"/>
      <c r="PY155" s="32"/>
      <c r="PZ155" s="32"/>
      <c r="QA155" s="32"/>
      <c r="QB155" s="32"/>
      <c r="QC155" s="32"/>
      <c r="QD155" s="32"/>
      <c r="QE155" s="32"/>
      <c r="QF155" s="32"/>
      <c r="QG155" s="32"/>
      <c r="QH155" s="32"/>
      <c r="QI155" s="32"/>
      <c r="QJ155" s="32"/>
      <c r="QK155" s="32"/>
      <c r="QL155" s="32"/>
      <c r="QM155" s="32"/>
      <c r="QN155" s="32"/>
      <c r="QO155" s="32"/>
      <c r="QP155" s="32"/>
      <c r="QQ155" s="32"/>
      <c r="QR155" s="32"/>
      <c r="QS155" s="32"/>
      <c r="QT155" s="32"/>
      <c r="QU155" s="32"/>
      <c r="QV155" s="32"/>
      <c r="QW155" s="32"/>
      <c r="QX155" s="32"/>
      <c r="QY155" s="32"/>
      <c r="QZ155" s="32"/>
      <c r="RA155" s="32"/>
      <c r="RB155" s="32"/>
      <c r="RC155" s="32"/>
      <c r="RD155" s="32"/>
      <c r="RE155" s="32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</row>
    <row r="156" spans="1:486" s="9" customFormat="1">
      <c r="A156" s="137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2"/>
      <c r="GN156" s="32"/>
      <c r="GO156" s="32"/>
      <c r="GP156" s="32"/>
      <c r="GQ156" s="32"/>
      <c r="GR156" s="32"/>
      <c r="GS156" s="32"/>
      <c r="GT156" s="32"/>
      <c r="GU156" s="32"/>
      <c r="GV156" s="32"/>
      <c r="GW156" s="32"/>
      <c r="GX156" s="32"/>
      <c r="GY156" s="32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/>
      <c r="JZ156" s="32"/>
      <c r="KA156" s="32"/>
      <c r="KB156" s="32"/>
      <c r="KC156" s="32"/>
      <c r="KD156" s="32"/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32"/>
      <c r="KP156" s="32"/>
      <c r="KQ156" s="32"/>
      <c r="KR156" s="32"/>
      <c r="KS156" s="32"/>
      <c r="KT156" s="32"/>
      <c r="KU156" s="32"/>
      <c r="KV156" s="32"/>
      <c r="KW156" s="32"/>
      <c r="KX156" s="32"/>
      <c r="KY156" s="32"/>
      <c r="KZ156" s="32"/>
      <c r="LA156" s="32"/>
      <c r="LB156" s="32"/>
      <c r="LC156" s="32"/>
      <c r="LD156" s="32"/>
      <c r="LE156" s="32"/>
      <c r="LF156" s="32"/>
      <c r="LG156" s="32"/>
      <c r="LH156" s="32"/>
      <c r="LI156" s="32"/>
      <c r="LJ156" s="32"/>
      <c r="LK156" s="32"/>
      <c r="LL156" s="32"/>
      <c r="LM156" s="32"/>
      <c r="LN156" s="32"/>
      <c r="LO156" s="32"/>
      <c r="LP156" s="32"/>
      <c r="LQ156" s="32"/>
      <c r="LR156" s="32"/>
      <c r="LS156" s="32"/>
      <c r="LT156" s="32"/>
      <c r="LU156" s="32"/>
      <c r="LV156" s="32"/>
      <c r="LW156" s="32"/>
      <c r="LX156" s="32"/>
      <c r="LY156" s="32"/>
      <c r="LZ156" s="32"/>
      <c r="MA156" s="32"/>
      <c r="MB156" s="32"/>
      <c r="MC156" s="32"/>
      <c r="MD156" s="32"/>
      <c r="ME156" s="32"/>
      <c r="MF156" s="32"/>
      <c r="MG156" s="32"/>
      <c r="MH156" s="32"/>
      <c r="MI156" s="32"/>
      <c r="MJ156" s="32"/>
      <c r="MK156" s="32"/>
      <c r="ML156" s="32"/>
      <c r="MM156" s="32"/>
      <c r="MN156" s="32"/>
      <c r="MO156" s="32"/>
      <c r="MP156" s="32"/>
      <c r="MQ156" s="32"/>
      <c r="MR156" s="32"/>
      <c r="MS156" s="32"/>
      <c r="MT156" s="32"/>
      <c r="MU156" s="32"/>
      <c r="MV156" s="32"/>
      <c r="MW156" s="32"/>
      <c r="MX156" s="32"/>
      <c r="MY156" s="32"/>
      <c r="MZ156" s="32"/>
      <c r="NA156" s="32"/>
      <c r="NB156" s="32"/>
      <c r="NC156" s="32"/>
      <c r="ND156" s="32"/>
      <c r="NE156" s="32"/>
      <c r="NF156" s="32"/>
      <c r="NG156" s="32"/>
      <c r="NH156" s="32"/>
      <c r="NI156" s="32"/>
      <c r="NJ156" s="32"/>
      <c r="NK156" s="32"/>
      <c r="NL156" s="32"/>
      <c r="NM156" s="32"/>
      <c r="NN156" s="32"/>
      <c r="NO156" s="32"/>
      <c r="NP156" s="32"/>
      <c r="NQ156" s="32"/>
      <c r="NR156" s="32"/>
      <c r="NS156" s="32"/>
      <c r="NT156" s="32"/>
      <c r="NU156" s="32"/>
      <c r="NV156" s="32"/>
      <c r="NW156" s="32"/>
      <c r="NX156" s="32"/>
      <c r="NY156" s="32"/>
      <c r="NZ156" s="32"/>
      <c r="OA156" s="32"/>
      <c r="OB156" s="32"/>
      <c r="OC156" s="32"/>
      <c r="OD156" s="32"/>
      <c r="OE156" s="32"/>
      <c r="OF156" s="32"/>
      <c r="OG156" s="32"/>
      <c r="OH156" s="32"/>
      <c r="OI156" s="32"/>
      <c r="OJ156" s="32"/>
      <c r="OK156" s="32"/>
      <c r="OL156" s="32"/>
      <c r="OM156" s="32"/>
      <c r="ON156" s="32"/>
      <c r="OO156" s="32"/>
      <c r="OP156" s="32"/>
      <c r="OQ156" s="32"/>
      <c r="OR156" s="32"/>
      <c r="OS156" s="32"/>
      <c r="OT156" s="32"/>
      <c r="OU156" s="32"/>
      <c r="OV156" s="32"/>
      <c r="OW156" s="32"/>
      <c r="OX156" s="32"/>
      <c r="OY156" s="32"/>
      <c r="OZ156" s="32"/>
      <c r="PA156" s="32"/>
      <c r="PB156" s="32"/>
      <c r="PC156" s="32"/>
      <c r="PD156" s="32"/>
      <c r="PE156" s="32"/>
      <c r="PF156" s="32"/>
      <c r="PG156" s="32"/>
      <c r="PH156" s="32"/>
      <c r="PI156" s="32"/>
      <c r="PJ156" s="32"/>
      <c r="PK156" s="32"/>
      <c r="PL156" s="32"/>
      <c r="PM156" s="32"/>
      <c r="PN156" s="32"/>
      <c r="PO156" s="32"/>
      <c r="PP156" s="32"/>
      <c r="PQ156" s="32"/>
      <c r="PR156" s="32"/>
      <c r="PS156" s="32"/>
      <c r="PT156" s="32"/>
      <c r="PU156" s="32"/>
      <c r="PV156" s="32"/>
      <c r="PW156" s="32"/>
      <c r="PX156" s="32"/>
      <c r="PY156" s="32"/>
      <c r="PZ156" s="32"/>
      <c r="QA156" s="32"/>
      <c r="QB156" s="32"/>
      <c r="QC156" s="32"/>
      <c r="QD156" s="32"/>
      <c r="QE156" s="32"/>
      <c r="QF156" s="32"/>
      <c r="QG156" s="32"/>
      <c r="QH156" s="32"/>
      <c r="QI156" s="32"/>
      <c r="QJ156" s="32"/>
      <c r="QK156" s="32"/>
      <c r="QL156" s="32"/>
      <c r="QM156" s="32"/>
      <c r="QN156" s="32"/>
      <c r="QO156" s="32"/>
      <c r="QP156" s="32"/>
      <c r="QQ156" s="32"/>
      <c r="QR156" s="32"/>
      <c r="QS156" s="32"/>
      <c r="QT156" s="32"/>
      <c r="QU156" s="32"/>
      <c r="QV156" s="32"/>
      <c r="QW156" s="32"/>
      <c r="QX156" s="32"/>
      <c r="QY156" s="32"/>
      <c r="QZ156" s="32"/>
      <c r="RA156" s="32"/>
      <c r="RB156" s="32"/>
      <c r="RC156" s="32"/>
      <c r="RD156" s="32"/>
      <c r="RE156" s="32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</row>
    <row r="157" spans="1:486" s="9" customFormat="1">
      <c r="A157" s="137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  <c r="GR157" s="32"/>
      <c r="GS157" s="32"/>
      <c r="GT157" s="32"/>
      <c r="GU157" s="32"/>
      <c r="GV157" s="32"/>
      <c r="GW157" s="32"/>
      <c r="GX157" s="32"/>
      <c r="GY157" s="32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32"/>
      <c r="KP157" s="32"/>
      <c r="KQ157" s="32"/>
      <c r="KR157" s="32"/>
      <c r="KS157" s="32"/>
      <c r="KT157" s="32"/>
      <c r="KU157" s="32"/>
      <c r="KV157" s="32"/>
      <c r="KW157" s="32"/>
      <c r="KX157" s="32"/>
      <c r="KY157" s="32"/>
      <c r="KZ157" s="32"/>
      <c r="LA157" s="32"/>
      <c r="LB157" s="32"/>
      <c r="LC157" s="32"/>
      <c r="LD157" s="32"/>
      <c r="LE157" s="32"/>
      <c r="LF157" s="32"/>
      <c r="LG157" s="32"/>
      <c r="LH157" s="32"/>
      <c r="LI157" s="32"/>
      <c r="LJ157" s="32"/>
      <c r="LK157" s="32"/>
      <c r="LL157" s="32"/>
      <c r="LM157" s="32"/>
      <c r="LN157" s="32"/>
      <c r="LO157" s="32"/>
      <c r="LP157" s="32"/>
      <c r="LQ157" s="32"/>
      <c r="LR157" s="32"/>
      <c r="LS157" s="32"/>
      <c r="LT157" s="32"/>
      <c r="LU157" s="32"/>
      <c r="LV157" s="32"/>
      <c r="LW157" s="32"/>
      <c r="LX157" s="32"/>
      <c r="LY157" s="32"/>
      <c r="LZ157" s="32"/>
      <c r="MA157" s="32"/>
      <c r="MB157" s="32"/>
      <c r="MC157" s="32"/>
      <c r="MD157" s="32"/>
      <c r="ME157" s="32"/>
      <c r="MF157" s="32"/>
      <c r="MG157" s="32"/>
      <c r="MH157" s="32"/>
      <c r="MI157" s="32"/>
      <c r="MJ157" s="32"/>
      <c r="MK157" s="32"/>
      <c r="ML157" s="32"/>
      <c r="MM157" s="32"/>
      <c r="MN157" s="32"/>
      <c r="MO157" s="32"/>
      <c r="MP157" s="32"/>
      <c r="MQ157" s="32"/>
      <c r="MR157" s="32"/>
      <c r="MS157" s="32"/>
      <c r="MT157" s="32"/>
      <c r="MU157" s="32"/>
      <c r="MV157" s="32"/>
      <c r="MW157" s="32"/>
      <c r="MX157" s="32"/>
      <c r="MY157" s="32"/>
      <c r="MZ157" s="32"/>
      <c r="NA157" s="32"/>
      <c r="NB157" s="32"/>
      <c r="NC157" s="32"/>
      <c r="ND157" s="32"/>
      <c r="NE157" s="32"/>
      <c r="NF157" s="32"/>
      <c r="NG157" s="32"/>
      <c r="NH157" s="32"/>
      <c r="NI157" s="32"/>
      <c r="NJ157" s="32"/>
      <c r="NK157" s="32"/>
      <c r="NL157" s="32"/>
      <c r="NM157" s="32"/>
      <c r="NN157" s="32"/>
      <c r="NO157" s="32"/>
      <c r="NP157" s="32"/>
      <c r="NQ157" s="32"/>
      <c r="NR157" s="32"/>
      <c r="NS157" s="32"/>
      <c r="NT157" s="32"/>
      <c r="NU157" s="32"/>
      <c r="NV157" s="32"/>
      <c r="NW157" s="32"/>
      <c r="NX157" s="32"/>
      <c r="NY157" s="32"/>
      <c r="NZ157" s="32"/>
      <c r="OA157" s="32"/>
      <c r="OB157" s="32"/>
      <c r="OC157" s="32"/>
      <c r="OD157" s="32"/>
      <c r="OE157" s="32"/>
      <c r="OF157" s="32"/>
      <c r="OG157" s="32"/>
      <c r="OH157" s="32"/>
      <c r="OI157" s="32"/>
      <c r="OJ157" s="32"/>
      <c r="OK157" s="32"/>
      <c r="OL157" s="32"/>
      <c r="OM157" s="32"/>
      <c r="ON157" s="32"/>
      <c r="OO157" s="32"/>
      <c r="OP157" s="32"/>
      <c r="OQ157" s="32"/>
      <c r="OR157" s="32"/>
      <c r="OS157" s="32"/>
      <c r="OT157" s="32"/>
      <c r="OU157" s="32"/>
      <c r="OV157" s="32"/>
      <c r="OW157" s="32"/>
      <c r="OX157" s="32"/>
      <c r="OY157" s="32"/>
      <c r="OZ157" s="32"/>
      <c r="PA157" s="32"/>
      <c r="PB157" s="32"/>
      <c r="PC157" s="32"/>
      <c r="PD157" s="32"/>
      <c r="PE157" s="32"/>
      <c r="PF157" s="32"/>
      <c r="PG157" s="32"/>
      <c r="PH157" s="32"/>
      <c r="PI157" s="32"/>
      <c r="PJ157" s="32"/>
      <c r="PK157" s="32"/>
      <c r="PL157" s="32"/>
      <c r="PM157" s="32"/>
      <c r="PN157" s="32"/>
      <c r="PO157" s="32"/>
      <c r="PP157" s="32"/>
      <c r="PQ157" s="32"/>
      <c r="PR157" s="32"/>
      <c r="PS157" s="32"/>
      <c r="PT157" s="32"/>
      <c r="PU157" s="32"/>
      <c r="PV157" s="32"/>
      <c r="PW157" s="32"/>
      <c r="PX157" s="32"/>
      <c r="PY157" s="32"/>
      <c r="PZ157" s="32"/>
      <c r="QA157" s="32"/>
      <c r="QB157" s="32"/>
      <c r="QC157" s="32"/>
      <c r="QD157" s="32"/>
      <c r="QE157" s="32"/>
      <c r="QF157" s="32"/>
      <c r="QG157" s="32"/>
      <c r="QH157" s="32"/>
      <c r="QI157" s="32"/>
      <c r="QJ157" s="32"/>
      <c r="QK157" s="32"/>
      <c r="QL157" s="32"/>
      <c r="QM157" s="32"/>
      <c r="QN157" s="32"/>
      <c r="QO157" s="32"/>
      <c r="QP157" s="32"/>
      <c r="QQ157" s="32"/>
      <c r="QR157" s="32"/>
      <c r="QS157" s="32"/>
      <c r="QT157" s="32"/>
      <c r="QU157" s="32"/>
      <c r="QV157" s="32"/>
      <c r="QW157" s="32"/>
      <c r="QX157" s="32"/>
      <c r="QY157" s="32"/>
      <c r="QZ157" s="32"/>
      <c r="RA157" s="32"/>
      <c r="RB157" s="32"/>
      <c r="RC157" s="32"/>
      <c r="RD157" s="32"/>
      <c r="RE157" s="32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</row>
    <row r="158" spans="1:486" s="9" customFormat="1">
      <c r="A158" s="137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2"/>
      <c r="GN158" s="32"/>
      <c r="GO158" s="32"/>
      <c r="GP158" s="32"/>
      <c r="GQ158" s="32"/>
      <c r="GR158" s="32"/>
      <c r="GS158" s="32"/>
      <c r="GT158" s="32"/>
      <c r="GU158" s="32"/>
      <c r="GV158" s="32"/>
      <c r="GW158" s="32"/>
      <c r="GX158" s="32"/>
      <c r="GY158" s="32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32"/>
      <c r="KP158" s="32"/>
      <c r="KQ158" s="32"/>
      <c r="KR158" s="32"/>
      <c r="KS158" s="32"/>
      <c r="KT158" s="32"/>
      <c r="KU158" s="32"/>
      <c r="KV158" s="32"/>
      <c r="KW158" s="32"/>
      <c r="KX158" s="32"/>
      <c r="KY158" s="32"/>
      <c r="KZ158" s="32"/>
      <c r="LA158" s="32"/>
      <c r="LB158" s="32"/>
      <c r="LC158" s="32"/>
      <c r="LD158" s="32"/>
      <c r="LE158" s="32"/>
      <c r="LF158" s="32"/>
      <c r="LG158" s="32"/>
      <c r="LH158" s="32"/>
      <c r="LI158" s="32"/>
      <c r="LJ158" s="32"/>
      <c r="LK158" s="32"/>
      <c r="LL158" s="32"/>
      <c r="LM158" s="32"/>
      <c r="LN158" s="32"/>
      <c r="LO158" s="32"/>
      <c r="LP158" s="32"/>
      <c r="LQ158" s="32"/>
      <c r="LR158" s="32"/>
      <c r="LS158" s="32"/>
      <c r="LT158" s="32"/>
      <c r="LU158" s="32"/>
      <c r="LV158" s="32"/>
      <c r="LW158" s="32"/>
      <c r="LX158" s="32"/>
      <c r="LY158" s="32"/>
      <c r="LZ158" s="32"/>
      <c r="MA158" s="32"/>
      <c r="MB158" s="32"/>
      <c r="MC158" s="32"/>
      <c r="MD158" s="32"/>
      <c r="ME158" s="32"/>
      <c r="MF158" s="32"/>
      <c r="MG158" s="32"/>
      <c r="MH158" s="32"/>
      <c r="MI158" s="32"/>
      <c r="MJ158" s="32"/>
      <c r="MK158" s="32"/>
      <c r="ML158" s="32"/>
      <c r="MM158" s="32"/>
      <c r="MN158" s="32"/>
      <c r="MO158" s="32"/>
      <c r="MP158" s="32"/>
      <c r="MQ158" s="32"/>
      <c r="MR158" s="32"/>
      <c r="MS158" s="32"/>
      <c r="MT158" s="32"/>
      <c r="MU158" s="32"/>
      <c r="MV158" s="32"/>
      <c r="MW158" s="32"/>
      <c r="MX158" s="32"/>
      <c r="MY158" s="32"/>
      <c r="MZ158" s="32"/>
      <c r="NA158" s="32"/>
      <c r="NB158" s="32"/>
      <c r="NC158" s="32"/>
      <c r="ND158" s="32"/>
      <c r="NE158" s="32"/>
      <c r="NF158" s="32"/>
      <c r="NG158" s="32"/>
      <c r="NH158" s="32"/>
      <c r="NI158" s="32"/>
      <c r="NJ158" s="32"/>
      <c r="NK158" s="32"/>
      <c r="NL158" s="32"/>
      <c r="NM158" s="32"/>
      <c r="NN158" s="32"/>
      <c r="NO158" s="32"/>
      <c r="NP158" s="32"/>
      <c r="NQ158" s="32"/>
      <c r="NR158" s="32"/>
      <c r="NS158" s="32"/>
      <c r="NT158" s="32"/>
      <c r="NU158" s="32"/>
      <c r="NV158" s="32"/>
      <c r="NW158" s="32"/>
      <c r="NX158" s="32"/>
      <c r="NY158" s="32"/>
      <c r="NZ158" s="32"/>
      <c r="OA158" s="32"/>
      <c r="OB158" s="32"/>
      <c r="OC158" s="32"/>
      <c r="OD158" s="32"/>
      <c r="OE158" s="32"/>
      <c r="OF158" s="32"/>
      <c r="OG158" s="32"/>
      <c r="OH158" s="32"/>
      <c r="OI158" s="32"/>
      <c r="OJ158" s="32"/>
      <c r="OK158" s="32"/>
      <c r="OL158" s="32"/>
      <c r="OM158" s="32"/>
      <c r="ON158" s="32"/>
      <c r="OO158" s="32"/>
      <c r="OP158" s="32"/>
      <c r="OQ158" s="32"/>
      <c r="OR158" s="32"/>
      <c r="OS158" s="32"/>
      <c r="OT158" s="32"/>
      <c r="OU158" s="32"/>
      <c r="OV158" s="32"/>
      <c r="OW158" s="32"/>
      <c r="OX158" s="32"/>
      <c r="OY158" s="32"/>
      <c r="OZ158" s="32"/>
      <c r="PA158" s="32"/>
      <c r="PB158" s="32"/>
      <c r="PC158" s="32"/>
      <c r="PD158" s="32"/>
      <c r="PE158" s="32"/>
      <c r="PF158" s="32"/>
      <c r="PG158" s="32"/>
      <c r="PH158" s="32"/>
      <c r="PI158" s="32"/>
      <c r="PJ158" s="32"/>
      <c r="PK158" s="32"/>
      <c r="PL158" s="32"/>
      <c r="PM158" s="32"/>
      <c r="PN158" s="32"/>
      <c r="PO158" s="32"/>
      <c r="PP158" s="32"/>
      <c r="PQ158" s="32"/>
      <c r="PR158" s="32"/>
      <c r="PS158" s="32"/>
      <c r="PT158" s="32"/>
      <c r="PU158" s="32"/>
      <c r="PV158" s="32"/>
      <c r="PW158" s="32"/>
      <c r="PX158" s="32"/>
      <c r="PY158" s="32"/>
      <c r="PZ158" s="32"/>
      <c r="QA158" s="32"/>
      <c r="QB158" s="32"/>
      <c r="QC158" s="32"/>
      <c r="QD158" s="32"/>
      <c r="QE158" s="32"/>
      <c r="QF158" s="32"/>
      <c r="QG158" s="32"/>
      <c r="QH158" s="32"/>
      <c r="QI158" s="32"/>
      <c r="QJ158" s="32"/>
      <c r="QK158" s="32"/>
      <c r="QL158" s="32"/>
      <c r="QM158" s="32"/>
      <c r="QN158" s="32"/>
      <c r="QO158" s="32"/>
      <c r="QP158" s="32"/>
      <c r="QQ158" s="32"/>
      <c r="QR158" s="32"/>
      <c r="QS158" s="32"/>
      <c r="QT158" s="32"/>
      <c r="QU158" s="32"/>
      <c r="QV158" s="32"/>
      <c r="QW158" s="32"/>
      <c r="QX158" s="32"/>
      <c r="QY158" s="32"/>
      <c r="QZ158" s="32"/>
      <c r="RA158" s="32"/>
      <c r="RB158" s="32"/>
      <c r="RC158" s="32"/>
      <c r="RD158" s="32"/>
      <c r="RE158" s="32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</row>
    <row r="159" spans="1:486" s="9" customFormat="1">
      <c r="A159" s="137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32"/>
      <c r="DQ159" s="32"/>
      <c r="DR159" s="32"/>
      <c r="DS159" s="32"/>
      <c r="DT159" s="32"/>
      <c r="DU159" s="32"/>
      <c r="DV159" s="32"/>
      <c r="DW159" s="32"/>
      <c r="DX159" s="32"/>
      <c r="DY159" s="32"/>
      <c r="DZ159" s="32"/>
      <c r="EA159" s="32"/>
      <c r="EB159" s="32"/>
      <c r="EC159" s="32"/>
      <c r="ED159" s="32"/>
      <c r="EE159" s="32"/>
      <c r="EF159" s="32"/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/>
      <c r="EW159" s="32"/>
      <c r="EX159" s="32"/>
      <c r="EY159" s="32"/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2"/>
      <c r="FP159" s="32"/>
      <c r="FQ159" s="32"/>
      <c r="FR159" s="32"/>
      <c r="FS159" s="32"/>
      <c r="FT159" s="32"/>
      <c r="FU159" s="32"/>
      <c r="FV159" s="32"/>
      <c r="FW159" s="32"/>
      <c r="FX159" s="32"/>
      <c r="FY159" s="32"/>
      <c r="FZ159" s="32"/>
      <c r="GA159" s="32"/>
      <c r="GB159" s="32"/>
      <c r="GC159" s="32"/>
      <c r="GD159" s="32"/>
      <c r="GE159" s="32"/>
      <c r="GF159" s="32"/>
      <c r="GG159" s="32"/>
      <c r="GH159" s="32"/>
      <c r="GI159" s="32"/>
      <c r="GJ159" s="32"/>
      <c r="GK159" s="32"/>
      <c r="GL159" s="32"/>
      <c r="GM159" s="32"/>
      <c r="GN159" s="32"/>
      <c r="GO159" s="32"/>
      <c r="GP159" s="32"/>
      <c r="GQ159" s="32"/>
      <c r="GR159" s="32"/>
      <c r="GS159" s="32"/>
      <c r="GT159" s="32"/>
      <c r="GU159" s="32"/>
      <c r="GV159" s="32"/>
      <c r="GW159" s="32"/>
      <c r="GX159" s="32"/>
      <c r="GY159" s="32"/>
      <c r="GZ159" s="32"/>
      <c r="HA159" s="32"/>
      <c r="HB159" s="32"/>
      <c r="HC159" s="32"/>
      <c r="HD159" s="32"/>
      <c r="HE159" s="32"/>
      <c r="HF159" s="32"/>
      <c r="HG159" s="32"/>
      <c r="HH159" s="32"/>
      <c r="HI159" s="32"/>
      <c r="HJ159" s="32"/>
      <c r="HK159" s="32"/>
      <c r="HL159" s="32"/>
      <c r="HM159" s="32"/>
      <c r="HN159" s="32"/>
      <c r="HO159" s="32"/>
      <c r="HP159" s="32"/>
      <c r="HQ159" s="32"/>
      <c r="HR159" s="32"/>
      <c r="HS159" s="32"/>
      <c r="HT159" s="32"/>
      <c r="HU159" s="32"/>
      <c r="HV159" s="32"/>
      <c r="HW159" s="32"/>
      <c r="HX159" s="32"/>
      <c r="HY159" s="32"/>
      <c r="HZ159" s="32"/>
      <c r="IA159" s="32"/>
      <c r="IB159" s="32"/>
      <c r="IC159" s="32"/>
      <c r="ID159" s="32"/>
      <c r="IE159" s="32"/>
      <c r="IF159" s="32"/>
      <c r="IG159" s="32"/>
      <c r="IH159" s="32"/>
      <c r="II159" s="32"/>
      <c r="IJ159" s="32"/>
      <c r="IK159" s="32"/>
      <c r="IL159" s="32"/>
      <c r="IM159" s="32"/>
      <c r="IN159" s="32"/>
      <c r="IO159" s="32"/>
      <c r="IP159" s="32"/>
      <c r="IQ159" s="32"/>
      <c r="IR159" s="32"/>
      <c r="IS159" s="32"/>
      <c r="IT159" s="32"/>
      <c r="IU159" s="32"/>
      <c r="IV159" s="32"/>
      <c r="IW159" s="32"/>
      <c r="IX159" s="32"/>
      <c r="IY159" s="32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32"/>
      <c r="KP159" s="32"/>
      <c r="KQ159" s="32"/>
      <c r="KR159" s="32"/>
      <c r="KS159" s="32"/>
      <c r="KT159" s="32"/>
      <c r="KU159" s="32"/>
      <c r="KV159" s="32"/>
      <c r="KW159" s="32"/>
      <c r="KX159" s="32"/>
      <c r="KY159" s="32"/>
      <c r="KZ159" s="32"/>
      <c r="LA159" s="32"/>
      <c r="LB159" s="32"/>
      <c r="LC159" s="32"/>
      <c r="LD159" s="32"/>
      <c r="LE159" s="32"/>
      <c r="LF159" s="32"/>
      <c r="LG159" s="32"/>
      <c r="LH159" s="32"/>
      <c r="LI159" s="32"/>
      <c r="LJ159" s="32"/>
      <c r="LK159" s="32"/>
      <c r="LL159" s="32"/>
      <c r="LM159" s="32"/>
      <c r="LN159" s="32"/>
      <c r="LO159" s="32"/>
      <c r="LP159" s="32"/>
      <c r="LQ159" s="32"/>
      <c r="LR159" s="32"/>
      <c r="LS159" s="32"/>
      <c r="LT159" s="32"/>
      <c r="LU159" s="32"/>
      <c r="LV159" s="32"/>
      <c r="LW159" s="32"/>
      <c r="LX159" s="32"/>
      <c r="LY159" s="32"/>
      <c r="LZ159" s="32"/>
      <c r="MA159" s="32"/>
      <c r="MB159" s="32"/>
      <c r="MC159" s="32"/>
      <c r="MD159" s="32"/>
      <c r="ME159" s="32"/>
      <c r="MF159" s="32"/>
      <c r="MG159" s="32"/>
      <c r="MH159" s="32"/>
      <c r="MI159" s="32"/>
      <c r="MJ159" s="32"/>
      <c r="MK159" s="32"/>
      <c r="ML159" s="32"/>
      <c r="MM159" s="32"/>
      <c r="MN159" s="32"/>
      <c r="MO159" s="32"/>
      <c r="MP159" s="32"/>
      <c r="MQ159" s="32"/>
      <c r="MR159" s="32"/>
      <c r="MS159" s="32"/>
      <c r="MT159" s="32"/>
      <c r="MU159" s="32"/>
      <c r="MV159" s="32"/>
      <c r="MW159" s="32"/>
      <c r="MX159" s="32"/>
      <c r="MY159" s="32"/>
      <c r="MZ159" s="32"/>
      <c r="NA159" s="32"/>
      <c r="NB159" s="32"/>
      <c r="NC159" s="32"/>
      <c r="ND159" s="32"/>
      <c r="NE159" s="32"/>
      <c r="NF159" s="32"/>
      <c r="NG159" s="32"/>
      <c r="NH159" s="32"/>
      <c r="NI159" s="32"/>
      <c r="NJ159" s="32"/>
      <c r="NK159" s="32"/>
      <c r="NL159" s="32"/>
      <c r="NM159" s="32"/>
      <c r="NN159" s="32"/>
      <c r="NO159" s="32"/>
      <c r="NP159" s="32"/>
      <c r="NQ159" s="32"/>
      <c r="NR159" s="32"/>
      <c r="NS159" s="32"/>
      <c r="NT159" s="32"/>
      <c r="NU159" s="32"/>
      <c r="NV159" s="32"/>
      <c r="NW159" s="32"/>
      <c r="NX159" s="32"/>
      <c r="NY159" s="32"/>
      <c r="NZ159" s="32"/>
      <c r="OA159" s="32"/>
      <c r="OB159" s="32"/>
      <c r="OC159" s="32"/>
      <c r="OD159" s="32"/>
      <c r="OE159" s="32"/>
      <c r="OF159" s="32"/>
      <c r="OG159" s="32"/>
      <c r="OH159" s="32"/>
      <c r="OI159" s="32"/>
      <c r="OJ159" s="32"/>
      <c r="OK159" s="32"/>
      <c r="OL159" s="32"/>
      <c r="OM159" s="32"/>
      <c r="ON159" s="32"/>
      <c r="OO159" s="32"/>
      <c r="OP159" s="32"/>
      <c r="OQ159" s="32"/>
      <c r="OR159" s="32"/>
      <c r="OS159" s="32"/>
      <c r="OT159" s="32"/>
      <c r="OU159" s="32"/>
      <c r="OV159" s="32"/>
      <c r="OW159" s="32"/>
      <c r="OX159" s="32"/>
      <c r="OY159" s="32"/>
      <c r="OZ159" s="32"/>
      <c r="PA159" s="32"/>
      <c r="PB159" s="32"/>
      <c r="PC159" s="32"/>
      <c r="PD159" s="32"/>
      <c r="PE159" s="32"/>
      <c r="PF159" s="32"/>
      <c r="PG159" s="32"/>
      <c r="PH159" s="32"/>
      <c r="PI159" s="32"/>
      <c r="PJ159" s="32"/>
      <c r="PK159" s="32"/>
      <c r="PL159" s="32"/>
      <c r="PM159" s="32"/>
      <c r="PN159" s="32"/>
      <c r="PO159" s="32"/>
      <c r="PP159" s="32"/>
      <c r="PQ159" s="32"/>
      <c r="PR159" s="32"/>
      <c r="PS159" s="32"/>
      <c r="PT159" s="32"/>
      <c r="PU159" s="32"/>
      <c r="PV159" s="32"/>
      <c r="PW159" s="32"/>
      <c r="PX159" s="32"/>
      <c r="PY159" s="32"/>
      <c r="PZ159" s="32"/>
      <c r="QA159" s="32"/>
      <c r="QB159" s="32"/>
      <c r="QC159" s="32"/>
      <c r="QD159" s="32"/>
      <c r="QE159" s="32"/>
      <c r="QF159" s="32"/>
      <c r="QG159" s="32"/>
      <c r="QH159" s="32"/>
      <c r="QI159" s="32"/>
      <c r="QJ159" s="32"/>
      <c r="QK159" s="32"/>
      <c r="QL159" s="32"/>
      <c r="QM159" s="32"/>
      <c r="QN159" s="32"/>
      <c r="QO159" s="32"/>
      <c r="QP159" s="32"/>
      <c r="QQ159" s="32"/>
      <c r="QR159" s="32"/>
      <c r="QS159" s="32"/>
      <c r="QT159" s="32"/>
      <c r="QU159" s="32"/>
      <c r="QV159" s="32"/>
      <c r="QW159" s="32"/>
      <c r="QX159" s="32"/>
      <c r="QY159" s="32"/>
      <c r="QZ159" s="32"/>
      <c r="RA159" s="32"/>
      <c r="RB159" s="32"/>
      <c r="RC159" s="32"/>
      <c r="RD159" s="32"/>
      <c r="RE159" s="32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</row>
    <row r="160" spans="1:486" s="9" customFormat="1">
      <c r="A160" s="137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/>
      <c r="EW160" s="32"/>
      <c r="EX160" s="32"/>
      <c r="EY160" s="32"/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32"/>
      <c r="FU160" s="32"/>
      <c r="FV160" s="32"/>
      <c r="FW160" s="32"/>
      <c r="FX160" s="32"/>
      <c r="FY160" s="32"/>
      <c r="FZ160" s="32"/>
      <c r="GA160" s="32"/>
      <c r="GB160" s="32"/>
      <c r="GC160" s="32"/>
      <c r="GD160" s="32"/>
      <c r="GE160" s="32"/>
      <c r="GF160" s="32"/>
      <c r="GG160" s="32"/>
      <c r="GH160" s="32"/>
      <c r="GI160" s="32"/>
      <c r="GJ160" s="32"/>
      <c r="GK160" s="32"/>
      <c r="GL160" s="32"/>
      <c r="GM160" s="32"/>
      <c r="GN160" s="32"/>
      <c r="GO160" s="32"/>
      <c r="GP160" s="32"/>
      <c r="GQ160" s="32"/>
      <c r="GR160" s="32"/>
      <c r="GS160" s="32"/>
      <c r="GT160" s="32"/>
      <c r="GU160" s="32"/>
      <c r="GV160" s="32"/>
      <c r="GW160" s="32"/>
      <c r="GX160" s="32"/>
      <c r="GY160" s="32"/>
      <c r="GZ160" s="32"/>
      <c r="HA160" s="32"/>
      <c r="HB160" s="32"/>
      <c r="HC160" s="32"/>
      <c r="HD160" s="32"/>
      <c r="HE160" s="32"/>
      <c r="HF160" s="32"/>
      <c r="HG160" s="32"/>
      <c r="HH160" s="32"/>
      <c r="HI160" s="32"/>
      <c r="HJ160" s="32"/>
      <c r="HK160" s="32"/>
      <c r="HL160" s="32"/>
      <c r="HM160" s="32"/>
      <c r="HN160" s="32"/>
      <c r="HO160" s="32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2"/>
      <c r="IG160" s="32"/>
      <c r="IH160" s="32"/>
      <c r="II160" s="32"/>
      <c r="IJ160" s="32"/>
      <c r="IK160" s="32"/>
      <c r="IL160" s="32"/>
      <c r="IM160" s="32"/>
      <c r="IN160" s="32"/>
      <c r="IO160" s="32"/>
      <c r="IP160" s="32"/>
      <c r="IQ160" s="32"/>
      <c r="IR160" s="32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32"/>
      <c r="KN160" s="32"/>
      <c r="KO160" s="32"/>
      <c r="KP160" s="32"/>
      <c r="KQ160" s="32"/>
      <c r="KR160" s="32"/>
      <c r="KS160" s="32"/>
      <c r="KT160" s="32"/>
      <c r="KU160" s="32"/>
      <c r="KV160" s="32"/>
      <c r="KW160" s="32"/>
      <c r="KX160" s="32"/>
      <c r="KY160" s="32"/>
      <c r="KZ160" s="32"/>
      <c r="LA160" s="32"/>
      <c r="LB160" s="32"/>
      <c r="LC160" s="32"/>
      <c r="LD160" s="32"/>
      <c r="LE160" s="32"/>
      <c r="LF160" s="32"/>
      <c r="LG160" s="32"/>
      <c r="LH160" s="32"/>
      <c r="LI160" s="32"/>
      <c r="LJ160" s="32"/>
      <c r="LK160" s="32"/>
      <c r="LL160" s="32"/>
      <c r="LM160" s="32"/>
      <c r="LN160" s="32"/>
      <c r="LO160" s="32"/>
      <c r="LP160" s="32"/>
      <c r="LQ160" s="32"/>
      <c r="LR160" s="32"/>
      <c r="LS160" s="32"/>
      <c r="LT160" s="32"/>
      <c r="LU160" s="32"/>
      <c r="LV160" s="32"/>
      <c r="LW160" s="32"/>
      <c r="LX160" s="32"/>
      <c r="LY160" s="32"/>
      <c r="LZ160" s="32"/>
      <c r="MA160" s="32"/>
      <c r="MB160" s="32"/>
      <c r="MC160" s="32"/>
      <c r="MD160" s="32"/>
      <c r="ME160" s="32"/>
      <c r="MF160" s="32"/>
      <c r="MG160" s="32"/>
      <c r="MH160" s="32"/>
      <c r="MI160" s="32"/>
      <c r="MJ160" s="32"/>
      <c r="MK160" s="32"/>
      <c r="ML160" s="32"/>
      <c r="MM160" s="32"/>
      <c r="MN160" s="32"/>
      <c r="MO160" s="32"/>
      <c r="MP160" s="32"/>
      <c r="MQ160" s="32"/>
      <c r="MR160" s="32"/>
      <c r="MS160" s="32"/>
      <c r="MT160" s="32"/>
      <c r="MU160" s="32"/>
      <c r="MV160" s="32"/>
      <c r="MW160" s="32"/>
      <c r="MX160" s="32"/>
      <c r="MY160" s="32"/>
      <c r="MZ160" s="32"/>
      <c r="NA160" s="32"/>
      <c r="NB160" s="32"/>
      <c r="NC160" s="32"/>
      <c r="ND160" s="32"/>
      <c r="NE160" s="32"/>
      <c r="NF160" s="32"/>
      <c r="NG160" s="32"/>
      <c r="NH160" s="32"/>
      <c r="NI160" s="32"/>
      <c r="NJ160" s="32"/>
      <c r="NK160" s="32"/>
      <c r="NL160" s="32"/>
      <c r="NM160" s="32"/>
      <c r="NN160" s="32"/>
      <c r="NO160" s="32"/>
      <c r="NP160" s="32"/>
      <c r="NQ160" s="32"/>
      <c r="NR160" s="32"/>
      <c r="NS160" s="32"/>
      <c r="NT160" s="32"/>
      <c r="NU160" s="32"/>
      <c r="NV160" s="32"/>
      <c r="NW160" s="32"/>
      <c r="NX160" s="32"/>
      <c r="NY160" s="32"/>
      <c r="NZ160" s="32"/>
      <c r="OA160" s="32"/>
      <c r="OB160" s="32"/>
      <c r="OC160" s="32"/>
      <c r="OD160" s="32"/>
      <c r="OE160" s="32"/>
      <c r="OF160" s="32"/>
      <c r="OG160" s="32"/>
      <c r="OH160" s="32"/>
      <c r="OI160" s="32"/>
      <c r="OJ160" s="32"/>
      <c r="OK160" s="32"/>
      <c r="OL160" s="32"/>
      <c r="OM160" s="32"/>
      <c r="ON160" s="32"/>
      <c r="OO160" s="32"/>
      <c r="OP160" s="32"/>
      <c r="OQ160" s="32"/>
      <c r="OR160" s="32"/>
      <c r="OS160" s="32"/>
      <c r="OT160" s="32"/>
      <c r="OU160" s="32"/>
      <c r="OV160" s="32"/>
      <c r="OW160" s="32"/>
      <c r="OX160" s="32"/>
      <c r="OY160" s="32"/>
      <c r="OZ160" s="32"/>
      <c r="PA160" s="32"/>
      <c r="PB160" s="32"/>
      <c r="PC160" s="32"/>
      <c r="PD160" s="32"/>
      <c r="PE160" s="32"/>
      <c r="PF160" s="32"/>
      <c r="PG160" s="32"/>
      <c r="PH160" s="32"/>
      <c r="PI160" s="32"/>
      <c r="PJ160" s="32"/>
      <c r="PK160" s="32"/>
      <c r="PL160" s="32"/>
      <c r="PM160" s="32"/>
      <c r="PN160" s="32"/>
      <c r="PO160" s="32"/>
      <c r="PP160" s="32"/>
      <c r="PQ160" s="32"/>
      <c r="PR160" s="32"/>
      <c r="PS160" s="32"/>
      <c r="PT160" s="32"/>
      <c r="PU160" s="32"/>
      <c r="PV160" s="32"/>
      <c r="PW160" s="32"/>
      <c r="PX160" s="32"/>
      <c r="PY160" s="32"/>
      <c r="PZ160" s="32"/>
      <c r="QA160" s="32"/>
      <c r="QB160" s="32"/>
      <c r="QC160" s="32"/>
      <c r="QD160" s="32"/>
      <c r="QE160" s="32"/>
      <c r="QF160" s="32"/>
      <c r="QG160" s="32"/>
      <c r="QH160" s="32"/>
      <c r="QI160" s="32"/>
      <c r="QJ160" s="32"/>
      <c r="QK160" s="32"/>
      <c r="QL160" s="32"/>
      <c r="QM160" s="32"/>
      <c r="QN160" s="32"/>
      <c r="QO160" s="32"/>
      <c r="QP160" s="32"/>
      <c r="QQ160" s="32"/>
      <c r="QR160" s="32"/>
      <c r="QS160" s="32"/>
      <c r="QT160" s="32"/>
      <c r="QU160" s="32"/>
      <c r="QV160" s="32"/>
      <c r="QW160" s="32"/>
      <c r="QX160" s="32"/>
      <c r="QY160" s="32"/>
      <c r="QZ160" s="32"/>
      <c r="RA160" s="32"/>
      <c r="RB160" s="32"/>
      <c r="RC160" s="32"/>
      <c r="RD160" s="32"/>
      <c r="RE160" s="32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</row>
    <row r="161" spans="1:491" s="9" customFormat="1">
      <c r="A161" s="137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/>
      <c r="EW161" s="32"/>
      <c r="EX161" s="32"/>
      <c r="EY161" s="32"/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2"/>
      <c r="FT161" s="32"/>
      <c r="FU161" s="32"/>
      <c r="FV161" s="32"/>
      <c r="FW161" s="32"/>
      <c r="FX161" s="32"/>
      <c r="FY161" s="32"/>
      <c r="FZ161" s="32"/>
      <c r="GA161" s="32"/>
      <c r="GB161" s="32"/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/>
      <c r="GN161" s="32"/>
      <c r="GO161" s="32"/>
      <c r="GP161" s="32"/>
      <c r="GQ161" s="32"/>
      <c r="GR161" s="32"/>
      <c r="GS161" s="32"/>
      <c r="GT161" s="32"/>
      <c r="GU161" s="32"/>
      <c r="GV161" s="32"/>
      <c r="GW161" s="32"/>
      <c r="GX161" s="32"/>
      <c r="GY161" s="32"/>
      <c r="GZ161" s="32"/>
      <c r="HA161" s="32"/>
      <c r="HB161" s="32"/>
      <c r="HC161" s="32"/>
      <c r="HD161" s="32"/>
      <c r="HE161" s="32"/>
      <c r="HF161" s="32"/>
      <c r="HG161" s="32"/>
      <c r="HH161" s="32"/>
      <c r="HI161" s="32"/>
      <c r="HJ161" s="32"/>
      <c r="HK161" s="32"/>
      <c r="HL161" s="32"/>
      <c r="HM161" s="32"/>
      <c r="HN161" s="32"/>
      <c r="HO161" s="32"/>
      <c r="HP161" s="32"/>
      <c r="HQ161" s="32"/>
      <c r="HR161" s="32"/>
      <c r="HS161" s="32"/>
      <c r="HT161" s="32"/>
      <c r="HU161" s="32"/>
      <c r="HV161" s="32"/>
      <c r="HW161" s="32"/>
      <c r="HX161" s="32"/>
      <c r="HY161" s="32"/>
      <c r="HZ161" s="32"/>
      <c r="IA161" s="32"/>
      <c r="IB161" s="32"/>
      <c r="IC161" s="32"/>
      <c r="ID161" s="32"/>
      <c r="IE161" s="32"/>
      <c r="IF161" s="32"/>
      <c r="IG161" s="32"/>
      <c r="IH161" s="32"/>
      <c r="II161" s="32"/>
      <c r="IJ161" s="32"/>
      <c r="IK161" s="32"/>
      <c r="IL161" s="32"/>
      <c r="IM161" s="32"/>
      <c r="IN161" s="32"/>
      <c r="IO161" s="32"/>
      <c r="IP161" s="32"/>
      <c r="IQ161" s="32"/>
      <c r="IR161" s="32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/>
      <c r="JK161" s="32"/>
      <c r="JL161" s="32"/>
      <c r="JM161" s="32"/>
      <c r="JN161" s="32"/>
      <c r="JO161" s="32"/>
      <c r="JP161" s="32"/>
      <c r="JQ161" s="32"/>
      <c r="JR161" s="32"/>
      <c r="JS161" s="32"/>
      <c r="JT161" s="32"/>
      <c r="JU161" s="32"/>
      <c r="JV161" s="32"/>
      <c r="JW161" s="32"/>
      <c r="JX161" s="32"/>
      <c r="JY161" s="32"/>
      <c r="JZ161" s="32"/>
      <c r="KA161" s="32"/>
      <c r="KB161" s="32"/>
      <c r="KC161" s="32"/>
      <c r="KD161" s="32"/>
      <c r="KE161" s="32"/>
      <c r="KF161" s="32"/>
      <c r="KG161" s="32"/>
      <c r="KH161" s="32"/>
      <c r="KI161" s="32"/>
      <c r="KJ161" s="32"/>
      <c r="KK161" s="32"/>
      <c r="KL161" s="32"/>
      <c r="KM161" s="32"/>
      <c r="KN161" s="32"/>
      <c r="KO161" s="32"/>
      <c r="KP161" s="32"/>
      <c r="KQ161" s="32"/>
      <c r="KR161" s="32"/>
      <c r="KS161" s="32"/>
      <c r="KT161" s="32"/>
      <c r="KU161" s="32"/>
      <c r="KV161" s="32"/>
      <c r="KW161" s="32"/>
      <c r="KX161" s="32"/>
      <c r="KY161" s="32"/>
      <c r="KZ161" s="32"/>
      <c r="LA161" s="32"/>
      <c r="LB161" s="32"/>
      <c r="LC161" s="32"/>
      <c r="LD161" s="32"/>
      <c r="LE161" s="32"/>
      <c r="LF161" s="32"/>
      <c r="LG161" s="32"/>
      <c r="LH161" s="32"/>
      <c r="LI161" s="32"/>
      <c r="LJ161" s="32"/>
      <c r="LK161" s="32"/>
      <c r="LL161" s="32"/>
      <c r="LM161" s="32"/>
      <c r="LN161" s="32"/>
      <c r="LO161" s="32"/>
      <c r="LP161" s="32"/>
      <c r="LQ161" s="32"/>
      <c r="LR161" s="32"/>
      <c r="LS161" s="32"/>
      <c r="LT161" s="32"/>
      <c r="LU161" s="32"/>
      <c r="LV161" s="32"/>
      <c r="LW161" s="32"/>
      <c r="LX161" s="32"/>
      <c r="LY161" s="32"/>
      <c r="LZ161" s="32"/>
      <c r="MA161" s="32"/>
      <c r="MB161" s="32"/>
      <c r="MC161" s="32"/>
      <c r="MD161" s="32"/>
      <c r="ME161" s="32"/>
      <c r="MF161" s="32"/>
      <c r="MG161" s="32"/>
      <c r="MH161" s="32"/>
      <c r="MI161" s="32"/>
      <c r="MJ161" s="32"/>
      <c r="MK161" s="32"/>
      <c r="ML161" s="32"/>
      <c r="MM161" s="32"/>
      <c r="MN161" s="32"/>
      <c r="MO161" s="32"/>
      <c r="MP161" s="32"/>
      <c r="MQ161" s="32"/>
      <c r="MR161" s="32"/>
      <c r="MS161" s="32"/>
      <c r="MT161" s="32"/>
      <c r="MU161" s="32"/>
      <c r="MV161" s="32"/>
      <c r="MW161" s="32"/>
      <c r="MX161" s="32"/>
      <c r="MY161" s="32"/>
      <c r="MZ161" s="32"/>
      <c r="NA161" s="32"/>
      <c r="NB161" s="32"/>
      <c r="NC161" s="32"/>
      <c r="ND161" s="32"/>
      <c r="NE161" s="32"/>
      <c r="NF161" s="32"/>
      <c r="NG161" s="32"/>
      <c r="NH161" s="32"/>
      <c r="NI161" s="32"/>
      <c r="NJ161" s="32"/>
      <c r="NK161" s="32"/>
      <c r="NL161" s="32"/>
      <c r="NM161" s="32"/>
      <c r="NN161" s="32"/>
      <c r="NO161" s="32"/>
      <c r="NP161" s="32"/>
      <c r="NQ161" s="32"/>
      <c r="NR161" s="32"/>
      <c r="NS161" s="32"/>
      <c r="NT161" s="32"/>
      <c r="NU161" s="32"/>
      <c r="NV161" s="32"/>
      <c r="NW161" s="32"/>
      <c r="NX161" s="32"/>
      <c r="NY161" s="32"/>
      <c r="NZ161" s="32"/>
      <c r="OA161" s="32"/>
      <c r="OB161" s="32"/>
      <c r="OC161" s="32"/>
      <c r="OD161" s="32"/>
      <c r="OE161" s="32"/>
      <c r="OF161" s="32"/>
      <c r="OG161" s="32"/>
      <c r="OH161" s="32"/>
      <c r="OI161" s="32"/>
      <c r="OJ161" s="32"/>
      <c r="OK161" s="32"/>
      <c r="OL161" s="32"/>
      <c r="OM161" s="32"/>
      <c r="ON161" s="32"/>
      <c r="OO161" s="32"/>
      <c r="OP161" s="32"/>
      <c r="OQ161" s="32"/>
      <c r="OR161" s="32"/>
      <c r="OS161" s="32"/>
      <c r="OT161" s="32"/>
      <c r="OU161" s="32"/>
      <c r="OV161" s="32"/>
      <c r="OW161" s="32"/>
      <c r="OX161" s="32"/>
      <c r="OY161" s="32"/>
      <c r="OZ161" s="32"/>
      <c r="PA161" s="32"/>
      <c r="PB161" s="32"/>
      <c r="PC161" s="32"/>
      <c r="PD161" s="32"/>
      <c r="PE161" s="32"/>
      <c r="PF161" s="32"/>
      <c r="PG161" s="32"/>
      <c r="PH161" s="32"/>
      <c r="PI161" s="32"/>
      <c r="PJ161" s="32"/>
      <c r="PK161" s="32"/>
      <c r="PL161" s="32"/>
      <c r="PM161" s="32"/>
      <c r="PN161" s="32"/>
      <c r="PO161" s="32"/>
      <c r="PP161" s="32"/>
      <c r="PQ161" s="32"/>
      <c r="PR161" s="32"/>
      <c r="PS161" s="32"/>
      <c r="PT161" s="32"/>
      <c r="PU161" s="32"/>
      <c r="PV161" s="32"/>
      <c r="PW161" s="32"/>
      <c r="PX161" s="32"/>
      <c r="PY161" s="32"/>
      <c r="PZ161" s="32"/>
      <c r="QA161" s="32"/>
      <c r="QB161" s="32"/>
      <c r="QC161" s="32"/>
      <c r="QD161" s="32"/>
      <c r="QE161" s="32"/>
      <c r="QF161" s="32"/>
      <c r="QG161" s="32"/>
      <c r="QH161" s="32"/>
      <c r="QI161" s="32"/>
      <c r="QJ161" s="32"/>
      <c r="QK161" s="32"/>
      <c r="QL161" s="32"/>
      <c r="QM161" s="32"/>
      <c r="QN161" s="32"/>
      <c r="QO161" s="32"/>
      <c r="QP161" s="32"/>
      <c r="QQ161" s="32"/>
      <c r="QR161" s="32"/>
      <c r="QS161" s="32"/>
      <c r="QT161" s="32"/>
      <c r="QU161" s="32"/>
      <c r="QV161" s="32"/>
      <c r="QW161" s="32"/>
      <c r="QX161" s="32"/>
      <c r="QY161" s="32"/>
      <c r="QZ161" s="32"/>
      <c r="RA161" s="32"/>
      <c r="RB161" s="32"/>
      <c r="RC161" s="32"/>
      <c r="RD161" s="32"/>
      <c r="RE161" s="32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</row>
    <row r="162" spans="1:491" s="9" customFormat="1">
      <c r="A162" s="137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  <c r="GR162" s="32"/>
      <c r="GS162" s="32"/>
      <c r="GT162" s="32"/>
      <c r="GU162" s="32"/>
      <c r="GV162" s="32"/>
      <c r="GW162" s="32"/>
      <c r="GX162" s="32"/>
      <c r="GY162" s="32"/>
      <c r="GZ162" s="32"/>
      <c r="HA162" s="32"/>
      <c r="HB162" s="32"/>
      <c r="HC162" s="32"/>
      <c r="HD162" s="32"/>
      <c r="HE162" s="32"/>
      <c r="HF162" s="32"/>
      <c r="HG162" s="32"/>
      <c r="HH162" s="32"/>
      <c r="HI162" s="32"/>
      <c r="HJ162" s="32"/>
      <c r="HK162" s="32"/>
      <c r="HL162" s="32"/>
      <c r="HM162" s="32"/>
      <c r="HN162" s="32"/>
      <c r="HO162" s="32"/>
      <c r="HP162" s="32"/>
      <c r="HQ162" s="32"/>
      <c r="HR162" s="32"/>
      <c r="HS162" s="32"/>
      <c r="HT162" s="32"/>
      <c r="HU162" s="32"/>
      <c r="HV162" s="32"/>
      <c r="HW162" s="32"/>
      <c r="HX162" s="32"/>
      <c r="HY162" s="32"/>
      <c r="HZ162" s="32"/>
      <c r="IA162" s="32"/>
      <c r="IB162" s="32"/>
      <c r="IC162" s="32"/>
      <c r="ID162" s="32"/>
      <c r="IE162" s="32"/>
      <c r="IF162" s="32"/>
      <c r="IG162" s="32"/>
      <c r="IH162" s="32"/>
      <c r="II162" s="32"/>
      <c r="IJ162" s="32"/>
      <c r="IK162" s="32"/>
      <c r="IL162" s="32"/>
      <c r="IM162" s="32"/>
      <c r="IN162" s="32"/>
      <c r="IO162" s="32"/>
      <c r="IP162" s="32"/>
      <c r="IQ162" s="32"/>
      <c r="IR162" s="32"/>
      <c r="IS162" s="32"/>
      <c r="IT162" s="32"/>
      <c r="IU162" s="32"/>
      <c r="IV162" s="32"/>
      <c r="IW162" s="32"/>
      <c r="IX162" s="32"/>
      <c r="IY162" s="32"/>
      <c r="IZ162" s="32"/>
      <c r="JA162" s="32"/>
      <c r="JB162" s="32"/>
      <c r="JC162" s="32"/>
      <c r="JD162" s="32"/>
      <c r="JE162" s="32"/>
      <c r="JF162" s="32"/>
      <c r="JG162" s="32"/>
      <c r="JH162" s="32"/>
      <c r="JI162" s="32"/>
      <c r="JJ162" s="32"/>
      <c r="JK162" s="32"/>
      <c r="JL162" s="32"/>
      <c r="JM162" s="32"/>
      <c r="JN162" s="32"/>
      <c r="JO162" s="32"/>
      <c r="JP162" s="32"/>
      <c r="JQ162" s="32"/>
      <c r="JR162" s="32"/>
      <c r="JS162" s="32"/>
      <c r="JT162" s="32"/>
      <c r="JU162" s="32"/>
      <c r="JV162" s="32"/>
      <c r="JW162" s="32"/>
      <c r="JX162" s="32"/>
      <c r="JY162" s="32"/>
      <c r="JZ162" s="32"/>
      <c r="KA162" s="32"/>
      <c r="KB162" s="32"/>
      <c r="KC162" s="32"/>
      <c r="KD162" s="32"/>
      <c r="KE162" s="32"/>
      <c r="KF162" s="32"/>
      <c r="KG162" s="32"/>
      <c r="KH162" s="32"/>
      <c r="KI162" s="32"/>
      <c r="KJ162" s="32"/>
      <c r="KK162" s="32"/>
      <c r="KL162" s="32"/>
      <c r="KM162" s="32"/>
      <c r="KN162" s="32"/>
      <c r="KO162" s="32"/>
      <c r="KP162" s="32"/>
      <c r="KQ162" s="32"/>
      <c r="KR162" s="32"/>
      <c r="KS162" s="32"/>
      <c r="KT162" s="32"/>
      <c r="KU162" s="32"/>
      <c r="KV162" s="32"/>
      <c r="KW162" s="32"/>
      <c r="KX162" s="32"/>
      <c r="KY162" s="32"/>
      <c r="KZ162" s="32"/>
      <c r="LA162" s="32"/>
      <c r="LB162" s="32"/>
      <c r="LC162" s="32"/>
      <c r="LD162" s="32"/>
      <c r="LE162" s="32"/>
      <c r="LF162" s="32"/>
      <c r="LG162" s="32"/>
      <c r="LH162" s="32"/>
      <c r="LI162" s="32"/>
      <c r="LJ162" s="32"/>
      <c r="LK162" s="32"/>
      <c r="LL162" s="32"/>
      <c r="LM162" s="32"/>
      <c r="LN162" s="32"/>
      <c r="LO162" s="32"/>
      <c r="LP162" s="32"/>
      <c r="LQ162" s="32"/>
      <c r="LR162" s="32"/>
      <c r="LS162" s="32"/>
      <c r="LT162" s="32"/>
      <c r="LU162" s="32"/>
      <c r="LV162" s="32"/>
      <c r="LW162" s="32"/>
      <c r="LX162" s="32"/>
      <c r="LY162" s="32"/>
      <c r="LZ162" s="32"/>
      <c r="MA162" s="32"/>
      <c r="MB162" s="32"/>
      <c r="MC162" s="32"/>
      <c r="MD162" s="32"/>
      <c r="ME162" s="32"/>
      <c r="MF162" s="32"/>
      <c r="MG162" s="32"/>
      <c r="MH162" s="32"/>
      <c r="MI162" s="32"/>
      <c r="MJ162" s="32"/>
      <c r="MK162" s="32"/>
      <c r="ML162" s="32"/>
      <c r="MM162" s="32"/>
      <c r="MN162" s="32"/>
      <c r="MO162" s="32"/>
      <c r="MP162" s="32"/>
      <c r="MQ162" s="32"/>
      <c r="MR162" s="32"/>
      <c r="MS162" s="32"/>
      <c r="MT162" s="32"/>
      <c r="MU162" s="32"/>
      <c r="MV162" s="32"/>
      <c r="MW162" s="32"/>
      <c r="MX162" s="32"/>
      <c r="MY162" s="32"/>
      <c r="MZ162" s="32"/>
      <c r="NA162" s="32"/>
      <c r="NB162" s="32"/>
      <c r="NC162" s="32"/>
      <c r="ND162" s="32"/>
      <c r="NE162" s="32"/>
      <c r="NF162" s="32"/>
      <c r="NG162" s="32"/>
      <c r="NH162" s="32"/>
      <c r="NI162" s="32"/>
      <c r="NJ162" s="32"/>
      <c r="NK162" s="32"/>
      <c r="NL162" s="32"/>
      <c r="NM162" s="32"/>
      <c r="NN162" s="32"/>
      <c r="NO162" s="32"/>
      <c r="NP162" s="32"/>
      <c r="NQ162" s="32"/>
      <c r="NR162" s="32"/>
      <c r="NS162" s="32"/>
      <c r="NT162" s="32"/>
      <c r="NU162" s="32"/>
      <c r="NV162" s="32"/>
      <c r="NW162" s="32"/>
      <c r="NX162" s="32"/>
      <c r="NY162" s="32"/>
      <c r="NZ162" s="32"/>
      <c r="OA162" s="32"/>
      <c r="OB162" s="32"/>
      <c r="OC162" s="32"/>
      <c r="OD162" s="32"/>
      <c r="OE162" s="32"/>
      <c r="OF162" s="32"/>
      <c r="OG162" s="32"/>
      <c r="OH162" s="32"/>
      <c r="OI162" s="32"/>
      <c r="OJ162" s="32"/>
      <c r="OK162" s="32"/>
      <c r="OL162" s="32"/>
      <c r="OM162" s="32"/>
      <c r="ON162" s="32"/>
      <c r="OO162" s="32"/>
      <c r="OP162" s="32"/>
      <c r="OQ162" s="32"/>
      <c r="OR162" s="32"/>
      <c r="OS162" s="32"/>
      <c r="OT162" s="32"/>
      <c r="OU162" s="32"/>
      <c r="OV162" s="32"/>
      <c r="OW162" s="32"/>
      <c r="OX162" s="32"/>
      <c r="OY162" s="32"/>
      <c r="OZ162" s="32"/>
      <c r="PA162" s="32"/>
      <c r="PB162" s="32"/>
      <c r="PC162" s="32"/>
      <c r="PD162" s="32"/>
      <c r="PE162" s="32"/>
      <c r="PF162" s="32"/>
      <c r="PG162" s="32"/>
      <c r="PH162" s="32"/>
      <c r="PI162" s="32"/>
      <c r="PJ162" s="32"/>
      <c r="PK162" s="32"/>
      <c r="PL162" s="32"/>
      <c r="PM162" s="32"/>
      <c r="PN162" s="32"/>
      <c r="PO162" s="32"/>
      <c r="PP162" s="32"/>
      <c r="PQ162" s="32"/>
      <c r="PR162" s="32"/>
      <c r="PS162" s="32"/>
      <c r="PT162" s="32"/>
      <c r="PU162" s="32"/>
      <c r="PV162" s="32"/>
      <c r="PW162" s="32"/>
      <c r="PX162" s="32"/>
      <c r="PY162" s="32"/>
      <c r="PZ162" s="32"/>
      <c r="QA162" s="32"/>
      <c r="QB162" s="32"/>
      <c r="QC162" s="32"/>
      <c r="QD162" s="32"/>
      <c r="QE162" s="32"/>
      <c r="QF162" s="32"/>
      <c r="QG162" s="32"/>
      <c r="QH162" s="32"/>
      <c r="QI162" s="32"/>
      <c r="QJ162" s="32"/>
      <c r="QK162" s="32"/>
      <c r="QL162" s="32"/>
      <c r="QM162" s="32"/>
      <c r="QN162" s="32"/>
      <c r="QO162" s="32"/>
      <c r="QP162" s="32"/>
      <c r="QQ162" s="32"/>
      <c r="QR162" s="32"/>
      <c r="QS162" s="32"/>
      <c r="QT162" s="32"/>
      <c r="QU162" s="32"/>
      <c r="QV162" s="32"/>
      <c r="QW162" s="32"/>
      <c r="QX162" s="32"/>
      <c r="QY162" s="32"/>
      <c r="QZ162" s="32"/>
      <c r="RA162" s="32"/>
      <c r="RB162" s="32"/>
      <c r="RC162" s="32"/>
      <c r="RD162" s="32"/>
      <c r="RE162" s="32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</row>
    <row r="163" spans="1:491" s="9" customFormat="1">
      <c r="A163" s="137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/>
      <c r="EW163" s="32"/>
      <c r="EX163" s="32"/>
      <c r="EY163" s="32"/>
      <c r="EZ163" s="32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/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/>
      <c r="IF163" s="32"/>
      <c r="IG163" s="32"/>
      <c r="IH163" s="32"/>
      <c r="II163" s="32"/>
      <c r="IJ163" s="32"/>
      <c r="IK163" s="32"/>
      <c r="IL163" s="32"/>
      <c r="IM163" s="32"/>
      <c r="IN163" s="32"/>
      <c r="IO163" s="32"/>
      <c r="IP163" s="32"/>
      <c r="IQ163" s="32"/>
      <c r="IR163" s="32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/>
      <c r="JZ163" s="32"/>
      <c r="KA163" s="32"/>
      <c r="KB163" s="32"/>
      <c r="KC163" s="32"/>
      <c r="KD163" s="32"/>
      <c r="KE163" s="32"/>
      <c r="KF163" s="32"/>
      <c r="KG163" s="32"/>
      <c r="KH163" s="32"/>
      <c r="KI163" s="32"/>
      <c r="KJ163" s="32"/>
      <c r="KK163" s="32"/>
      <c r="KL163" s="32"/>
      <c r="KM163" s="32"/>
      <c r="KN163" s="32"/>
      <c r="KO163" s="32"/>
      <c r="KP163" s="32"/>
      <c r="KQ163" s="32"/>
      <c r="KR163" s="32"/>
      <c r="KS163" s="32"/>
      <c r="KT163" s="32"/>
      <c r="KU163" s="32"/>
      <c r="KV163" s="32"/>
      <c r="KW163" s="32"/>
      <c r="KX163" s="32"/>
      <c r="KY163" s="32"/>
      <c r="KZ163" s="32"/>
      <c r="LA163" s="32"/>
      <c r="LB163" s="32"/>
      <c r="LC163" s="32"/>
      <c r="LD163" s="32"/>
      <c r="LE163" s="32"/>
      <c r="LF163" s="32"/>
      <c r="LG163" s="32"/>
      <c r="LH163" s="32"/>
      <c r="LI163" s="32"/>
      <c r="LJ163" s="32"/>
      <c r="LK163" s="32"/>
      <c r="LL163" s="32"/>
      <c r="LM163" s="32"/>
      <c r="LN163" s="32"/>
      <c r="LO163" s="32"/>
      <c r="LP163" s="32"/>
      <c r="LQ163" s="32"/>
      <c r="LR163" s="32"/>
      <c r="LS163" s="32"/>
      <c r="LT163" s="32"/>
      <c r="LU163" s="32"/>
      <c r="LV163" s="32"/>
      <c r="LW163" s="32"/>
      <c r="LX163" s="32"/>
      <c r="LY163" s="32"/>
      <c r="LZ163" s="32"/>
      <c r="MA163" s="32"/>
      <c r="MB163" s="32"/>
      <c r="MC163" s="32"/>
      <c r="MD163" s="32"/>
      <c r="ME163" s="32"/>
      <c r="MF163" s="32"/>
      <c r="MG163" s="32"/>
      <c r="MH163" s="32"/>
      <c r="MI163" s="32"/>
      <c r="MJ163" s="32"/>
      <c r="MK163" s="32"/>
      <c r="ML163" s="32"/>
      <c r="MM163" s="32"/>
      <c r="MN163" s="32"/>
      <c r="MO163" s="32"/>
      <c r="MP163" s="32"/>
      <c r="MQ163" s="32"/>
      <c r="MR163" s="32"/>
      <c r="MS163" s="32"/>
      <c r="MT163" s="32"/>
      <c r="MU163" s="32"/>
      <c r="MV163" s="32"/>
      <c r="MW163" s="32"/>
      <c r="MX163" s="32"/>
      <c r="MY163" s="32"/>
      <c r="MZ163" s="32"/>
      <c r="NA163" s="32"/>
      <c r="NB163" s="32"/>
      <c r="NC163" s="32"/>
      <c r="ND163" s="32"/>
      <c r="NE163" s="32"/>
      <c r="NF163" s="32"/>
      <c r="NG163" s="32"/>
      <c r="NH163" s="32"/>
      <c r="NI163" s="32"/>
      <c r="NJ163" s="32"/>
      <c r="NK163" s="32"/>
      <c r="NL163" s="32"/>
      <c r="NM163" s="32"/>
      <c r="NN163" s="32"/>
      <c r="NO163" s="32"/>
      <c r="NP163" s="32"/>
      <c r="NQ163" s="32"/>
      <c r="NR163" s="32"/>
      <c r="NS163" s="32"/>
      <c r="NT163" s="32"/>
      <c r="NU163" s="32"/>
      <c r="NV163" s="32"/>
      <c r="NW163" s="32"/>
      <c r="NX163" s="32"/>
      <c r="NY163" s="32"/>
      <c r="NZ163" s="32"/>
      <c r="OA163" s="32"/>
      <c r="OB163" s="32"/>
      <c r="OC163" s="32"/>
      <c r="OD163" s="32"/>
      <c r="OE163" s="32"/>
      <c r="OF163" s="32"/>
      <c r="OG163" s="32"/>
      <c r="OH163" s="32"/>
      <c r="OI163" s="32"/>
      <c r="OJ163" s="32"/>
      <c r="OK163" s="32"/>
      <c r="OL163" s="32"/>
      <c r="OM163" s="32"/>
      <c r="ON163" s="32"/>
      <c r="OO163" s="32"/>
      <c r="OP163" s="32"/>
      <c r="OQ163" s="32"/>
      <c r="OR163" s="32"/>
      <c r="OS163" s="32"/>
      <c r="OT163" s="32"/>
      <c r="OU163" s="32"/>
      <c r="OV163" s="32"/>
      <c r="OW163" s="32"/>
      <c r="OX163" s="32"/>
      <c r="OY163" s="32"/>
      <c r="OZ163" s="32"/>
      <c r="PA163" s="32"/>
      <c r="PB163" s="32"/>
      <c r="PC163" s="32"/>
      <c r="PD163" s="32"/>
      <c r="PE163" s="32"/>
      <c r="PF163" s="32"/>
      <c r="PG163" s="32"/>
      <c r="PH163" s="32"/>
      <c r="PI163" s="32"/>
      <c r="PJ163" s="32"/>
      <c r="PK163" s="32"/>
      <c r="PL163" s="32"/>
      <c r="PM163" s="32"/>
      <c r="PN163" s="32"/>
      <c r="PO163" s="32"/>
      <c r="PP163" s="32"/>
      <c r="PQ163" s="32"/>
      <c r="PR163" s="32"/>
      <c r="PS163" s="32"/>
      <c r="PT163" s="32"/>
      <c r="PU163" s="32"/>
      <c r="PV163" s="32"/>
      <c r="PW163" s="32"/>
      <c r="PX163" s="32"/>
      <c r="PY163" s="32"/>
      <c r="PZ163" s="32"/>
      <c r="QA163" s="32"/>
      <c r="QB163" s="32"/>
      <c r="QC163" s="32"/>
      <c r="QD163" s="32"/>
      <c r="QE163" s="32"/>
      <c r="QF163" s="32"/>
      <c r="QG163" s="32"/>
      <c r="QH163" s="32"/>
      <c r="QI163" s="32"/>
      <c r="QJ163" s="32"/>
      <c r="QK163" s="32"/>
      <c r="QL163" s="32"/>
      <c r="QM163" s="32"/>
      <c r="QN163" s="32"/>
      <c r="QO163" s="32"/>
      <c r="QP163" s="32"/>
      <c r="QQ163" s="32"/>
      <c r="QR163" s="32"/>
      <c r="QS163" s="32"/>
      <c r="QT163" s="32"/>
      <c r="QU163" s="32"/>
      <c r="QV163" s="32"/>
      <c r="QW163" s="32"/>
      <c r="QX163" s="32"/>
      <c r="QY163" s="32"/>
      <c r="QZ163" s="32"/>
      <c r="RA163" s="32"/>
      <c r="RB163" s="32"/>
      <c r="RC163" s="32"/>
      <c r="RD163" s="32"/>
      <c r="RE163" s="32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</row>
    <row r="164" spans="1:491" s="9" customFormat="1">
      <c r="A164" s="137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/>
      <c r="EW164" s="32"/>
      <c r="EX164" s="32"/>
      <c r="EY164" s="32"/>
      <c r="EZ164" s="32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2"/>
      <c r="IG164" s="32"/>
      <c r="IH164" s="32"/>
      <c r="II164" s="32"/>
      <c r="IJ164" s="32"/>
      <c r="IK164" s="32"/>
      <c r="IL164" s="32"/>
      <c r="IM164" s="32"/>
      <c r="IN164" s="32"/>
      <c r="IO164" s="32"/>
      <c r="IP164" s="32"/>
      <c r="IQ164" s="32"/>
      <c r="IR164" s="32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/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32"/>
      <c r="KN164" s="32"/>
      <c r="KO164" s="32"/>
      <c r="KP164" s="32"/>
      <c r="KQ164" s="32"/>
      <c r="KR164" s="32"/>
      <c r="KS164" s="32"/>
      <c r="KT164" s="32"/>
      <c r="KU164" s="32"/>
      <c r="KV164" s="32"/>
      <c r="KW164" s="32"/>
      <c r="KX164" s="32"/>
      <c r="KY164" s="32"/>
      <c r="KZ164" s="32"/>
      <c r="LA164" s="32"/>
      <c r="LB164" s="32"/>
      <c r="LC164" s="32"/>
      <c r="LD164" s="32"/>
      <c r="LE164" s="32"/>
      <c r="LF164" s="32"/>
      <c r="LG164" s="32"/>
      <c r="LH164" s="32"/>
      <c r="LI164" s="32"/>
      <c r="LJ164" s="32"/>
      <c r="LK164" s="32"/>
      <c r="LL164" s="32"/>
      <c r="LM164" s="32"/>
      <c r="LN164" s="32"/>
      <c r="LO164" s="32"/>
      <c r="LP164" s="32"/>
      <c r="LQ164" s="32"/>
      <c r="LR164" s="32"/>
      <c r="LS164" s="32"/>
      <c r="LT164" s="32"/>
      <c r="LU164" s="32"/>
      <c r="LV164" s="32"/>
      <c r="LW164" s="32"/>
      <c r="LX164" s="32"/>
      <c r="LY164" s="32"/>
      <c r="LZ164" s="32"/>
      <c r="MA164" s="32"/>
      <c r="MB164" s="32"/>
      <c r="MC164" s="32"/>
      <c r="MD164" s="32"/>
      <c r="ME164" s="32"/>
      <c r="MF164" s="32"/>
      <c r="MG164" s="32"/>
      <c r="MH164" s="32"/>
      <c r="MI164" s="32"/>
      <c r="MJ164" s="32"/>
      <c r="MK164" s="32"/>
      <c r="ML164" s="32"/>
      <c r="MM164" s="32"/>
      <c r="MN164" s="32"/>
      <c r="MO164" s="32"/>
      <c r="MP164" s="32"/>
      <c r="MQ164" s="32"/>
      <c r="MR164" s="32"/>
      <c r="MS164" s="32"/>
      <c r="MT164" s="32"/>
      <c r="MU164" s="32"/>
      <c r="MV164" s="32"/>
      <c r="MW164" s="32"/>
      <c r="MX164" s="32"/>
      <c r="MY164" s="32"/>
      <c r="MZ164" s="32"/>
      <c r="NA164" s="32"/>
      <c r="NB164" s="32"/>
      <c r="NC164" s="32"/>
      <c r="ND164" s="32"/>
      <c r="NE164" s="32"/>
      <c r="NF164" s="32"/>
      <c r="NG164" s="32"/>
      <c r="NH164" s="32"/>
      <c r="NI164" s="32"/>
      <c r="NJ164" s="32"/>
      <c r="NK164" s="32"/>
      <c r="NL164" s="32"/>
      <c r="NM164" s="32"/>
      <c r="NN164" s="32"/>
      <c r="NO164" s="32"/>
      <c r="NP164" s="32"/>
      <c r="NQ164" s="32"/>
      <c r="NR164" s="32"/>
      <c r="NS164" s="32"/>
      <c r="NT164" s="32"/>
      <c r="NU164" s="32"/>
      <c r="NV164" s="32"/>
      <c r="NW164" s="32"/>
      <c r="NX164" s="32"/>
      <c r="NY164" s="32"/>
      <c r="NZ164" s="32"/>
      <c r="OA164" s="32"/>
      <c r="OB164" s="32"/>
      <c r="OC164" s="32"/>
      <c r="OD164" s="32"/>
      <c r="OE164" s="32"/>
      <c r="OF164" s="32"/>
      <c r="OG164" s="32"/>
      <c r="OH164" s="32"/>
      <c r="OI164" s="32"/>
      <c r="OJ164" s="32"/>
      <c r="OK164" s="32"/>
      <c r="OL164" s="32"/>
      <c r="OM164" s="32"/>
      <c r="ON164" s="32"/>
      <c r="OO164" s="32"/>
      <c r="OP164" s="32"/>
      <c r="OQ164" s="32"/>
      <c r="OR164" s="32"/>
      <c r="OS164" s="32"/>
      <c r="OT164" s="32"/>
      <c r="OU164" s="32"/>
      <c r="OV164" s="32"/>
      <c r="OW164" s="32"/>
      <c r="OX164" s="32"/>
      <c r="OY164" s="32"/>
      <c r="OZ164" s="32"/>
      <c r="PA164" s="32"/>
      <c r="PB164" s="32"/>
      <c r="PC164" s="32"/>
      <c r="PD164" s="32"/>
      <c r="PE164" s="32"/>
      <c r="PF164" s="32"/>
      <c r="PG164" s="32"/>
      <c r="PH164" s="32"/>
      <c r="PI164" s="32"/>
      <c r="PJ164" s="32"/>
      <c r="PK164" s="32"/>
      <c r="PL164" s="32"/>
      <c r="PM164" s="32"/>
      <c r="PN164" s="32"/>
      <c r="PO164" s="32"/>
      <c r="PP164" s="32"/>
      <c r="PQ164" s="32"/>
      <c r="PR164" s="32"/>
      <c r="PS164" s="32"/>
      <c r="PT164" s="32"/>
      <c r="PU164" s="32"/>
      <c r="PV164" s="32"/>
      <c r="PW164" s="32"/>
      <c r="PX164" s="32"/>
      <c r="PY164" s="32"/>
      <c r="PZ164" s="32"/>
      <c r="QA164" s="32"/>
      <c r="QB164" s="32"/>
      <c r="QC164" s="32"/>
      <c r="QD164" s="32"/>
      <c r="QE164" s="32"/>
      <c r="QF164" s="32"/>
      <c r="QG164" s="32"/>
      <c r="QH164" s="32"/>
      <c r="QI164" s="32"/>
      <c r="QJ164" s="32"/>
      <c r="QK164" s="32"/>
      <c r="QL164" s="32"/>
      <c r="QM164" s="32"/>
      <c r="QN164" s="32"/>
      <c r="QO164" s="32"/>
      <c r="QP164" s="32"/>
      <c r="QQ164" s="32"/>
      <c r="QR164" s="32"/>
      <c r="QS164" s="32"/>
      <c r="QT164" s="32"/>
      <c r="QU164" s="32"/>
      <c r="QV164" s="32"/>
      <c r="QW164" s="32"/>
      <c r="QX164" s="32"/>
      <c r="QY164" s="32"/>
      <c r="QZ164" s="32"/>
      <c r="RA164" s="32"/>
      <c r="RB164" s="32"/>
      <c r="RC164" s="32"/>
      <c r="RD164" s="32"/>
      <c r="RE164" s="32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</row>
    <row r="165" spans="1:491" s="9" customFormat="1">
      <c r="A165" s="137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/>
      <c r="EW165" s="32"/>
      <c r="EX165" s="32"/>
      <c r="EY165" s="32"/>
      <c r="EZ165" s="32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/>
      <c r="FR165" s="32"/>
      <c r="FS165" s="32"/>
      <c r="FT165" s="32"/>
      <c r="FU165" s="32"/>
      <c r="FV165" s="32"/>
      <c r="FW165" s="32"/>
      <c r="FX165" s="32"/>
      <c r="FY165" s="32"/>
      <c r="FZ165" s="32"/>
      <c r="GA165" s="32"/>
      <c r="GB165" s="32"/>
      <c r="GC165" s="32"/>
      <c r="GD165" s="32"/>
      <c r="GE165" s="32"/>
      <c r="GF165" s="32"/>
      <c r="GG165" s="32"/>
      <c r="GH165" s="32"/>
      <c r="GI165" s="32"/>
      <c r="GJ165" s="32"/>
      <c r="GK165" s="32"/>
      <c r="GL165" s="32"/>
      <c r="GM165" s="32"/>
      <c r="GN165" s="32"/>
      <c r="GO165" s="32"/>
      <c r="GP165" s="32"/>
      <c r="GQ165" s="32"/>
      <c r="GR165" s="32"/>
      <c r="GS165" s="32"/>
      <c r="GT165" s="32"/>
      <c r="GU165" s="32"/>
      <c r="GV165" s="32"/>
      <c r="GW165" s="32"/>
      <c r="GX165" s="32"/>
      <c r="GY165" s="32"/>
      <c r="GZ165" s="32"/>
      <c r="HA165" s="32"/>
      <c r="HB165" s="32"/>
      <c r="HC165" s="32"/>
      <c r="HD165" s="32"/>
      <c r="HE165" s="32"/>
      <c r="HF165" s="32"/>
      <c r="HG165" s="32"/>
      <c r="HH165" s="32"/>
      <c r="HI165" s="32"/>
      <c r="HJ165" s="32"/>
      <c r="HK165" s="32"/>
      <c r="HL165" s="32"/>
      <c r="HM165" s="32"/>
      <c r="HN165" s="32"/>
      <c r="HO165" s="32"/>
      <c r="HP165" s="32"/>
      <c r="HQ165" s="32"/>
      <c r="HR165" s="32"/>
      <c r="HS165" s="32"/>
      <c r="HT165" s="32"/>
      <c r="HU165" s="32"/>
      <c r="HV165" s="32"/>
      <c r="HW165" s="32"/>
      <c r="HX165" s="32"/>
      <c r="HY165" s="32"/>
      <c r="HZ165" s="32"/>
      <c r="IA165" s="32"/>
      <c r="IB165" s="32"/>
      <c r="IC165" s="32"/>
      <c r="ID165" s="32"/>
      <c r="IE165" s="32"/>
      <c r="IF165" s="32"/>
      <c r="IG165" s="32"/>
      <c r="IH165" s="32"/>
      <c r="II165" s="32"/>
      <c r="IJ165" s="32"/>
      <c r="IK165" s="32"/>
      <c r="IL165" s="32"/>
      <c r="IM165" s="32"/>
      <c r="IN165" s="32"/>
      <c r="IO165" s="32"/>
      <c r="IP165" s="32"/>
      <c r="IQ165" s="32"/>
      <c r="IR165" s="32"/>
      <c r="IS165" s="32"/>
      <c r="IT165" s="32"/>
      <c r="IU165" s="32"/>
      <c r="IV165" s="32"/>
      <c r="IW165" s="32"/>
      <c r="IX165" s="32"/>
      <c r="IY165" s="32"/>
      <c r="IZ165" s="32"/>
      <c r="JA165" s="32"/>
      <c r="JB165" s="32"/>
      <c r="JC165" s="32"/>
      <c r="JD165" s="32"/>
      <c r="JE165" s="32"/>
      <c r="JF165" s="32"/>
      <c r="JG165" s="32"/>
      <c r="JH165" s="32"/>
      <c r="JI165" s="32"/>
      <c r="JJ165" s="32"/>
      <c r="JK165" s="32"/>
      <c r="JL165" s="32"/>
      <c r="JM165" s="32"/>
      <c r="JN165" s="32"/>
      <c r="JO165" s="32"/>
      <c r="JP165" s="32"/>
      <c r="JQ165" s="32"/>
      <c r="JR165" s="32"/>
      <c r="JS165" s="32"/>
      <c r="JT165" s="32"/>
      <c r="JU165" s="32"/>
      <c r="JV165" s="32"/>
      <c r="JW165" s="32"/>
      <c r="JX165" s="32"/>
      <c r="JY165" s="32"/>
      <c r="JZ165" s="32"/>
      <c r="KA165" s="32"/>
      <c r="KB165" s="32"/>
      <c r="KC165" s="32"/>
      <c r="KD165" s="32"/>
      <c r="KE165" s="32"/>
      <c r="KF165" s="32"/>
      <c r="KG165" s="32"/>
      <c r="KH165" s="32"/>
      <c r="KI165" s="32"/>
      <c r="KJ165" s="32"/>
      <c r="KK165" s="32"/>
      <c r="KL165" s="32"/>
      <c r="KM165" s="32"/>
      <c r="KN165" s="32"/>
      <c r="KO165" s="32"/>
      <c r="KP165" s="32"/>
      <c r="KQ165" s="32"/>
      <c r="KR165" s="32"/>
      <c r="KS165" s="32"/>
      <c r="KT165" s="32"/>
      <c r="KU165" s="32"/>
      <c r="KV165" s="32"/>
      <c r="KW165" s="32"/>
      <c r="KX165" s="32"/>
      <c r="KY165" s="32"/>
      <c r="KZ165" s="32"/>
      <c r="LA165" s="32"/>
      <c r="LB165" s="32"/>
      <c r="LC165" s="32"/>
      <c r="LD165" s="32"/>
      <c r="LE165" s="32"/>
      <c r="LF165" s="32"/>
      <c r="LG165" s="32"/>
      <c r="LH165" s="32"/>
      <c r="LI165" s="32"/>
      <c r="LJ165" s="32"/>
      <c r="LK165" s="32"/>
      <c r="LL165" s="32"/>
      <c r="LM165" s="32"/>
      <c r="LN165" s="32"/>
      <c r="LO165" s="32"/>
      <c r="LP165" s="32"/>
      <c r="LQ165" s="32"/>
      <c r="LR165" s="32"/>
      <c r="LS165" s="32"/>
      <c r="LT165" s="32"/>
      <c r="LU165" s="32"/>
      <c r="LV165" s="32"/>
      <c r="LW165" s="32"/>
      <c r="LX165" s="32"/>
      <c r="LY165" s="32"/>
      <c r="LZ165" s="32"/>
      <c r="MA165" s="32"/>
      <c r="MB165" s="32"/>
      <c r="MC165" s="32"/>
      <c r="MD165" s="32"/>
      <c r="ME165" s="32"/>
      <c r="MF165" s="32"/>
      <c r="MG165" s="32"/>
      <c r="MH165" s="32"/>
      <c r="MI165" s="32"/>
      <c r="MJ165" s="32"/>
      <c r="MK165" s="32"/>
      <c r="ML165" s="32"/>
      <c r="MM165" s="32"/>
      <c r="MN165" s="32"/>
      <c r="MO165" s="32"/>
      <c r="MP165" s="32"/>
      <c r="MQ165" s="32"/>
      <c r="MR165" s="32"/>
      <c r="MS165" s="32"/>
      <c r="MT165" s="32"/>
      <c r="MU165" s="32"/>
      <c r="MV165" s="32"/>
      <c r="MW165" s="32"/>
      <c r="MX165" s="32"/>
      <c r="MY165" s="32"/>
      <c r="MZ165" s="32"/>
      <c r="NA165" s="32"/>
      <c r="NB165" s="32"/>
      <c r="NC165" s="32"/>
      <c r="ND165" s="32"/>
      <c r="NE165" s="32"/>
      <c r="NF165" s="32"/>
      <c r="NG165" s="32"/>
      <c r="NH165" s="32"/>
      <c r="NI165" s="32"/>
      <c r="NJ165" s="32"/>
      <c r="NK165" s="32"/>
      <c r="NL165" s="32"/>
      <c r="NM165" s="32"/>
      <c r="NN165" s="32"/>
      <c r="NO165" s="32"/>
      <c r="NP165" s="32"/>
      <c r="NQ165" s="32"/>
      <c r="NR165" s="32"/>
      <c r="NS165" s="32"/>
      <c r="NT165" s="32"/>
      <c r="NU165" s="32"/>
      <c r="NV165" s="32"/>
      <c r="NW165" s="32"/>
      <c r="NX165" s="32"/>
      <c r="NY165" s="32"/>
      <c r="NZ165" s="32"/>
      <c r="OA165" s="32"/>
      <c r="OB165" s="32"/>
      <c r="OC165" s="32"/>
      <c r="OD165" s="32"/>
      <c r="OE165" s="32"/>
      <c r="OF165" s="32"/>
      <c r="OG165" s="32"/>
      <c r="OH165" s="32"/>
      <c r="OI165" s="32"/>
      <c r="OJ165" s="32"/>
      <c r="OK165" s="32"/>
      <c r="OL165" s="32"/>
      <c r="OM165" s="32"/>
      <c r="ON165" s="32"/>
      <c r="OO165" s="32"/>
      <c r="OP165" s="32"/>
      <c r="OQ165" s="32"/>
      <c r="OR165" s="32"/>
      <c r="OS165" s="32"/>
      <c r="OT165" s="32"/>
      <c r="OU165" s="32"/>
      <c r="OV165" s="32"/>
      <c r="OW165" s="32"/>
      <c r="OX165" s="32"/>
      <c r="OY165" s="32"/>
      <c r="OZ165" s="32"/>
      <c r="PA165" s="32"/>
      <c r="PB165" s="32"/>
      <c r="PC165" s="32"/>
      <c r="PD165" s="32"/>
      <c r="PE165" s="32"/>
      <c r="PF165" s="32"/>
      <c r="PG165" s="32"/>
      <c r="PH165" s="32"/>
      <c r="PI165" s="32"/>
      <c r="PJ165" s="32"/>
      <c r="PK165" s="32"/>
      <c r="PL165" s="32"/>
      <c r="PM165" s="32"/>
      <c r="PN165" s="32"/>
      <c r="PO165" s="32"/>
      <c r="PP165" s="32"/>
      <c r="PQ165" s="32"/>
      <c r="PR165" s="32"/>
      <c r="PS165" s="32"/>
      <c r="PT165" s="32"/>
      <c r="PU165" s="32"/>
      <c r="PV165" s="32"/>
      <c r="PW165" s="32"/>
      <c r="PX165" s="32"/>
      <c r="PY165" s="32"/>
      <c r="PZ165" s="32"/>
      <c r="QA165" s="32"/>
      <c r="QB165" s="32"/>
      <c r="QC165" s="32"/>
      <c r="QD165" s="32"/>
      <c r="QE165" s="32"/>
      <c r="QF165" s="32"/>
      <c r="QG165" s="32"/>
      <c r="QH165" s="32"/>
      <c r="QI165" s="32"/>
      <c r="QJ165" s="32"/>
      <c r="QK165" s="32"/>
      <c r="QL165" s="32"/>
      <c r="QM165" s="32"/>
      <c r="QN165" s="32"/>
      <c r="QO165" s="32"/>
      <c r="QP165" s="32"/>
      <c r="QQ165" s="32"/>
      <c r="QR165" s="32"/>
      <c r="QS165" s="32"/>
      <c r="QT165" s="32"/>
      <c r="QU165" s="32"/>
      <c r="QV165" s="32"/>
      <c r="QW165" s="32"/>
      <c r="QX165" s="32"/>
      <c r="QY165" s="32"/>
      <c r="QZ165" s="32"/>
      <c r="RA165" s="32"/>
      <c r="RB165" s="32"/>
      <c r="RC165" s="32"/>
      <c r="RD165" s="32"/>
      <c r="RE165" s="32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</row>
    <row r="166" spans="1:491" s="9" customFormat="1"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126"/>
    </row>
    <row r="167" spans="1:491" s="154" customFormat="1"/>
    <row r="168" spans="1:491">
      <c r="E168" s="2">
        <f>E137</f>
        <v>42156</v>
      </c>
      <c r="F168" s="2">
        <f t="shared" ref="F168:BQ168" si="757">F137</f>
        <v>42186</v>
      </c>
      <c r="G168" s="2">
        <f t="shared" si="757"/>
        <v>42217</v>
      </c>
      <c r="H168" s="2">
        <f t="shared" si="757"/>
        <v>42248</v>
      </c>
      <c r="I168" s="2">
        <f t="shared" si="757"/>
        <v>42278</v>
      </c>
      <c r="J168" s="2">
        <f t="shared" si="757"/>
        <v>42309</v>
      </c>
      <c r="K168" s="2">
        <f t="shared" si="757"/>
        <v>42339</v>
      </c>
      <c r="L168" s="2">
        <f t="shared" si="757"/>
        <v>42370</v>
      </c>
      <c r="M168" s="2">
        <f t="shared" si="757"/>
        <v>42401</v>
      </c>
      <c r="N168" s="2">
        <f t="shared" si="757"/>
        <v>42430</v>
      </c>
      <c r="O168" s="2">
        <f t="shared" si="757"/>
        <v>42461</v>
      </c>
      <c r="P168" s="2">
        <f t="shared" si="757"/>
        <v>42491</v>
      </c>
      <c r="Q168" s="2">
        <f t="shared" si="757"/>
        <v>42522</v>
      </c>
      <c r="R168" s="2">
        <f t="shared" si="757"/>
        <v>42552</v>
      </c>
      <c r="S168" s="2">
        <f t="shared" si="757"/>
        <v>42583</v>
      </c>
      <c r="T168" s="2">
        <f t="shared" si="757"/>
        <v>42614</v>
      </c>
      <c r="U168" s="2">
        <f t="shared" si="757"/>
        <v>42644</v>
      </c>
      <c r="V168" s="2">
        <f t="shared" si="757"/>
        <v>42675</v>
      </c>
      <c r="W168" s="2">
        <f t="shared" si="757"/>
        <v>42705</v>
      </c>
      <c r="X168" s="2">
        <f t="shared" si="757"/>
        <v>42736</v>
      </c>
      <c r="Y168" s="2">
        <f t="shared" si="757"/>
        <v>42767</v>
      </c>
      <c r="Z168" s="2">
        <f t="shared" si="757"/>
        <v>42795</v>
      </c>
      <c r="AA168" s="2">
        <f t="shared" si="757"/>
        <v>42826</v>
      </c>
      <c r="AB168" s="2">
        <f t="shared" si="757"/>
        <v>42856</v>
      </c>
      <c r="AC168" s="2">
        <f t="shared" si="757"/>
        <v>42887</v>
      </c>
      <c r="AD168" s="2">
        <f t="shared" si="757"/>
        <v>42917</v>
      </c>
      <c r="AE168" s="2">
        <f t="shared" si="757"/>
        <v>42948</v>
      </c>
      <c r="AF168" s="2">
        <f t="shared" si="757"/>
        <v>42979</v>
      </c>
      <c r="AG168" s="2">
        <f t="shared" si="757"/>
        <v>43009</v>
      </c>
      <c r="AH168" s="2">
        <f t="shared" si="757"/>
        <v>43040</v>
      </c>
      <c r="AI168" s="2">
        <f t="shared" si="757"/>
        <v>43070</v>
      </c>
      <c r="AJ168" s="2">
        <f t="shared" si="757"/>
        <v>43101</v>
      </c>
      <c r="AK168" s="2">
        <f t="shared" si="757"/>
        <v>43132</v>
      </c>
      <c r="AL168" s="2">
        <f t="shared" si="757"/>
        <v>43160</v>
      </c>
      <c r="AM168" s="2">
        <f t="shared" si="757"/>
        <v>43191</v>
      </c>
      <c r="AN168" s="2">
        <f t="shared" si="757"/>
        <v>43221</v>
      </c>
      <c r="AO168" s="2">
        <f t="shared" si="757"/>
        <v>43252</v>
      </c>
      <c r="AP168" s="2">
        <f t="shared" si="757"/>
        <v>43282</v>
      </c>
      <c r="AQ168" s="2">
        <f t="shared" si="757"/>
        <v>43313</v>
      </c>
      <c r="AR168" s="2">
        <f t="shared" si="757"/>
        <v>43344</v>
      </c>
      <c r="AS168" s="2">
        <f t="shared" si="757"/>
        <v>43374</v>
      </c>
      <c r="AT168" s="2">
        <f t="shared" si="757"/>
        <v>43405</v>
      </c>
      <c r="AU168" s="2">
        <f t="shared" si="757"/>
        <v>43435</v>
      </c>
      <c r="AV168" s="2">
        <f t="shared" si="757"/>
        <v>43466</v>
      </c>
      <c r="AW168" s="2">
        <f t="shared" si="757"/>
        <v>43497</v>
      </c>
      <c r="AX168" s="2">
        <f t="shared" si="757"/>
        <v>43525</v>
      </c>
      <c r="AY168" s="2">
        <f t="shared" si="757"/>
        <v>43556</v>
      </c>
      <c r="AZ168" s="2">
        <f t="shared" si="757"/>
        <v>43586</v>
      </c>
      <c r="BA168" s="2">
        <f t="shared" si="757"/>
        <v>43617</v>
      </c>
      <c r="BB168" s="2">
        <f t="shared" si="757"/>
        <v>43647</v>
      </c>
      <c r="BC168" s="2">
        <f t="shared" si="757"/>
        <v>43678</v>
      </c>
      <c r="BD168" s="2">
        <f t="shared" si="757"/>
        <v>43709</v>
      </c>
      <c r="BE168" s="2">
        <f t="shared" si="757"/>
        <v>43739</v>
      </c>
      <c r="BF168" s="2">
        <f t="shared" si="757"/>
        <v>43770</v>
      </c>
      <c r="BG168" s="2">
        <f t="shared" si="757"/>
        <v>43800</v>
      </c>
      <c r="BH168" s="2">
        <f t="shared" si="757"/>
        <v>43831</v>
      </c>
      <c r="BI168" s="2">
        <f t="shared" si="757"/>
        <v>43862</v>
      </c>
      <c r="BJ168" s="2">
        <f t="shared" si="757"/>
        <v>43891</v>
      </c>
      <c r="BK168" s="2">
        <f t="shared" si="757"/>
        <v>43922</v>
      </c>
      <c r="BL168" s="2">
        <f t="shared" si="757"/>
        <v>43952</v>
      </c>
      <c r="BM168" s="2">
        <f t="shared" si="757"/>
        <v>43983</v>
      </c>
      <c r="BN168" s="2">
        <f t="shared" si="757"/>
        <v>44013</v>
      </c>
      <c r="BO168" s="2">
        <f t="shared" si="757"/>
        <v>44044</v>
      </c>
      <c r="BP168" s="2">
        <f t="shared" si="757"/>
        <v>44075</v>
      </c>
      <c r="BQ168" s="2">
        <f t="shared" si="757"/>
        <v>44105</v>
      </c>
      <c r="BR168" s="2">
        <f t="shared" ref="BR168:EC168" si="758">BR137</f>
        <v>44136</v>
      </c>
      <c r="BS168" s="2">
        <f t="shared" si="758"/>
        <v>44166</v>
      </c>
      <c r="BT168" s="2">
        <f t="shared" si="758"/>
        <v>44197</v>
      </c>
      <c r="BU168" s="2">
        <f t="shared" si="758"/>
        <v>44228</v>
      </c>
      <c r="BV168" s="2">
        <f t="shared" si="758"/>
        <v>44256</v>
      </c>
      <c r="BW168" s="2">
        <f t="shared" si="758"/>
        <v>44287</v>
      </c>
      <c r="BX168" s="2">
        <f t="shared" si="758"/>
        <v>44317</v>
      </c>
      <c r="BY168" s="2">
        <f t="shared" si="758"/>
        <v>44348</v>
      </c>
      <c r="BZ168" s="2">
        <f t="shared" si="758"/>
        <v>44378</v>
      </c>
      <c r="CA168" s="2">
        <f t="shared" si="758"/>
        <v>44409</v>
      </c>
      <c r="CB168" s="2">
        <f t="shared" si="758"/>
        <v>44440</v>
      </c>
      <c r="CC168" s="2">
        <f t="shared" si="758"/>
        <v>44470</v>
      </c>
      <c r="CD168" s="2">
        <f t="shared" si="758"/>
        <v>44501</v>
      </c>
      <c r="CE168" s="2">
        <f t="shared" si="758"/>
        <v>44531</v>
      </c>
      <c r="CF168" s="2">
        <f t="shared" si="758"/>
        <v>44562</v>
      </c>
      <c r="CG168" s="2">
        <f t="shared" si="758"/>
        <v>44593</v>
      </c>
      <c r="CH168" s="2">
        <f t="shared" si="758"/>
        <v>44621</v>
      </c>
      <c r="CI168" s="2">
        <f t="shared" si="758"/>
        <v>44652</v>
      </c>
      <c r="CJ168" s="2">
        <f t="shared" si="758"/>
        <v>44682</v>
      </c>
      <c r="CK168" s="2">
        <f t="shared" si="758"/>
        <v>44713</v>
      </c>
      <c r="CL168" s="2">
        <f t="shared" si="758"/>
        <v>44743</v>
      </c>
      <c r="CM168" s="2">
        <f t="shared" si="758"/>
        <v>44774</v>
      </c>
      <c r="CN168" s="2">
        <f t="shared" si="758"/>
        <v>44805</v>
      </c>
      <c r="CO168" s="2">
        <f t="shared" si="758"/>
        <v>44835</v>
      </c>
      <c r="CP168" s="2">
        <f t="shared" si="758"/>
        <v>44866</v>
      </c>
      <c r="CQ168" s="2">
        <f t="shared" si="758"/>
        <v>44896</v>
      </c>
      <c r="CR168" s="2">
        <f t="shared" si="758"/>
        <v>44927</v>
      </c>
      <c r="CS168" s="2">
        <f t="shared" si="758"/>
        <v>44958</v>
      </c>
      <c r="CT168" s="2">
        <f t="shared" si="758"/>
        <v>44986</v>
      </c>
      <c r="CU168" s="2">
        <f t="shared" si="758"/>
        <v>45017</v>
      </c>
      <c r="CV168" s="2">
        <f t="shared" si="758"/>
        <v>45047</v>
      </c>
      <c r="CW168" s="2">
        <f t="shared" si="758"/>
        <v>45078</v>
      </c>
      <c r="CX168" s="2">
        <f t="shared" si="758"/>
        <v>45108</v>
      </c>
      <c r="CY168" s="2">
        <f t="shared" si="758"/>
        <v>45139</v>
      </c>
      <c r="CZ168" s="2">
        <f t="shared" si="758"/>
        <v>45170</v>
      </c>
      <c r="DA168" s="2">
        <f t="shared" si="758"/>
        <v>45200</v>
      </c>
      <c r="DB168" s="2">
        <f t="shared" si="758"/>
        <v>45231</v>
      </c>
      <c r="DC168" s="2">
        <f t="shared" si="758"/>
        <v>45261</v>
      </c>
      <c r="DD168" s="2">
        <f t="shared" si="758"/>
        <v>45292</v>
      </c>
      <c r="DE168" s="2">
        <f t="shared" si="758"/>
        <v>45323</v>
      </c>
      <c r="DF168" s="2">
        <f t="shared" si="758"/>
        <v>45352</v>
      </c>
      <c r="DG168" s="2">
        <f t="shared" si="758"/>
        <v>45383</v>
      </c>
      <c r="DH168" s="2">
        <f t="shared" si="758"/>
        <v>45413</v>
      </c>
      <c r="DI168" s="2">
        <f t="shared" si="758"/>
        <v>45444</v>
      </c>
      <c r="DJ168" s="2">
        <f t="shared" si="758"/>
        <v>45474</v>
      </c>
      <c r="DK168" s="2">
        <f t="shared" si="758"/>
        <v>45505</v>
      </c>
      <c r="DL168" s="2">
        <f t="shared" si="758"/>
        <v>45536</v>
      </c>
      <c r="DM168" s="2">
        <f t="shared" si="758"/>
        <v>45566</v>
      </c>
      <c r="DN168" s="2">
        <f t="shared" si="758"/>
        <v>45597</v>
      </c>
      <c r="DO168" s="2">
        <f t="shared" si="758"/>
        <v>45627</v>
      </c>
      <c r="DP168" s="2">
        <f t="shared" si="758"/>
        <v>45658</v>
      </c>
      <c r="DQ168" s="2">
        <f t="shared" si="758"/>
        <v>45689</v>
      </c>
      <c r="DR168" s="2">
        <f t="shared" si="758"/>
        <v>45717</v>
      </c>
      <c r="DS168" s="2">
        <f t="shared" si="758"/>
        <v>45748</v>
      </c>
      <c r="DT168" s="2">
        <f t="shared" si="758"/>
        <v>45778</v>
      </c>
      <c r="DU168" s="2">
        <f t="shared" si="758"/>
        <v>45809</v>
      </c>
      <c r="DV168" s="2">
        <f t="shared" si="758"/>
        <v>45839</v>
      </c>
      <c r="DW168" s="2">
        <f t="shared" si="758"/>
        <v>45870</v>
      </c>
      <c r="DX168" s="2">
        <f t="shared" si="758"/>
        <v>45901</v>
      </c>
      <c r="DY168" s="2">
        <f t="shared" si="758"/>
        <v>45931</v>
      </c>
      <c r="DZ168" s="2">
        <f t="shared" si="758"/>
        <v>45962</v>
      </c>
      <c r="EA168" s="2">
        <f t="shared" si="758"/>
        <v>45992</v>
      </c>
      <c r="EB168" s="2">
        <f t="shared" si="758"/>
        <v>46023</v>
      </c>
      <c r="EC168" s="2">
        <f t="shared" si="758"/>
        <v>46054</v>
      </c>
      <c r="ED168" s="2">
        <f t="shared" ref="ED168:GO168" si="759">ED137</f>
        <v>46082</v>
      </c>
      <c r="EE168" s="2">
        <f t="shared" si="759"/>
        <v>46113</v>
      </c>
      <c r="EF168" s="2">
        <f t="shared" si="759"/>
        <v>46143</v>
      </c>
      <c r="EG168" s="2">
        <f t="shared" si="759"/>
        <v>46174</v>
      </c>
      <c r="EH168" s="2">
        <f t="shared" si="759"/>
        <v>46204</v>
      </c>
      <c r="EI168" s="2">
        <f t="shared" si="759"/>
        <v>46235</v>
      </c>
      <c r="EJ168" s="2">
        <f t="shared" si="759"/>
        <v>46266</v>
      </c>
      <c r="EK168" s="2">
        <f t="shared" si="759"/>
        <v>46296</v>
      </c>
      <c r="EL168" s="2">
        <f t="shared" si="759"/>
        <v>46327</v>
      </c>
      <c r="EM168" s="2">
        <f t="shared" si="759"/>
        <v>46357</v>
      </c>
      <c r="EN168" s="2">
        <f t="shared" si="759"/>
        <v>46388</v>
      </c>
      <c r="EO168" s="2">
        <f t="shared" si="759"/>
        <v>46419</v>
      </c>
      <c r="EP168" s="2">
        <f t="shared" si="759"/>
        <v>46447</v>
      </c>
      <c r="EQ168" s="2">
        <f t="shared" si="759"/>
        <v>46478</v>
      </c>
      <c r="ER168" s="2">
        <f t="shared" si="759"/>
        <v>46508</v>
      </c>
      <c r="ES168" s="2">
        <f t="shared" si="759"/>
        <v>46539</v>
      </c>
      <c r="ET168" s="2">
        <f t="shared" si="759"/>
        <v>46569</v>
      </c>
      <c r="EU168" s="2">
        <f t="shared" si="759"/>
        <v>46600</v>
      </c>
      <c r="EV168" s="2">
        <f t="shared" si="759"/>
        <v>46631</v>
      </c>
      <c r="EW168" s="2">
        <f t="shared" si="759"/>
        <v>46661</v>
      </c>
      <c r="EX168" s="2">
        <f t="shared" si="759"/>
        <v>46692</v>
      </c>
      <c r="EY168" s="2">
        <f t="shared" si="759"/>
        <v>46722</v>
      </c>
      <c r="EZ168" s="2">
        <f t="shared" si="759"/>
        <v>46753</v>
      </c>
      <c r="FA168" s="2">
        <f t="shared" si="759"/>
        <v>46784</v>
      </c>
      <c r="FB168" s="2">
        <f t="shared" si="759"/>
        <v>46813</v>
      </c>
      <c r="FC168" s="2">
        <f t="shared" si="759"/>
        <v>46844</v>
      </c>
      <c r="FD168" s="2">
        <f t="shared" si="759"/>
        <v>46874</v>
      </c>
      <c r="FE168" s="2">
        <f t="shared" si="759"/>
        <v>46905</v>
      </c>
      <c r="FF168" s="2">
        <f t="shared" si="759"/>
        <v>46935</v>
      </c>
      <c r="FG168" s="2">
        <f t="shared" si="759"/>
        <v>46966</v>
      </c>
      <c r="FH168" s="2">
        <f t="shared" si="759"/>
        <v>46997</v>
      </c>
      <c r="FI168" s="2">
        <f t="shared" si="759"/>
        <v>47027</v>
      </c>
      <c r="FJ168" s="2">
        <f t="shared" si="759"/>
        <v>47058</v>
      </c>
      <c r="FK168" s="2">
        <f t="shared" si="759"/>
        <v>47088</v>
      </c>
      <c r="FL168" s="2">
        <f t="shared" si="759"/>
        <v>47119</v>
      </c>
      <c r="FM168" s="2">
        <f t="shared" si="759"/>
        <v>47150</v>
      </c>
      <c r="FN168" s="2">
        <f t="shared" si="759"/>
        <v>47178</v>
      </c>
      <c r="FO168" s="2">
        <f t="shared" si="759"/>
        <v>47209</v>
      </c>
      <c r="FP168" s="2">
        <f t="shared" si="759"/>
        <v>47239</v>
      </c>
      <c r="FQ168" s="2">
        <f t="shared" si="759"/>
        <v>47270</v>
      </c>
      <c r="FR168" s="2">
        <f t="shared" si="759"/>
        <v>47300</v>
      </c>
      <c r="FS168" s="2">
        <f t="shared" si="759"/>
        <v>47331</v>
      </c>
      <c r="FT168" s="2">
        <f t="shared" si="759"/>
        <v>47362</v>
      </c>
      <c r="FU168" s="2">
        <f t="shared" si="759"/>
        <v>47392</v>
      </c>
      <c r="FV168" s="2">
        <f t="shared" si="759"/>
        <v>47423</v>
      </c>
      <c r="FW168" s="2">
        <f t="shared" si="759"/>
        <v>47453</v>
      </c>
      <c r="FX168" s="2">
        <f t="shared" si="759"/>
        <v>47484</v>
      </c>
      <c r="FY168" s="2">
        <f t="shared" si="759"/>
        <v>47515</v>
      </c>
      <c r="FZ168" s="2">
        <f t="shared" si="759"/>
        <v>47543</v>
      </c>
      <c r="GA168" s="2">
        <f t="shared" si="759"/>
        <v>47574</v>
      </c>
      <c r="GB168" s="2">
        <f t="shared" si="759"/>
        <v>47604</v>
      </c>
      <c r="GC168" s="2">
        <f t="shared" si="759"/>
        <v>47635</v>
      </c>
      <c r="GD168" s="2">
        <f t="shared" si="759"/>
        <v>47665</v>
      </c>
      <c r="GE168" s="2">
        <f t="shared" si="759"/>
        <v>47696</v>
      </c>
      <c r="GF168" s="2">
        <f t="shared" si="759"/>
        <v>47727</v>
      </c>
      <c r="GG168" s="2">
        <f t="shared" si="759"/>
        <v>47757</v>
      </c>
      <c r="GH168" s="2">
        <f t="shared" si="759"/>
        <v>47788</v>
      </c>
      <c r="GI168" s="2">
        <f t="shared" si="759"/>
        <v>47818</v>
      </c>
      <c r="GJ168" s="2">
        <f t="shared" si="759"/>
        <v>47849</v>
      </c>
      <c r="GK168" s="2">
        <f t="shared" si="759"/>
        <v>47880</v>
      </c>
      <c r="GL168" s="2">
        <f t="shared" si="759"/>
        <v>47908</v>
      </c>
      <c r="GM168" s="2">
        <f t="shared" si="759"/>
        <v>47939</v>
      </c>
      <c r="GN168" s="2">
        <f t="shared" si="759"/>
        <v>47969</v>
      </c>
      <c r="GO168" s="2">
        <f t="shared" si="759"/>
        <v>48000</v>
      </c>
      <c r="GP168" s="2">
        <f t="shared" ref="GP168:JA168" si="760">GP137</f>
        <v>48030</v>
      </c>
      <c r="GQ168" s="2">
        <f t="shared" si="760"/>
        <v>48061</v>
      </c>
      <c r="GR168" s="2">
        <f t="shared" si="760"/>
        <v>48092</v>
      </c>
      <c r="GS168" s="2">
        <f t="shared" si="760"/>
        <v>48122</v>
      </c>
      <c r="GT168" s="2">
        <f t="shared" si="760"/>
        <v>48153</v>
      </c>
      <c r="GU168" s="2">
        <f t="shared" si="760"/>
        <v>48183</v>
      </c>
      <c r="GV168" s="2">
        <f t="shared" si="760"/>
        <v>48214</v>
      </c>
      <c r="GW168" s="2">
        <f t="shared" si="760"/>
        <v>48245</v>
      </c>
      <c r="GX168" s="2">
        <f t="shared" si="760"/>
        <v>48274</v>
      </c>
      <c r="GY168" s="2">
        <f t="shared" si="760"/>
        <v>48305</v>
      </c>
      <c r="GZ168" s="2">
        <f t="shared" si="760"/>
        <v>48335</v>
      </c>
      <c r="HA168" s="2">
        <f t="shared" si="760"/>
        <v>48366</v>
      </c>
      <c r="HB168" s="2">
        <f t="shared" si="760"/>
        <v>48396</v>
      </c>
      <c r="HC168" s="2">
        <f t="shared" si="760"/>
        <v>48427</v>
      </c>
      <c r="HD168" s="2">
        <f t="shared" si="760"/>
        <v>48458</v>
      </c>
      <c r="HE168" s="2">
        <f t="shared" si="760"/>
        <v>48488</v>
      </c>
      <c r="HF168" s="2">
        <f t="shared" si="760"/>
        <v>48519</v>
      </c>
      <c r="HG168" s="2">
        <f t="shared" si="760"/>
        <v>48549</v>
      </c>
      <c r="HH168" s="2">
        <f t="shared" si="760"/>
        <v>48580</v>
      </c>
      <c r="HI168" s="2">
        <f t="shared" si="760"/>
        <v>48611</v>
      </c>
      <c r="HJ168" s="2">
        <f t="shared" si="760"/>
        <v>48639</v>
      </c>
      <c r="HK168" s="2">
        <f t="shared" si="760"/>
        <v>48670</v>
      </c>
      <c r="HL168" s="2">
        <f t="shared" si="760"/>
        <v>48700</v>
      </c>
      <c r="HM168" s="2">
        <f t="shared" si="760"/>
        <v>48731</v>
      </c>
      <c r="HN168" s="2">
        <f t="shared" si="760"/>
        <v>48761</v>
      </c>
      <c r="HO168" s="2">
        <f t="shared" si="760"/>
        <v>48792</v>
      </c>
      <c r="HP168" s="2">
        <f t="shared" si="760"/>
        <v>48823</v>
      </c>
      <c r="HQ168" s="2">
        <f t="shared" si="760"/>
        <v>48853</v>
      </c>
      <c r="HR168" s="2">
        <f t="shared" si="760"/>
        <v>48884</v>
      </c>
      <c r="HS168" s="2">
        <f t="shared" si="760"/>
        <v>48914</v>
      </c>
      <c r="HT168" s="2">
        <f t="shared" si="760"/>
        <v>48945</v>
      </c>
      <c r="HU168" s="2">
        <f t="shared" si="760"/>
        <v>48976</v>
      </c>
      <c r="HV168" s="2">
        <f t="shared" si="760"/>
        <v>49004</v>
      </c>
      <c r="HW168" s="2">
        <f t="shared" si="760"/>
        <v>49035</v>
      </c>
      <c r="HX168" s="2">
        <f t="shared" si="760"/>
        <v>49065</v>
      </c>
      <c r="HY168" s="2">
        <f t="shared" si="760"/>
        <v>49096</v>
      </c>
      <c r="HZ168" s="2">
        <f t="shared" si="760"/>
        <v>49126</v>
      </c>
      <c r="IA168" s="2">
        <f t="shared" si="760"/>
        <v>49157</v>
      </c>
      <c r="IB168" s="2">
        <f t="shared" si="760"/>
        <v>49188</v>
      </c>
      <c r="IC168" s="2">
        <f t="shared" si="760"/>
        <v>49218</v>
      </c>
      <c r="ID168" s="2">
        <f t="shared" si="760"/>
        <v>49249</v>
      </c>
      <c r="IE168" s="2">
        <f t="shared" si="760"/>
        <v>49279</v>
      </c>
      <c r="IF168" s="2">
        <f t="shared" si="760"/>
        <v>49310</v>
      </c>
      <c r="IG168" s="2">
        <f t="shared" si="760"/>
        <v>49341</v>
      </c>
      <c r="IH168" s="2">
        <f t="shared" si="760"/>
        <v>49369</v>
      </c>
      <c r="II168" s="2">
        <f t="shared" si="760"/>
        <v>49400</v>
      </c>
      <c r="IJ168" s="2">
        <f t="shared" si="760"/>
        <v>49430</v>
      </c>
      <c r="IK168" s="2">
        <f t="shared" si="760"/>
        <v>49461</v>
      </c>
      <c r="IL168" s="2">
        <f t="shared" si="760"/>
        <v>49491</v>
      </c>
      <c r="IM168" s="2">
        <f t="shared" si="760"/>
        <v>49522</v>
      </c>
      <c r="IN168" s="2">
        <f t="shared" si="760"/>
        <v>49553</v>
      </c>
      <c r="IO168" s="2">
        <f t="shared" si="760"/>
        <v>49583</v>
      </c>
      <c r="IP168" s="2">
        <f t="shared" si="760"/>
        <v>49614</v>
      </c>
      <c r="IQ168" s="2">
        <f t="shared" si="760"/>
        <v>49644</v>
      </c>
      <c r="IR168" s="2">
        <f t="shared" si="760"/>
        <v>49675</v>
      </c>
      <c r="IS168" s="2">
        <f t="shared" si="760"/>
        <v>49706</v>
      </c>
      <c r="IT168" s="2">
        <f t="shared" si="760"/>
        <v>49735</v>
      </c>
      <c r="IU168" s="2">
        <f t="shared" si="760"/>
        <v>49766</v>
      </c>
      <c r="IV168" s="2">
        <f t="shared" si="760"/>
        <v>49796</v>
      </c>
      <c r="IW168" s="2">
        <f t="shared" si="760"/>
        <v>49827</v>
      </c>
      <c r="IX168" s="2">
        <f t="shared" si="760"/>
        <v>49857</v>
      </c>
      <c r="IY168" s="2">
        <f t="shared" si="760"/>
        <v>49888</v>
      </c>
      <c r="IZ168" s="2">
        <f t="shared" si="760"/>
        <v>49919</v>
      </c>
      <c r="JA168" s="2">
        <f t="shared" si="760"/>
        <v>49949</v>
      </c>
      <c r="JB168" s="2">
        <f t="shared" ref="JB168:LM168" si="761">JB137</f>
        <v>49980</v>
      </c>
      <c r="JC168" s="2">
        <f t="shared" si="761"/>
        <v>50010</v>
      </c>
      <c r="JD168" s="2">
        <f t="shared" si="761"/>
        <v>50041</v>
      </c>
      <c r="JE168" s="2">
        <f t="shared" si="761"/>
        <v>50072</v>
      </c>
      <c r="JF168" s="2">
        <f t="shared" si="761"/>
        <v>50100</v>
      </c>
      <c r="JG168" s="2">
        <f t="shared" si="761"/>
        <v>50131</v>
      </c>
      <c r="JH168" s="2">
        <f t="shared" si="761"/>
        <v>50161</v>
      </c>
      <c r="JI168" s="2">
        <f t="shared" si="761"/>
        <v>50192</v>
      </c>
      <c r="JJ168" s="2">
        <f t="shared" si="761"/>
        <v>50222</v>
      </c>
      <c r="JK168" s="2">
        <f t="shared" si="761"/>
        <v>50253</v>
      </c>
      <c r="JL168" s="2">
        <f t="shared" si="761"/>
        <v>50284</v>
      </c>
      <c r="JM168" s="2">
        <f t="shared" si="761"/>
        <v>50314</v>
      </c>
      <c r="JN168" s="2">
        <f t="shared" si="761"/>
        <v>50345</v>
      </c>
      <c r="JO168" s="2">
        <f t="shared" si="761"/>
        <v>50375</v>
      </c>
      <c r="JP168" s="2">
        <f t="shared" si="761"/>
        <v>50406</v>
      </c>
      <c r="JQ168" s="2">
        <f t="shared" si="761"/>
        <v>50437</v>
      </c>
      <c r="JR168" s="2">
        <f t="shared" si="761"/>
        <v>50465</v>
      </c>
      <c r="JS168" s="2">
        <f t="shared" si="761"/>
        <v>50496</v>
      </c>
      <c r="JT168" s="2">
        <f t="shared" si="761"/>
        <v>50526</v>
      </c>
      <c r="JU168" s="2">
        <f t="shared" si="761"/>
        <v>50557</v>
      </c>
      <c r="JV168" s="2">
        <f t="shared" si="761"/>
        <v>50587</v>
      </c>
      <c r="JW168" s="2">
        <f t="shared" si="761"/>
        <v>50618</v>
      </c>
      <c r="JX168" s="2">
        <f t="shared" si="761"/>
        <v>50649</v>
      </c>
      <c r="JY168" s="2">
        <f t="shared" si="761"/>
        <v>50679</v>
      </c>
      <c r="JZ168" s="2">
        <f t="shared" si="761"/>
        <v>50710</v>
      </c>
      <c r="KA168" s="2">
        <f t="shared" si="761"/>
        <v>50740</v>
      </c>
      <c r="KB168" s="2">
        <f t="shared" si="761"/>
        <v>50771</v>
      </c>
      <c r="KC168" s="2">
        <f t="shared" si="761"/>
        <v>50802</v>
      </c>
      <c r="KD168" s="2">
        <f t="shared" si="761"/>
        <v>50830</v>
      </c>
      <c r="KE168" s="2">
        <f t="shared" si="761"/>
        <v>50861</v>
      </c>
      <c r="KF168" s="2">
        <f t="shared" si="761"/>
        <v>50891</v>
      </c>
      <c r="KG168" s="2">
        <f t="shared" si="761"/>
        <v>50922</v>
      </c>
      <c r="KH168" s="2">
        <f t="shared" si="761"/>
        <v>50952</v>
      </c>
      <c r="KI168" s="2">
        <f t="shared" si="761"/>
        <v>50983</v>
      </c>
      <c r="KJ168" s="2">
        <f t="shared" si="761"/>
        <v>51014</v>
      </c>
      <c r="KK168" s="2">
        <f t="shared" si="761"/>
        <v>51044</v>
      </c>
      <c r="KL168" s="2">
        <f t="shared" si="761"/>
        <v>51075</v>
      </c>
      <c r="KM168" s="2">
        <f t="shared" si="761"/>
        <v>51105</v>
      </c>
      <c r="KN168" s="2">
        <f t="shared" si="761"/>
        <v>51136</v>
      </c>
      <c r="KO168" s="2">
        <f t="shared" si="761"/>
        <v>51167</v>
      </c>
      <c r="KP168" s="2">
        <f t="shared" si="761"/>
        <v>51196</v>
      </c>
      <c r="KQ168" s="2">
        <f t="shared" si="761"/>
        <v>51227</v>
      </c>
      <c r="KR168" s="2">
        <f t="shared" si="761"/>
        <v>51257</v>
      </c>
      <c r="KS168" s="2">
        <f t="shared" si="761"/>
        <v>51288</v>
      </c>
      <c r="KT168" s="2">
        <f t="shared" si="761"/>
        <v>51318</v>
      </c>
      <c r="KU168" s="2">
        <f t="shared" si="761"/>
        <v>51349</v>
      </c>
      <c r="KV168" s="2">
        <f t="shared" si="761"/>
        <v>51380</v>
      </c>
      <c r="KW168" s="2">
        <f t="shared" si="761"/>
        <v>51410</v>
      </c>
      <c r="KX168" s="2">
        <f t="shared" si="761"/>
        <v>51441</v>
      </c>
      <c r="KY168" s="2">
        <f t="shared" si="761"/>
        <v>51471</v>
      </c>
      <c r="KZ168" s="2">
        <f t="shared" si="761"/>
        <v>51502</v>
      </c>
      <c r="LA168" s="2">
        <f t="shared" si="761"/>
        <v>51533</v>
      </c>
      <c r="LB168" s="2">
        <f t="shared" si="761"/>
        <v>51561</v>
      </c>
      <c r="LC168" s="2">
        <f t="shared" si="761"/>
        <v>51592</v>
      </c>
      <c r="LD168" s="2">
        <f t="shared" si="761"/>
        <v>51622</v>
      </c>
      <c r="LE168" s="2">
        <f t="shared" si="761"/>
        <v>51653</v>
      </c>
      <c r="LF168" s="2">
        <f t="shared" si="761"/>
        <v>51683</v>
      </c>
      <c r="LG168" s="2">
        <f t="shared" si="761"/>
        <v>51714</v>
      </c>
      <c r="LH168" s="2">
        <f t="shared" si="761"/>
        <v>51745</v>
      </c>
      <c r="LI168" s="2">
        <f t="shared" si="761"/>
        <v>51775</v>
      </c>
      <c r="LJ168" s="2">
        <f t="shared" si="761"/>
        <v>51806</v>
      </c>
      <c r="LK168" s="2">
        <f t="shared" si="761"/>
        <v>51836</v>
      </c>
      <c r="LL168" s="2">
        <f t="shared" si="761"/>
        <v>51867</v>
      </c>
      <c r="LM168" s="2">
        <f t="shared" si="761"/>
        <v>51898</v>
      </c>
      <c r="LN168" s="2">
        <f t="shared" ref="LN168:NY168" si="762">LN137</f>
        <v>51926</v>
      </c>
      <c r="LO168" s="2">
        <f t="shared" si="762"/>
        <v>51957</v>
      </c>
      <c r="LP168" s="2">
        <f t="shared" si="762"/>
        <v>51987</v>
      </c>
      <c r="LQ168" s="2">
        <f t="shared" si="762"/>
        <v>52018</v>
      </c>
      <c r="LR168" s="2">
        <f t="shared" si="762"/>
        <v>52048</v>
      </c>
      <c r="LS168" s="2">
        <f t="shared" si="762"/>
        <v>52079</v>
      </c>
      <c r="LT168" s="2">
        <f t="shared" si="762"/>
        <v>52110</v>
      </c>
      <c r="LU168" s="2">
        <f t="shared" si="762"/>
        <v>52140</v>
      </c>
      <c r="LV168" s="2">
        <f t="shared" si="762"/>
        <v>52171</v>
      </c>
      <c r="LW168" s="2">
        <f t="shared" si="762"/>
        <v>52201</v>
      </c>
      <c r="LX168" s="2">
        <f t="shared" si="762"/>
        <v>52232</v>
      </c>
      <c r="LY168" s="2">
        <f t="shared" si="762"/>
        <v>52263</v>
      </c>
      <c r="LZ168" s="2">
        <f t="shared" si="762"/>
        <v>52291</v>
      </c>
      <c r="MA168" s="2">
        <f t="shared" si="762"/>
        <v>52322</v>
      </c>
      <c r="MB168" s="2">
        <f t="shared" si="762"/>
        <v>52352</v>
      </c>
      <c r="MC168" s="2">
        <f t="shared" si="762"/>
        <v>52383</v>
      </c>
      <c r="MD168" s="2">
        <f t="shared" si="762"/>
        <v>52413</v>
      </c>
      <c r="ME168" s="2">
        <f t="shared" si="762"/>
        <v>52444</v>
      </c>
      <c r="MF168" s="2">
        <f t="shared" si="762"/>
        <v>52475</v>
      </c>
      <c r="MG168" s="2">
        <f t="shared" si="762"/>
        <v>52505</v>
      </c>
      <c r="MH168" s="2">
        <f t="shared" si="762"/>
        <v>52536</v>
      </c>
      <c r="MI168" s="2">
        <f t="shared" si="762"/>
        <v>52566</v>
      </c>
      <c r="MJ168" s="2">
        <f t="shared" si="762"/>
        <v>52597</v>
      </c>
      <c r="MK168" s="2">
        <f t="shared" si="762"/>
        <v>52628</v>
      </c>
      <c r="ML168" s="2">
        <f t="shared" si="762"/>
        <v>52657</v>
      </c>
      <c r="MM168" s="2">
        <f t="shared" si="762"/>
        <v>52688</v>
      </c>
      <c r="MN168" s="2">
        <f t="shared" si="762"/>
        <v>52718</v>
      </c>
      <c r="MO168" s="2">
        <f t="shared" si="762"/>
        <v>52749</v>
      </c>
      <c r="MP168" s="2">
        <f t="shared" si="762"/>
        <v>52779</v>
      </c>
      <c r="MQ168" s="2">
        <f t="shared" si="762"/>
        <v>52810</v>
      </c>
      <c r="MR168" s="2">
        <f t="shared" si="762"/>
        <v>52841</v>
      </c>
      <c r="MS168" s="2">
        <f t="shared" si="762"/>
        <v>52871</v>
      </c>
      <c r="MT168" s="2">
        <f t="shared" si="762"/>
        <v>52902</v>
      </c>
      <c r="MU168" s="2">
        <f t="shared" si="762"/>
        <v>52932</v>
      </c>
      <c r="MV168" s="2">
        <f t="shared" si="762"/>
        <v>52963</v>
      </c>
      <c r="MW168" s="2">
        <f t="shared" si="762"/>
        <v>52994</v>
      </c>
      <c r="MX168" s="2">
        <f t="shared" si="762"/>
        <v>53022</v>
      </c>
      <c r="MY168" s="2">
        <f t="shared" si="762"/>
        <v>53053</v>
      </c>
      <c r="MZ168" s="2">
        <f t="shared" si="762"/>
        <v>53083</v>
      </c>
      <c r="NA168" s="2">
        <f t="shared" si="762"/>
        <v>53114</v>
      </c>
      <c r="NB168" s="2">
        <f t="shared" si="762"/>
        <v>53144</v>
      </c>
      <c r="NC168" s="2">
        <f t="shared" si="762"/>
        <v>53175</v>
      </c>
      <c r="ND168" s="2">
        <f t="shared" si="762"/>
        <v>53206</v>
      </c>
      <c r="NE168" s="2">
        <f t="shared" si="762"/>
        <v>53236</v>
      </c>
      <c r="NF168" s="2">
        <f t="shared" si="762"/>
        <v>53267</v>
      </c>
      <c r="NG168" s="2">
        <f t="shared" si="762"/>
        <v>53297</v>
      </c>
      <c r="NH168" s="2">
        <f t="shared" si="762"/>
        <v>53328</v>
      </c>
      <c r="NI168" s="2">
        <f t="shared" si="762"/>
        <v>53359</v>
      </c>
      <c r="NJ168" s="2">
        <f t="shared" si="762"/>
        <v>53387</v>
      </c>
      <c r="NK168" s="2">
        <f t="shared" si="762"/>
        <v>53418</v>
      </c>
      <c r="NL168" s="2">
        <f t="shared" si="762"/>
        <v>53448</v>
      </c>
      <c r="NM168" s="2">
        <f t="shared" si="762"/>
        <v>53479</v>
      </c>
      <c r="NN168" s="2">
        <f t="shared" si="762"/>
        <v>53509</v>
      </c>
      <c r="NO168" s="2">
        <f t="shared" si="762"/>
        <v>53540</v>
      </c>
      <c r="NP168" s="2">
        <f t="shared" si="762"/>
        <v>53571</v>
      </c>
      <c r="NQ168" s="2">
        <f t="shared" si="762"/>
        <v>53601</v>
      </c>
      <c r="NR168" s="2">
        <f t="shared" si="762"/>
        <v>53632</v>
      </c>
      <c r="NS168" s="2">
        <f t="shared" si="762"/>
        <v>53662</v>
      </c>
      <c r="NT168" s="2">
        <f t="shared" si="762"/>
        <v>53693</v>
      </c>
      <c r="NU168" s="2">
        <f t="shared" si="762"/>
        <v>53724</v>
      </c>
      <c r="NV168" s="2">
        <f t="shared" si="762"/>
        <v>53752</v>
      </c>
      <c r="NW168" s="2">
        <f t="shared" si="762"/>
        <v>53783</v>
      </c>
      <c r="NX168" s="2">
        <f t="shared" si="762"/>
        <v>53813</v>
      </c>
      <c r="NY168" s="2">
        <f t="shared" si="762"/>
        <v>53844</v>
      </c>
      <c r="NZ168" s="2">
        <f t="shared" ref="NZ168:QK168" si="763">NZ137</f>
        <v>53874</v>
      </c>
      <c r="OA168" s="2">
        <f t="shared" si="763"/>
        <v>53905</v>
      </c>
      <c r="OB168" s="2">
        <f t="shared" si="763"/>
        <v>53936</v>
      </c>
      <c r="OC168" s="2">
        <f t="shared" si="763"/>
        <v>53966</v>
      </c>
      <c r="OD168" s="2">
        <f t="shared" si="763"/>
        <v>53997</v>
      </c>
      <c r="OE168" s="2">
        <f t="shared" si="763"/>
        <v>54027</v>
      </c>
      <c r="OF168" s="2">
        <f t="shared" si="763"/>
        <v>54058</v>
      </c>
      <c r="OG168" s="2">
        <f t="shared" si="763"/>
        <v>54089</v>
      </c>
      <c r="OH168" s="2">
        <f t="shared" si="763"/>
        <v>54118</v>
      </c>
      <c r="OI168" s="2">
        <f t="shared" si="763"/>
        <v>54149</v>
      </c>
      <c r="OJ168" s="2">
        <f t="shared" si="763"/>
        <v>54179</v>
      </c>
      <c r="OK168" s="2">
        <f t="shared" si="763"/>
        <v>54210</v>
      </c>
      <c r="OL168" s="2">
        <f t="shared" si="763"/>
        <v>54240</v>
      </c>
      <c r="OM168" s="2">
        <f t="shared" si="763"/>
        <v>54271</v>
      </c>
      <c r="ON168" s="2">
        <f t="shared" si="763"/>
        <v>54302</v>
      </c>
      <c r="OO168" s="2">
        <f t="shared" si="763"/>
        <v>54332</v>
      </c>
      <c r="OP168" s="2">
        <f t="shared" si="763"/>
        <v>54363</v>
      </c>
      <c r="OQ168" s="2">
        <f t="shared" si="763"/>
        <v>54393</v>
      </c>
      <c r="OR168" s="2">
        <f t="shared" si="763"/>
        <v>54424</v>
      </c>
      <c r="OS168" s="2">
        <f t="shared" si="763"/>
        <v>54455</v>
      </c>
      <c r="OT168" s="2">
        <f t="shared" si="763"/>
        <v>54483</v>
      </c>
      <c r="OU168" s="2">
        <f t="shared" si="763"/>
        <v>54514</v>
      </c>
      <c r="OV168" s="2">
        <f t="shared" si="763"/>
        <v>54544</v>
      </c>
      <c r="OW168" s="2">
        <f t="shared" si="763"/>
        <v>54575</v>
      </c>
      <c r="OX168" s="2">
        <f t="shared" si="763"/>
        <v>54605</v>
      </c>
      <c r="OY168" s="2">
        <f t="shared" si="763"/>
        <v>54636</v>
      </c>
      <c r="OZ168" s="2">
        <f t="shared" si="763"/>
        <v>54667</v>
      </c>
      <c r="PA168" s="2">
        <f t="shared" si="763"/>
        <v>54697</v>
      </c>
      <c r="PB168" s="2">
        <f t="shared" si="763"/>
        <v>54728</v>
      </c>
      <c r="PC168" s="2">
        <f t="shared" si="763"/>
        <v>54758</v>
      </c>
      <c r="PD168" s="2">
        <f t="shared" si="763"/>
        <v>54789</v>
      </c>
      <c r="PE168" s="2">
        <f t="shared" si="763"/>
        <v>54820</v>
      </c>
      <c r="PF168" s="2">
        <f t="shared" si="763"/>
        <v>54848</v>
      </c>
      <c r="PG168" s="2">
        <f t="shared" si="763"/>
        <v>54879</v>
      </c>
      <c r="PH168" s="2">
        <f t="shared" si="763"/>
        <v>54909</v>
      </c>
      <c r="PI168" s="2">
        <f t="shared" si="763"/>
        <v>54940</v>
      </c>
      <c r="PJ168" s="2">
        <f t="shared" si="763"/>
        <v>54970</v>
      </c>
      <c r="PK168" s="2">
        <f t="shared" si="763"/>
        <v>55001</v>
      </c>
      <c r="PL168" s="2">
        <f t="shared" si="763"/>
        <v>55032</v>
      </c>
      <c r="PM168" s="2">
        <f t="shared" si="763"/>
        <v>55062</v>
      </c>
      <c r="PN168" s="2">
        <f t="shared" si="763"/>
        <v>55093</v>
      </c>
      <c r="PO168" s="2">
        <f t="shared" si="763"/>
        <v>55123</v>
      </c>
      <c r="PP168" s="2">
        <f t="shared" si="763"/>
        <v>55154</v>
      </c>
      <c r="PQ168" s="2">
        <f t="shared" si="763"/>
        <v>55185</v>
      </c>
      <c r="PR168" s="2">
        <f t="shared" si="763"/>
        <v>55213</v>
      </c>
      <c r="PS168" s="2">
        <f t="shared" si="763"/>
        <v>55244</v>
      </c>
      <c r="PT168" s="2">
        <f t="shared" si="763"/>
        <v>55274</v>
      </c>
      <c r="PU168" s="2">
        <f t="shared" si="763"/>
        <v>55305</v>
      </c>
      <c r="PV168" s="2">
        <f t="shared" si="763"/>
        <v>55335</v>
      </c>
      <c r="PW168" s="2">
        <f t="shared" si="763"/>
        <v>55366</v>
      </c>
      <c r="PX168" s="2">
        <f t="shared" si="763"/>
        <v>55397</v>
      </c>
      <c r="PY168" s="2">
        <f t="shared" si="763"/>
        <v>55427</v>
      </c>
      <c r="PZ168" s="2">
        <f t="shared" si="763"/>
        <v>55458</v>
      </c>
      <c r="QA168" s="2">
        <f t="shared" si="763"/>
        <v>55488</v>
      </c>
      <c r="QB168" s="2">
        <f t="shared" si="763"/>
        <v>55519</v>
      </c>
      <c r="QC168" s="2">
        <f t="shared" si="763"/>
        <v>55550</v>
      </c>
      <c r="QD168" s="2">
        <f t="shared" si="763"/>
        <v>55579</v>
      </c>
      <c r="QE168" s="2">
        <f t="shared" si="763"/>
        <v>55610</v>
      </c>
      <c r="QF168" s="2">
        <f t="shared" si="763"/>
        <v>55640</v>
      </c>
      <c r="QG168" s="2">
        <f t="shared" si="763"/>
        <v>55671</v>
      </c>
      <c r="QH168" s="2">
        <f t="shared" si="763"/>
        <v>55701</v>
      </c>
      <c r="QI168" s="2">
        <f t="shared" si="763"/>
        <v>55732</v>
      </c>
      <c r="QJ168" s="2">
        <f t="shared" si="763"/>
        <v>55763</v>
      </c>
      <c r="QK168" s="2">
        <f t="shared" si="763"/>
        <v>55793</v>
      </c>
      <c r="QL168" s="2">
        <f t="shared" ref="QL168:RR168" si="764">QL137</f>
        <v>55824</v>
      </c>
      <c r="QM168" s="2">
        <f t="shared" si="764"/>
        <v>55854</v>
      </c>
      <c r="QN168" s="2">
        <f t="shared" si="764"/>
        <v>55885</v>
      </c>
      <c r="QO168" s="2">
        <f t="shared" si="764"/>
        <v>55916</v>
      </c>
      <c r="QP168" s="2">
        <f t="shared" si="764"/>
        <v>55944</v>
      </c>
      <c r="QQ168" s="2">
        <f t="shared" si="764"/>
        <v>55975</v>
      </c>
      <c r="QR168" s="2">
        <f t="shared" si="764"/>
        <v>56005</v>
      </c>
      <c r="QS168" s="2">
        <f t="shared" si="764"/>
        <v>56036</v>
      </c>
      <c r="QT168" s="2">
        <f t="shared" si="764"/>
        <v>56066</v>
      </c>
      <c r="QU168" s="2">
        <f t="shared" si="764"/>
        <v>56097</v>
      </c>
      <c r="QV168" s="2">
        <f t="shared" si="764"/>
        <v>56128</v>
      </c>
      <c r="QW168" s="2">
        <f t="shared" si="764"/>
        <v>56158</v>
      </c>
      <c r="QX168" s="2">
        <f t="shared" si="764"/>
        <v>56189</v>
      </c>
      <c r="QY168" s="2">
        <f t="shared" si="764"/>
        <v>56219</v>
      </c>
      <c r="QZ168" s="2">
        <f t="shared" si="764"/>
        <v>56250</v>
      </c>
      <c r="RA168" s="2">
        <f t="shared" si="764"/>
        <v>56281</v>
      </c>
      <c r="RB168" s="2">
        <f t="shared" si="764"/>
        <v>56309</v>
      </c>
      <c r="RC168" s="2">
        <f t="shared" si="764"/>
        <v>56340</v>
      </c>
      <c r="RD168" s="2">
        <f t="shared" si="764"/>
        <v>56370</v>
      </c>
      <c r="RE168" s="2">
        <f t="shared" si="764"/>
        <v>56401</v>
      </c>
      <c r="RF168" s="2">
        <f t="shared" si="764"/>
        <v>56431</v>
      </c>
      <c r="RG168" s="2">
        <f t="shared" si="764"/>
        <v>56462</v>
      </c>
      <c r="RH168" s="2">
        <f t="shared" si="764"/>
        <v>56493</v>
      </c>
      <c r="RI168" s="2">
        <f t="shared" si="764"/>
        <v>56523</v>
      </c>
      <c r="RJ168" s="2">
        <f t="shared" si="764"/>
        <v>56554</v>
      </c>
      <c r="RK168" s="2">
        <f t="shared" si="764"/>
        <v>56584</v>
      </c>
      <c r="RL168" s="2">
        <f t="shared" si="764"/>
        <v>56615</v>
      </c>
      <c r="RM168" s="2">
        <f t="shared" si="764"/>
        <v>56646</v>
      </c>
      <c r="RN168" s="2">
        <f t="shared" si="764"/>
        <v>56674</v>
      </c>
      <c r="RO168" s="2">
        <f t="shared" si="764"/>
        <v>56705</v>
      </c>
      <c r="RP168" s="2">
        <f t="shared" si="764"/>
        <v>56735</v>
      </c>
      <c r="RQ168" s="2">
        <f t="shared" si="764"/>
        <v>56766</v>
      </c>
      <c r="RR168" s="2">
        <f t="shared" si="764"/>
        <v>56796</v>
      </c>
      <c r="RS168" s="2"/>
      <c r="RT168" s="2"/>
      <c r="RU168" s="2"/>
      <c r="RV168" s="2"/>
      <c r="RW168" s="2"/>
    </row>
    <row r="169" spans="1:491" ht="28.8">
      <c r="D169" s="31" t="s">
        <v>309</v>
      </c>
      <c r="E169" s="1">
        <f>C45/I45</f>
        <v>12.698282910874898</v>
      </c>
      <c r="F169" s="1">
        <f ca="1">E169*(1+F83)</f>
        <v>12.739425363568424</v>
      </c>
      <c r="G169" s="1">
        <f t="shared" ref="G169:BR169" ca="1" si="765">F169*(1+G83)</f>
        <v>12.780701117860717</v>
      </c>
      <c r="H169" s="1">
        <f t="shared" ca="1" si="765"/>
        <v>12.822110605649129</v>
      </c>
      <c r="I169" s="1">
        <f t="shared" ca="1" si="765"/>
        <v>12.863654260230355</v>
      </c>
      <c r="J169" s="1">
        <f t="shared" ca="1" si="765"/>
        <v>12.905332516304973</v>
      </c>
      <c r="K169" s="1">
        <f t="shared" ca="1" si="765"/>
        <v>12.947145809981993</v>
      </c>
      <c r="L169" s="1">
        <f t="shared" ca="1" si="765"/>
        <v>12.989094578783417</v>
      </c>
      <c r="M169" s="1">
        <f t="shared" ca="1" si="765"/>
        <v>13.03117926164882</v>
      </c>
      <c r="N169" s="1">
        <f t="shared" ca="1" si="765"/>
        <v>13.073400298939939</v>
      </c>
      <c r="O169" s="1">
        <f t="shared" ca="1" si="765"/>
        <v>13.115758132445288</v>
      </c>
      <c r="P169" s="1">
        <f t="shared" ca="1" si="765"/>
        <v>13.158253205384772</v>
      </c>
      <c r="Q169" s="1">
        <f t="shared" ca="1" si="765"/>
        <v>13.200885962414334</v>
      </c>
      <c r="R169" s="1">
        <f t="shared" ca="1" si="765"/>
        <v>13.243656849630598</v>
      </c>
      <c r="S169" s="1">
        <f t="shared" ca="1" si="765"/>
        <v>13.286566314575545</v>
      </c>
      <c r="T169" s="1">
        <f t="shared" ca="1" si="765"/>
        <v>13.329614806241191</v>
      </c>
      <c r="U169" s="1">
        <f t="shared" ca="1" si="765"/>
        <v>13.372802775074286</v>
      </c>
      <c r="V169" s="1">
        <f t="shared" ca="1" si="765"/>
        <v>13.41613067298103</v>
      </c>
      <c r="W169" s="1">
        <f t="shared" ca="1" si="765"/>
        <v>13.459598953331797</v>
      </c>
      <c r="X169" s="1">
        <f t="shared" ca="1" si="765"/>
        <v>13.503208070965885</v>
      </c>
      <c r="Y169" s="1">
        <f t="shared" ca="1" si="765"/>
        <v>13.546958482196269</v>
      </c>
      <c r="Z169" s="1">
        <f t="shared" ca="1" si="765"/>
        <v>13.590850644814381</v>
      </c>
      <c r="AA169" s="1">
        <f t="shared" ca="1" si="765"/>
        <v>13.634885018094895</v>
      </c>
      <c r="AB169" s="1">
        <f t="shared" ca="1" si="765"/>
        <v>13.679062062800538</v>
      </c>
      <c r="AC169" s="1">
        <f t="shared" ca="1" si="765"/>
        <v>13.723382241186908</v>
      </c>
      <c r="AD169" s="1">
        <f t="shared" ca="1" si="765"/>
        <v>13.76784601700731</v>
      </c>
      <c r="AE169" s="1">
        <f t="shared" ca="1" si="765"/>
        <v>13.812453855517614</v>
      </c>
      <c r="AF169" s="1">
        <f t="shared" ca="1" si="765"/>
        <v>13.857206223481116</v>
      </c>
      <c r="AG169" s="1">
        <f t="shared" ca="1" si="765"/>
        <v>13.902103589173429</v>
      </c>
      <c r="AH169" s="1">
        <f t="shared" ca="1" si="765"/>
        <v>13.947146422387375</v>
      </c>
      <c r="AI169" s="1">
        <f t="shared" ca="1" si="765"/>
        <v>13.99233519443791</v>
      </c>
      <c r="AJ169" s="1">
        <f t="shared" ca="1" si="765"/>
        <v>14.03767037816705</v>
      </c>
      <c r="AK169" s="1">
        <f t="shared" ca="1" si="765"/>
        <v>14.083152447948818</v>
      </c>
      <c r="AL169" s="1">
        <f t="shared" ca="1" si="765"/>
        <v>14.128781879694209</v>
      </c>
      <c r="AM169" s="1">
        <f t="shared" ca="1" si="765"/>
        <v>14.174559150856172</v>
      </c>
      <c r="AN169" s="1">
        <f t="shared" ca="1" si="765"/>
        <v>14.220484740434605</v>
      </c>
      <c r="AO169" s="1">
        <f t="shared" ca="1" si="765"/>
        <v>14.266559128981365</v>
      </c>
      <c r="AP169" s="1">
        <f t="shared" ca="1" si="765"/>
        <v>14.312782798605296</v>
      </c>
      <c r="AQ169" s="1">
        <f t="shared" ca="1" si="765"/>
        <v>14.359156232977279</v>
      </c>
      <c r="AR169" s="1">
        <f t="shared" ca="1" si="765"/>
        <v>14.405679917335284</v>
      </c>
      <c r="AS169" s="1">
        <f t="shared" ca="1" si="765"/>
        <v>14.452354338489458</v>
      </c>
      <c r="AT169" s="1">
        <f t="shared" ca="1" si="765"/>
        <v>14.499179984827212</v>
      </c>
      <c r="AU169" s="1">
        <f t="shared" ca="1" si="765"/>
        <v>14.54615734631833</v>
      </c>
      <c r="AV169" s="1">
        <f t="shared" ca="1" si="765"/>
        <v>14.593286914520101</v>
      </c>
      <c r="AW169" s="1">
        <f t="shared" ca="1" si="765"/>
        <v>14.640569182582462</v>
      </c>
      <c r="AX169" s="1">
        <f t="shared" ca="1" si="765"/>
        <v>14.688004645253153</v>
      </c>
      <c r="AY169" s="1">
        <f t="shared" ca="1" si="765"/>
        <v>14.735593798882899</v>
      </c>
      <c r="AZ169" s="1">
        <f t="shared" ca="1" si="765"/>
        <v>14.783337141430602</v>
      </c>
      <c r="BA169" s="1">
        <f t="shared" ca="1" si="765"/>
        <v>14.831235172468551</v>
      </c>
      <c r="BB169" s="1">
        <f t="shared" ca="1" si="765"/>
        <v>14.87928839318765</v>
      </c>
      <c r="BC169" s="1">
        <f t="shared" ca="1" si="765"/>
        <v>14.927497306402662</v>
      </c>
      <c r="BD169" s="1">
        <f t="shared" ca="1" si="765"/>
        <v>14.975862416557471</v>
      </c>
      <c r="BE169" s="1">
        <f t="shared" ca="1" si="765"/>
        <v>15.024384229730359</v>
      </c>
      <c r="BF169" s="1">
        <f t="shared" ca="1" si="765"/>
        <v>15.073063253639303</v>
      </c>
      <c r="BG169" s="1">
        <f t="shared" ca="1" si="765"/>
        <v>15.121899997647288</v>
      </c>
      <c r="BH169" s="1">
        <f t="shared" ca="1" si="765"/>
        <v>15.170894972767634</v>
      </c>
      <c r="BI169" s="1">
        <f t="shared" ca="1" si="765"/>
        <v>15.220048691669344</v>
      </c>
      <c r="BJ169" s="1">
        <f t="shared" ca="1" si="765"/>
        <v>15.269361668682471</v>
      </c>
      <c r="BK169" s="1">
        <f t="shared" ca="1" si="765"/>
        <v>15.318834419803498</v>
      </c>
      <c r="BL169" s="1">
        <f t="shared" ca="1" si="765"/>
        <v>15.368467462700735</v>
      </c>
      <c r="BM169" s="1">
        <f t="shared" ca="1" si="765"/>
        <v>15.418261316719741</v>
      </c>
      <c r="BN169" s="1">
        <f t="shared" ca="1" si="765"/>
        <v>15.468216502888755</v>
      </c>
      <c r="BO169" s="1">
        <f t="shared" ca="1" si="765"/>
        <v>15.518333543924145</v>
      </c>
      <c r="BP169" s="1">
        <f t="shared" ca="1" si="765"/>
        <v>15.568612964235884</v>
      </c>
      <c r="BQ169" s="1">
        <f t="shared" ca="1" si="765"/>
        <v>15.619055289933032</v>
      </c>
      <c r="BR169" s="1">
        <f t="shared" ca="1" si="765"/>
        <v>15.669661048829244</v>
      </c>
      <c r="BS169" s="1">
        <f t="shared" ref="BS169:ED169" ca="1" si="766">BR169*(1+BS83)</f>
        <v>15.720430770448292</v>
      </c>
      <c r="BT169" s="1">
        <f t="shared" ca="1" si="766"/>
        <v>15.771364986029605</v>
      </c>
      <c r="BU169" s="1">
        <f t="shared" ca="1" si="766"/>
        <v>15.822464228533828</v>
      </c>
      <c r="BV169" s="1">
        <f t="shared" ca="1" si="766"/>
        <v>15.873729032648402</v>
      </c>
      <c r="BW169" s="1">
        <f t="shared" ca="1" si="766"/>
        <v>15.925159934793154</v>
      </c>
      <c r="BX169" s="1">
        <f t="shared" ca="1" si="766"/>
        <v>15.976757473125909</v>
      </c>
      <c r="BY169" s="1">
        <f t="shared" ca="1" si="766"/>
        <v>16.028522187548131</v>
      </c>
      <c r="BZ169" s="1">
        <f t="shared" ca="1" si="766"/>
        <v>16.080454619710558</v>
      </c>
      <c r="CA169" s="1">
        <f t="shared" ca="1" si="766"/>
        <v>16.13255531301888</v>
      </c>
      <c r="CB169" s="1">
        <f t="shared" ca="1" si="766"/>
        <v>16.184824812639427</v>
      </c>
      <c r="CC169" s="1">
        <f t="shared" ca="1" si="766"/>
        <v>16.237263665504859</v>
      </c>
      <c r="CD169" s="1">
        <f t="shared" ca="1" si="766"/>
        <v>16.289872420319906</v>
      </c>
      <c r="CE169" s="1">
        <f t="shared" ca="1" si="766"/>
        <v>16.342651627567101</v>
      </c>
      <c r="CF169" s="1">
        <f t="shared" ca="1" si="766"/>
        <v>16.395601839512537</v>
      </c>
      <c r="CG169" s="1">
        <f t="shared" ca="1" si="766"/>
        <v>16.448723610211655</v>
      </c>
      <c r="CH169" s="1">
        <f t="shared" ca="1" si="766"/>
        <v>16.50201749551503</v>
      </c>
      <c r="CI169" s="1">
        <f t="shared" ca="1" si="766"/>
        <v>16.555484053074203</v>
      </c>
      <c r="CJ169" s="1">
        <f t="shared" ca="1" si="766"/>
        <v>16.609123842347497</v>
      </c>
      <c r="CK169" s="1">
        <f t="shared" ca="1" si="766"/>
        <v>16.662937424605886</v>
      </c>
      <c r="CL169" s="1">
        <f t="shared" ca="1" si="766"/>
        <v>16.716925362938863</v>
      </c>
      <c r="CM169" s="1">
        <f t="shared" ca="1" si="766"/>
        <v>16.771088222260328</v>
      </c>
      <c r="CN169" s="1">
        <f t="shared" ca="1" si="766"/>
        <v>16.825426569314509</v>
      </c>
      <c r="CO169" s="1">
        <f t="shared" ca="1" si="766"/>
        <v>16.879940972681879</v>
      </c>
      <c r="CP169" s="1">
        <f t="shared" ca="1" si="766"/>
        <v>16.934632002785115</v>
      </c>
      <c r="CQ169" s="1">
        <f t="shared" ca="1" si="766"/>
        <v>16.989500231895065</v>
      </c>
      <c r="CR169" s="1">
        <f t="shared" ca="1" si="766"/>
        <v>17.044546234136735</v>
      </c>
      <c r="CS169" s="1">
        <f t="shared" ca="1" si="766"/>
        <v>17.099770585495296</v>
      </c>
      <c r="CT169" s="1">
        <f t="shared" ca="1" si="766"/>
        <v>17.155173863822114</v>
      </c>
      <c r="CU169" s="1">
        <f t="shared" ca="1" si="766"/>
        <v>17.210756648840793</v>
      </c>
      <c r="CV169" s="1">
        <f t="shared" ca="1" si="766"/>
        <v>17.266519522153239</v>
      </c>
      <c r="CW169" s="1">
        <f t="shared" ca="1" si="766"/>
        <v>17.322463067245753</v>
      </c>
      <c r="CX169" s="1">
        <f t="shared" ca="1" si="766"/>
        <v>17.378587869495131</v>
      </c>
      <c r="CY169" s="1">
        <f t="shared" ca="1" si="766"/>
        <v>17.43489451617479</v>
      </c>
      <c r="CZ169" s="1">
        <f t="shared" ca="1" si="766"/>
        <v>17.491383596460913</v>
      </c>
      <c r="DA169" s="1">
        <f t="shared" ca="1" si="766"/>
        <v>17.548055701438617</v>
      </c>
      <c r="DB169" s="1">
        <f t="shared" ca="1" si="766"/>
        <v>17.604911424108135</v>
      </c>
      <c r="DC169" s="1">
        <f t="shared" ca="1" si="766"/>
        <v>17.661951359391018</v>
      </c>
      <c r="DD169" s="1">
        <f t="shared" ca="1" si="766"/>
        <v>17.71917610413637</v>
      </c>
      <c r="DE169" s="1">
        <f t="shared" ca="1" si="766"/>
        <v>17.776586257127082</v>
      </c>
      <c r="DF169" s="1">
        <f t="shared" ca="1" si="766"/>
        <v>17.834182419086105</v>
      </c>
      <c r="DG169" s="1">
        <f t="shared" ca="1" si="766"/>
        <v>17.891965192682726</v>
      </c>
      <c r="DH169" s="1">
        <f t="shared" ca="1" si="766"/>
        <v>17.949935182538891</v>
      </c>
      <c r="DI169" s="1">
        <f t="shared" ca="1" si="766"/>
        <v>18.008092995235518</v>
      </c>
      <c r="DJ169" s="1">
        <f t="shared" ca="1" si="766"/>
        <v>18.066439239318846</v>
      </c>
      <c r="DK169" s="1">
        <f t="shared" ca="1" si="766"/>
        <v>18.124974525306808</v>
      </c>
      <c r="DL169" s="1">
        <f t="shared" ca="1" si="766"/>
        <v>18.183699465695415</v>
      </c>
      <c r="DM169" s="1">
        <f t="shared" ca="1" si="766"/>
        <v>18.242614674965164</v>
      </c>
      <c r="DN169" s="1">
        <f t="shared" ca="1" si="766"/>
        <v>18.301720769587469</v>
      </c>
      <c r="DO169" s="1">
        <f t="shared" ca="1" si="766"/>
        <v>18.361018368031115</v>
      </c>
      <c r="DP169" s="1">
        <f t="shared" ca="1" si="766"/>
        <v>18.420508090768724</v>
      </c>
      <c r="DQ169" s="1">
        <f t="shared" ca="1" si="766"/>
        <v>18.480190560283251</v>
      </c>
      <c r="DR169" s="1">
        <f t="shared" ca="1" si="766"/>
        <v>18.540066401074501</v>
      </c>
      <c r="DS169" s="1">
        <f t="shared" ca="1" si="766"/>
        <v>18.600136239665652</v>
      </c>
      <c r="DT169" s="1">
        <f t="shared" ca="1" si="766"/>
        <v>18.66040070460982</v>
      </c>
      <c r="DU169" s="1">
        <f t="shared" ca="1" si="766"/>
        <v>18.720860426496639</v>
      </c>
      <c r="DV169" s="1">
        <f t="shared" ca="1" si="766"/>
        <v>18.781516037958848</v>
      </c>
      <c r="DW169" s="1">
        <f t="shared" ca="1" si="766"/>
        <v>18.842368173678917</v>
      </c>
      <c r="DX169" s="1">
        <f t="shared" ca="1" si="766"/>
        <v>18.903417470395691</v>
      </c>
      <c r="DY169" s="1">
        <f t="shared" ca="1" si="766"/>
        <v>18.964664566911051</v>
      </c>
      <c r="DZ169" s="1">
        <f t="shared" ca="1" si="766"/>
        <v>19.026110104096592</v>
      </c>
      <c r="EA169" s="1">
        <f t="shared" ca="1" si="766"/>
        <v>19.087754724900339</v>
      </c>
      <c r="EB169" s="1">
        <f t="shared" ca="1" si="766"/>
        <v>19.149599074353468</v>
      </c>
      <c r="EC169" s="1">
        <f t="shared" ca="1" si="766"/>
        <v>19.21164379957705</v>
      </c>
      <c r="ED169" s="1">
        <f t="shared" ca="1" si="766"/>
        <v>19.273889549788841</v>
      </c>
      <c r="EE169" s="1">
        <f t="shared" ref="EE169:GP169" ca="1" si="767">ED169*(1+EE83)</f>
        <v>19.336336976310051</v>
      </c>
      <c r="EF169" s="1">
        <f t="shared" ca="1" si="767"/>
        <v>19.398986732572183</v>
      </c>
      <c r="EG169" s="1">
        <f t="shared" ca="1" si="767"/>
        <v>19.461839474123849</v>
      </c>
      <c r="EH169" s="1">
        <f t="shared" ca="1" si="767"/>
        <v>19.524895858637649</v>
      </c>
      <c r="EI169" s="1">
        <f t="shared" ca="1" si="767"/>
        <v>19.588156545917034</v>
      </c>
      <c r="EJ169" s="1">
        <f t="shared" ca="1" si="767"/>
        <v>19.651622197903222</v>
      </c>
      <c r="EK169" s="1">
        <f t="shared" ca="1" si="767"/>
        <v>19.715293478682124</v>
      </c>
      <c r="EL169" s="1">
        <f t="shared" ca="1" si="767"/>
        <v>19.77917105449129</v>
      </c>
      <c r="EM169" s="1">
        <f t="shared" ca="1" si="767"/>
        <v>19.843255593726877</v>
      </c>
      <c r="EN169" s="1">
        <f t="shared" ca="1" si="767"/>
        <v>19.90754776695065</v>
      </c>
      <c r="EO169" s="1">
        <f t="shared" ca="1" si="767"/>
        <v>19.972048246896993</v>
      </c>
      <c r="EP169" s="1">
        <f t="shared" ca="1" si="767"/>
        <v>20.03675770847995</v>
      </c>
      <c r="EQ169" s="1">
        <f t="shared" ca="1" si="767"/>
        <v>20.101676828800287</v>
      </c>
      <c r="ER169" s="1">
        <f t="shared" ca="1" si="767"/>
        <v>20.166806287152578</v>
      </c>
      <c r="ES169" s="1">
        <f t="shared" ca="1" si="767"/>
        <v>20.232146765032315</v>
      </c>
      <c r="ET169" s="1">
        <f t="shared" ca="1" si="767"/>
        <v>20.297698946143033</v>
      </c>
      <c r="EU169" s="1">
        <f t="shared" ca="1" si="767"/>
        <v>20.363463516403467</v>
      </c>
      <c r="EV169" s="1">
        <f t="shared" ca="1" si="767"/>
        <v>20.429441163954731</v>
      </c>
      <c r="EW169" s="1">
        <f t="shared" ca="1" si="767"/>
        <v>20.49563257916752</v>
      </c>
      <c r="EX169" s="1">
        <f t="shared" ca="1" si="767"/>
        <v>20.562038454649322</v>
      </c>
      <c r="EY169" s="1">
        <f t="shared" ca="1" si="767"/>
        <v>20.628659485251685</v>
      </c>
      <c r="EZ169" s="1">
        <f t="shared" ca="1" si="767"/>
        <v>20.695496368077471</v>
      </c>
      <c r="FA169" s="1">
        <f t="shared" ca="1" si="767"/>
        <v>20.762549802488156</v>
      </c>
      <c r="FB169" s="1">
        <f t="shared" ca="1" si="767"/>
        <v>20.829820490111146</v>
      </c>
      <c r="FC169" s="1">
        <f t="shared" ca="1" si="767"/>
        <v>20.897309134847127</v>
      </c>
      <c r="FD169" s="1">
        <f t="shared" ca="1" si="767"/>
        <v>20.96501644287742</v>
      </c>
      <c r="FE169" s="1">
        <f t="shared" ca="1" si="767"/>
        <v>21.032943122671377</v>
      </c>
      <c r="FF169" s="1">
        <f t="shared" ca="1" si="767"/>
        <v>21.101089884993787</v>
      </c>
      <c r="FG169" s="1">
        <f t="shared" ca="1" si="767"/>
        <v>21.169457442912321</v>
      </c>
      <c r="FH169" s="1">
        <f t="shared" ca="1" si="767"/>
        <v>21.238046511804992</v>
      </c>
      <c r="FI169" s="1">
        <f t="shared" ca="1" si="767"/>
        <v>21.306857809367635</v>
      </c>
      <c r="FJ169" s="1">
        <f t="shared" ca="1" si="767"/>
        <v>21.375892055621421</v>
      </c>
      <c r="FK169" s="1">
        <f t="shared" ca="1" si="767"/>
        <v>21.44514997292039</v>
      </c>
      <c r="FL169" s="1">
        <f t="shared" ca="1" si="767"/>
        <v>21.514632285959014</v>
      </c>
      <c r="FM169" s="1">
        <f t="shared" ca="1" si="767"/>
        <v>21.584339721779774</v>
      </c>
      <c r="FN169" s="1">
        <f t="shared" ca="1" si="767"/>
        <v>21.654273009780766</v>
      </c>
      <c r="FO169" s="1">
        <f t="shared" ca="1" si="767"/>
        <v>21.724432881723342</v>
      </c>
      <c r="FP169" s="1">
        <f t="shared" ca="1" si="767"/>
        <v>21.794820071739757</v>
      </c>
      <c r="FQ169" s="1">
        <f t="shared" ca="1" si="767"/>
        <v>21.865435316340861</v>
      </c>
      <c r="FR169" s="1">
        <f t="shared" ca="1" si="767"/>
        <v>21.936279354423796</v>
      </c>
      <c r="FS169" s="1">
        <f t="shared" ca="1" si="767"/>
        <v>22.007352927279729</v>
      </c>
      <c r="FT169" s="1">
        <f t="shared" ca="1" si="767"/>
        <v>22.078656778601619</v>
      </c>
      <c r="FU169" s="1">
        <f t="shared" ca="1" si="767"/>
        <v>22.150191654491987</v>
      </c>
      <c r="FV169" s="1">
        <f t="shared" ca="1" si="767"/>
        <v>22.221958303470725</v>
      </c>
      <c r="FW169" s="1">
        <f t="shared" ca="1" si="767"/>
        <v>22.29395747648293</v>
      </c>
      <c r="FX169" s="1">
        <f t="shared" ca="1" si="767"/>
        <v>22.36618992690677</v>
      </c>
      <c r="FY169" s="1">
        <f t="shared" ca="1" si="767"/>
        <v>22.43865641056135</v>
      </c>
      <c r="FZ169" s="1">
        <f t="shared" ca="1" si="767"/>
        <v>22.511357685714636</v>
      </c>
      <c r="GA169" s="1">
        <f t="shared" ca="1" si="767"/>
        <v>22.584294513091379</v>
      </c>
      <c r="GB169" s="1">
        <f t="shared" ca="1" si="767"/>
        <v>22.657467655881081</v>
      </c>
      <c r="GC169" s="1">
        <f t="shared" ca="1" si="767"/>
        <v>22.730877879745982</v>
      </c>
      <c r="GD169" s="1">
        <f t="shared" ca="1" si="767"/>
        <v>22.804525952829064</v>
      </c>
      <c r="GE169" s="1">
        <f t="shared" ca="1" si="767"/>
        <v>22.878412645762094</v>
      </c>
      <c r="GF169" s="1">
        <f t="shared" ca="1" si="767"/>
        <v>22.952538731673684</v>
      </c>
      <c r="GG169" s="1">
        <f t="shared" ca="1" si="767"/>
        <v>23.026904986197394</v>
      </c>
      <c r="GH169" s="1">
        <f t="shared" ca="1" si="767"/>
        <v>23.101512187479827</v>
      </c>
      <c r="GI169" s="1">
        <f t="shared" ca="1" si="767"/>
        <v>23.176361116188787</v>
      </c>
      <c r="GJ169" s="1">
        <f t="shared" ca="1" si="767"/>
        <v>23.251452555521443</v>
      </c>
      <c r="GK169" s="1">
        <f t="shared" ca="1" si="767"/>
        <v>23.326787291212518</v>
      </c>
      <c r="GL169" s="1">
        <f t="shared" ca="1" si="767"/>
        <v>23.402366111542527</v>
      </c>
      <c r="GM169" s="1">
        <f t="shared" ca="1" si="767"/>
        <v>23.478189807346006</v>
      </c>
      <c r="GN169" s="1">
        <f t="shared" ca="1" si="767"/>
        <v>23.554259172019798</v>
      </c>
      <c r="GO169" s="1">
        <f t="shared" ca="1" si="767"/>
        <v>23.630575001531355</v>
      </c>
      <c r="GP169" s="1">
        <f t="shared" ca="1" si="767"/>
        <v>23.707138094427062</v>
      </c>
      <c r="GQ169" s="1">
        <f t="shared" ref="GQ169:JB169" ca="1" si="768">GP169*(1+GQ83)</f>
        <v>23.7839492518406</v>
      </c>
      <c r="GR169" s="1">
        <f t="shared" ca="1" si="768"/>
        <v>23.861009277501317</v>
      </c>
      <c r="GS169" s="1">
        <f t="shared" ca="1" si="768"/>
        <v>23.93831897774265</v>
      </c>
      <c r="GT169" s="1">
        <f t="shared" ca="1" si="768"/>
        <v>24.015879161510554</v>
      </c>
      <c r="GU169" s="1">
        <f t="shared" ca="1" si="768"/>
        <v>24.093690640371975</v>
      </c>
      <c r="GV169" s="1">
        <f t="shared" ca="1" si="768"/>
        <v>24.17175422852333</v>
      </c>
      <c r="GW169" s="1">
        <f t="shared" ca="1" si="768"/>
        <v>24.250070742799039</v>
      </c>
      <c r="GX169" s="1">
        <f t="shared" ca="1" si="768"/>
        <v>24.328641002680065</v>
      </c>
      <c r="GY169" s="1">
        <f t="shared" ca="1" si="768"/>
        <v>24.407465830302492</v>
      </c>
      <c r="GZ169" s="1">
        <f t="shared" ca="1" si="768"/>
        <v>24.486546050466121</v>
      </c>
      <c r="HA169" s="1">
        <f t="shared" ca="1" si="768"/>
        <v>24.565882490643112</v>
      </c>
      <c r="HB169" s="1">
        <f t="shared" ca="1" si="768"/>
        <v>24.645475980986632</v>
      </c>
      <c r="HC169" s="1">
        <f t="shared" ca="1" si="768"/>
        <v>24.725327354339541</v>
      </c>
      <c r="HD169" s="1">
        <f t="shared" ca="1" si="768"/>
        <v>24.805437446243118</v>
      </c>
      <c r="HE169" s="1">
        <f t="shared" ca="1" si="768"/>
        <v>24.885807094945797</v>
      </c>
      <c r="HF169" s="1">
        <f t="shared" ca="1" si="768"/>
        <v>24.966437141411934</v>
      </c>
      <c r="HG169" s="1">
        <f t="shared" ca="1" si="768"/>
        <v>25.047328429330612</v>
      </c>
      <c r="HH169" s="1">
        <f t="shared" ca="1" si="768"/>
        <v>25.128481805124469</v>
      </c>
      <c r="HI169" s="1">
        <f t="shared" ca="1" si="768"/>
        <v>25.209898117958549</v>
      </c>
      <c r="HJ169" s="1">
        <f t="shared" ca="1" si="768"/>
        <v>25.291578219749194</v>
      </c>
      <c r="HK169" s="1">
        <f t="shared" ca="1" si="768"/>
        <v>25.373522965172963</v>
      </c>
      <c r="HL169" s="1">
        <f t="shared" ca="1" si="768"/>
        <v>25.455733211675557</v>
      </c>
      <c r="HM169" s="1">
        <f t="shared" ca="1" si="768"/>
        <v>25.538209819480809</v>
      </c>
      <c r="HN169" s="1">
        <f t="shared" ca="1" si="768"/>
        <v>25.620953651599674</v>
      </c>
      <c r="HO169" s="1">
        <f t="shared" ca="1" si="768"/>
        <v>25.70396557383927</v>
      </c>
      <c r="HP169" s="1">
        <f t="shared" ca="1" si="768"/>
        <v>25.787246454811925</v>
      </c>
      <c r="HQ169" s="1">
        <f t="shared" ca="1" si="768"/>
        <v>25.870797165944275</v>
      </c>
      <c r="HR169" s="1">
        <f t="shared" ca="1" si="768"/>
        <v>25.954618581486379</v>
      </c>
      <c r="HS169" s="1">
        <f t="shared" ca="1" si="768"/>
        <v>26.038711578520868</v>
      </c>
      <c r="HT169" s="1">
        <f t="shared" ca="1" si="768"/>
        <v>26.12307703697212</v>
      </c>
      <c r="HU169" s="1">
        <f t="shared" ca="1" si="768"/>
        <v>26.207715839615467</v>
      </c>
      <c r="HV169" s="1">
        <f t="shared" ca="1" si="768"/>
        <v>26.292628872086439</v>
      </c>
      <c r="HW169" s="1">
        <f t="shared" ca="1" si="768"/>
        <v>26.377817022890028</v>
      </c>
      <c r="HX169" s="1">
        <f t="shared" ca="1" si="768"/>
        <v>26.463281183409975</v>
      </c>
      <c r="HY169" s="1">
        <f t="shared" ca="1" si="768"/>
        <v>26.549022247918113</v>
      </c>
      <c r="HZ169" s="1">
        <f t="shared" ca="1" si="768"/>
        <v>26.635041113583711</v>
      </c>
      <c r="IA169" s="1">
        <f t="shared" ca="1" si="768"/>
        <v>26.721338680482873</v>
      </c>
      <c r="IB169" s="1">
        <f t="shared" ca="1" si="768"/>
        <v>26.807915851607948</v>
      </c>
      <c r="IC169" s="1">
        <f t="shared" ca="1" si="768"/>
        <v>26.894773532876982</v>
      </c>
      <c r="ID169" s="1">
        <f t="shared" ca="1" si="768"/>
        <v>26.981912633143196</v>
      </c>
      <c r="IE169" s="1">
        <f t="shared" ca="1" si="768"/>
        <v>27.069334064204494</v>
      </c>
      <c r="IF169" s="1">
        <f t="shared" ca="1" si="768"/>
        <v>27.157038740813011</v>
      </c>
      <c r="IG169" s="1">
        <f t="shared" ca="1" si="768"/>
        <v>27.245027580684681</v>
      </c>
      <c r="IH169" s="1">
        <f t="shared" ca="1" si="768"/>
        <v>27.333301504508835</v>
      </c>
      <c r="II169" s="1">
        <f t="shared" ca="1" si="768"/>
        <v>27.421861435957837</v>
      </c>
      <c r="IJ169" s="1">
        <f t="shared" ca="1" si="768"/>
        <v>27.510708301696756</v>
      </c>
      <c r="IK169" s="1">
        <f t="shared" ca="1" si="768"/>
        <v>27.599843031393053</v>
      </c>
      <c r="IL169" s="1">
        <f t="shared" ca="1" si="768"/>
        <v>27.689266557726313</v>
      </c>
      <c r="IM169" s="1">
        <f t="shared" ca="1" si="768"/>
        <v>27.778979816398007</v>
      </c>
      <c r="IN169" s="1">
        <f t="shared" ca="1" si="768"/>
        <v>27.868983746141275</v>
      </c>
      <c r="IO169" s="1">
        <f t="shared" ca="1" si="768"/>
        <v>27.959279288730759</v>
      </c>
      <c r="IP169" s="1">
        <f t="shared" ca="1" si="768"/>
        <v>28.04986738899245</v>
      </c>
      <c r="IQ169" s="1">
        <f t="shared" ca="1" si="768"/>
        <v>28.140748994813578</v>
      </c>
      <c r="IR169" s="1">
        <f t="shared" ca="1" si="768"/>
        <v>28.231925057152523</v>
      </c>
      <c r="IS169" s="1">
        <f t="shared" ca="1" si="768"/>
        <v>28.323396530048775</v>
      </c>
      <c r="IT169" s="1">
        <f t="shared" ca="1" si="768"/>
        <v>28.415164370632915</v>
      </c>
      <c r="IU169" s="1">
        <f t="shared" ca="1" si="768"/>
        <v>28.507229539136627</v>
      </c>
      <c r="IV169" s="1">
        <f t="shared" ca="1" si="768"/>
        <v>28.599592998902747</v>
      </c>
      <c r="IW169" s="1">
        <f t="shared" ca="1" si="768"/>
        <v>28.692255716395341</v>
      </c>
      <c r="IX169" s="1">
        <f t="shared" ca="1" si="768"/>
        <v>28.785218661209822</v>
      </c>
      <c r="IY169" s="1">
        <f t="shared" ca="1" si="768"/>
        <v>28.878482806083092</v>
      </c>
      <c r="IZ169" s="1">
        <f t="shared" ca="1" si="768"/>
        <v>28.972049126903723</v>
      </c>
      <c r="JA169" s="1">
        <f t="shared" ca="1" si="768"/>
        <v>29.065918602722167</v>
      </c>
      <c r="JB169" s="1">
        <f t="shared" ca="1" si="768"/>
        <v>29.160092215761001</v>
      </c>
      <c r="JC169" s="1">
        <f t="shared" ref="JC169:LN169" ca="1" si="769">JB169*(1+JC83)</f>
        <v>29.254570951425201</v>
      </c>
      <c r="JD169" s="1">
        <f t="shared" ca="1" si="769"/>
        <v>29.349355798312462</v>
      </c>
      <c r="JE169" s="1">
        <f t="shared" ca="1" si="769"/>
        <v>29.444447748223531</v>
      </c>
      <c r="JF169" s="1">
        <f t="shared" ca="1" si="769"/>
        <v>29.539847796172598</v>
      </c>
      <c r="JG169" s="1">
        <f t="shared" ca="1" si="769"/>
        <v>29.635556940397692</v>
      </c>
      <c r="JH169" s="1">
        <f t="shared" ca="1" si="769"/>
        <v>29.731576182371139</v>
      </c>
      <c r="JI169" s="1">
        <f t="shared" ca="1" si="769"/>
        <v>29.827906526810036</v>
      </c>
      <c r="JJ169" s="1">
        <f t="shared" ca="1" si="769"/>
        <v>29.924548981686765</v>
      </c>
      <c r="JK169" s="1">
        <f t="shared" ca="1" si="769"/>
        <v>30.021504558239542</v>
      </c>
      <c r="JL169" s="1">
        <f t="shared" ca="1" si="769"/>
        <v>30.118774270982989</v>
      </c>
      <c r="JM169" s="1">
        <f t="shared" ca="1" si="769"/>
        <v>30.216359137718761</v>
      </c>
      <c r="JN169" s="1">
        <f t="shared" ca="1" si="769"/>
        <v>30.314260179546196</v>
      </c>
      <c r="JO169" s="1">
        <f t="shared" ca="1" si="769"/>
        <v>30.412478420872986</v>
      </c>
      <c r="JP169" s="1">
        <f t="shared" ca="1" si="769"/>
        <v>30.511014889425915</v>
      </c>
      <c r="JQ169" s="1">
        <f t="shared" ca="1" si="769"/>
        <v>30.609870616261595</v>
      </c>
      <c r="JR169" s="1">
        <f t="shared" ca="1" si="769"/>
        <v>30.70904663577727</v>
      </c>
      <c r="JS169" s="1">
        <f t="shared" ca="1" si="769"/>
        <v>30.808543985721624</v>
      </c>
      <c r="JT169" s="1">
        <f t="shared" ca="1" si="769"/>
        <v>30.908363707205652</v>
      </c>
      <c r="JU169" s="1">
        <f t="shared" ca="1" si="769"/>
        <v>31.008506844713555</v>
      </c>
      <c r="JV169" s="1">
        <f t="shared" ca="1" si="769"/>
        <v>31.108974446113656</v>
      </c>
      <c r="JW169" s="1">
        <f t="shared" ca="1" si="769"/>
        <v>31.209767562669377</v>
      </c>
      <c r="JX169" s="1">
        <f t="shared" ca="1" si="769"/>
        <v>31.310887249050232</v>
      </c>
      <c r="JY169" s="1">
        <f t="shared" ca="1" si="769"/>
        <v>31.412334563342871</v>
      </c>
      <c r="JZ169" s="1">
        <f t="shared" ca="1" si="769"/>
        <v>31.51411056706214</v>
      </c>
      <c r="KA169" s="1">
        <f t="shared" ca="1" si="769"/>
        <v>31.616216325162195</v>
      </c>
      <c r="KB169" s="1">
        <f t="shared" ca="1" si="769"/>
        <v>31.718652906047652</v>
      </c>
      <c r="KC169" s="1">
        <f t="shared" ca="1" si="769"/>
        <v>31.821421381584752</v>
      </c>
      <c r="KD169" s="1">
        <f t="shared" ca="1" si="769"/>
        <v>31.924522827112586</v>
      </c>
      <c r="KE169" s="1">
        <f t="shared" ca="1" si="769"/>
        <v>32.027958321454342</v>
      </c>
      <c r="KF169" s="1">
        <f t="shared" ca="1" si="769"/>
        <v>32.131728946928604</v>
      </c>
      <c r="KG169" s="1">
        <f t="shared" ca="1" si="769"/>
        <v>32.235835789360664</v>
      </c>
      <c r="KH169" s="1">
        <f t="shared" ca="1" si="769"/>
        <v>32.340279938093893</v>
      </c>
      <c r="KI169" s="1">
        <f t="shared" ca="1" si="769"/>
        <v>32.445062486001127</v>
      </c>
      <c r="KJ169" s="1">
        <f t="shared" ca="1" si="769"/>
        <v>32.550184529496121</v>
      </c>
      <c r="KK169" s="1">
        <f t="shared" ca="1" si="769"/>
        <v>32.655647168545016</v>
      </c>
      <c r="KL169" s="1">
        <f t="shared" ca="1" si="769"/>
        <v>32.76145150667783</v>
      </c>
      <c r="KM169" s="1">
        <f t="shared" ca="1" si="769"/>
        <v>32.867598651000023</v>
      </c>
      <c r="KN169" s="1">
        <f t="shared" ca="1" si="769"/>
        <v>32.974089712204091</v>
      </c>
      <c r="KO169" s="1">
        <f t="shared" ca="1" si="769"/>
        <v>33.080925804581163</v>
      </c>
      <c r="KP169" s="1">
        <f t="shared" ca="1" si="769"/>
        <v>33.188108046032674</v>
      </c>
      <c r="KQ169" s="1">
        <f t="shared" ca="1" si="769"/>
        <v>33.295637558082063</v>
      </c>
      <c r="KR169" s="1">
        <f t="shared" ca="1" si="769"/>
        <v>33.403515465886514</v>
      </c>
      <c r="KS169" s="1">
        <f t="shared" ca="1" si="769"/>
        <v>33.511742898248706</v>
      </c>
      <c r="KT169" s="1">
        <f t="shared" ca="1" si="769"/>
        <v>33.620320987628645</v>
      </c>
      <c r="KU169" s="1">
        <f t="shared" ca="1" si="769"/>
        <v>33.729250870155518</v>
      </c>
      <c r="KV169" s="1">
        <f t="shared" ca="1" si="769"/>
        <v>33.838533685639568</v>
      </c>
      <c r="KW169" s="1">
        <f t="shared" ca="1" si="769"/>
        <v>33.948170577584023</v>
      </c>
      <c r="KX169" s="1">
        <f t="shared" ca="1" si="769"/>
        <v>34.058162693197055</v>
      </c>
      <c r="KY169" s="1">
        <f t="shared" ca="1" si="769"/>
        <v>34.168511183403808</v>
      </c>
      <c r="KZ169" s="1">
        <f t="shared" ca="1" si="769"/>
        <v>34.279217202858412</v>
      </c>
      <c r="LA169" s="1">
        <f t="shared" ca="1" si="769"/>
        <v>34.39028190995608</v>
      </c>
      <c r="LB169" s="1">
        <f t="shared" ca="1" si="769"/>
        <v>34.501706466845235</v>
      </c>
      <c r="LC169" s="1">
        <f t="shared" ca="1" si="769"/>
        <v>34.613492039439656</v>
      </c>
      <c r="LD169" s="1">
        <f t="shared" ca="1" si="769"/>
        <v>34.725639797430681</v>
      </c>
      <c r="LE169" s="1">
        <f t="shared" ca="1" si="769"/>
        <v>34.838150914299455</v>
      </c>
      <c r="LF169" s="1">
        <f t="shared" ca="1" si="769"/>
        <v>34.951026567329201</v>
      </c>
      <c r="LG169" s="1">
        <f t="shared" ca="1" si="769"/>
        <v>35.064267937617544</v>
      </c>
      <c r="LH169" s="1">
        <f t="shared" ca="1" si="769"/>
        <v>35.177876210088861</v>
      </c>
      <c r="LI169" s="1">
        <f t="shared" ca="1" si="769"/>
        <v>35.291852573506688</v>
      </c>
      <c r="LJ169" s="1">
        <f t="shared" ca="1" si="769"/>
        <v>35.406198220486161</v>
      </c>
      <c r="LK169" s="1">
        <f t="shared" ca="1" si="769"/>
        <v>35.520914347506483</v>
      </c>
      <c r="LL169" s="1">
        <f t="shared" ca="1" si="769"/>
        <v>35.63600215492346</v>
      </c>
      <c r="LM169" s="1">
        <f t="shared" ca="1" si="769"/>
        <v>35.751462846982044</v>
      </c>
      <c r="LN169" s="1">
        <f t="shared" ca="1" si="769"/>
        <v>35.867297631828947</v>
      </c>
      <c r="LO169" s="1">
        <f t="shared" ref="LO169:NZ169" ca="1" si="770">LN169*(1+LO83)</f>
        <v>35.983507721525271</v>
      </c>
      <c r="LP169" s="1">
        <f t="shared" ca="1" si="770"/>
        <v>36.100094332059207</v>
      </c>
      <c r="LQ169" s="1">
        <f t="shared" ca="1" si="770"/>
        <v>36.217058683358751</v>
      </c>
      <c r="LR169" s="1">
        <f t="shared" ca="1" si="770"/>
        <v>36.334401999304454</v>
      </c>
      <c r="LS169" s="1">
        <f t="shared" ca="1" si="770"/>
        <v>36.452125507742252</v>
      </c>
      <c r="LT169" s="1">
        <f t="shared" ca="1" si="770"/>
        <v>36.570230440496296</v>
      </c>
      <c r="LU169" s="1">
        <f t="shared" ca="1" si="770"/>
        <v>36.688718033381861</v>
      </c>
      <c r="LV169" s="1">
        <f t="shared" ca="1" si="770"/>
        <v>36.807589526218251</v>
      </c>
      <c r="LW169" s="1">
        <f t="shared" ca="1" si="770"/>
        <v>36.926846162841791</v>
      </c>
      <c r="LX169" s="1">
        <f t="shared" ca="1" si="770"/>
        <v>37.046489191118845</v>
      </c>
      <c r="LY169" s="1">
        <f t="shared" ca="1" si="770"/>
        <v>37.16651986295885</v>
      </c>
      <c r="LZ169" s="1">
        <f t="shared" ca="1" si="770"/>
        <v>37.286939434327451</v>
      </c>
      <c r="MA169" s="1">
        <f t="shared" ca="1" si="770"/>
        <v>37.407749165259602</v>
      </c>
      <c r="MB169" s="1">
        <f t="shared" ca="1" si="770"/>
        <v>37.528950319872791</v>
      </c>
      <c r="MC169" s="1">
        <f t="shared" ca="1" si="770"/>
        <v>37.650544166380236</v>
      </c>
      <c r="MD169" s="1">
        <f t="shared" ca="1" si="770"/>
        <v>37.772531977104173</v>
      </c>
      <c r="ME169" s="1">
        <f t="shared" ca="1" si="770"/>
        <v>37.894915028489159</v>
      </c>
      <c r="MF169" s="1">
        <f t="shared" ca="1" si="770"/>
        <v>38.017694601115437</v>
      </c>
      <c r="MG169" s="1">
        <f t="shared" ca="1" si="770"/>
        <v>38.14087197971233</v>
      </c>
      <c r="MH169" s="1">
        <f t="shared" ca="1" si="770"/>
        <v>38.264448453171681</v>
      </c>
      <c r="MI169" s="1">
        <f t="shared" ca="1" si="770"/>
        <v>38.38842531456136</v>
      </c>
      <c r="MJ169" s="1">
        <f t="shared" ca="1" si="770"/>
        <v>38.512803861138764</v>
      </c>
      <c r="MK169" s="1">
        <f t="shared" ca="1" si="770"/>
        <v>38.6375853943644</v>
      </c>
      <c r="ML169" s="1">
        <f t="shared" ca="1" si="770"/>
        <v>38.762771219915528</v>
      </c>
      <c r="MM169" s="1">
        <f t="shared" ca="1" si="770"/>
        <v>38.888362647699793</v>
      </c>
      <c r="MN169" s="1">
        <f t="shared" ca="1" si="770"/>
        <v>39.014360991868941</v>
      </c>
      <c r="MO169" s="1">
        <f t="shared" ca="1" si="770"/>
        <v>39.140767570832573</v>
      </c>
      <c r="MP169" s="1">
        <f t="shared" ca="1" si="770"/>
        <v>39.267583707271946</v>
      </c>
      <c r="MQ169" s="1">
        <f t="shared" ca="1" si="770"/>
        <v>39.394810728153793</v>
      </c>
      <c r="MR169" s="1">
        <f t="shared" ca="1" si="770"/>
        <v>39.522449964744226</v>
      </c>
      <c r="MS169" s="1">
        <f t="shared" ca="1" si="770"/>
        <v>39.650502752622664</v>
      </c>
      <c r="MT169" s="1">
        <f t="shared" ca="1" si="770"/>
        <v>39.778970431695811</v>
      </c>
      <c r="MU169" s="1">
        <f t="shared" ca="1" si="770"/>
        <v>39.90785434621165</v>
      </c>
      <c r="MV169" s="1">
        <f t="shared" ca="1" si="770"/>
        <v>40.037155844773551</v>
      </c>
      <c r="MW169" s="1">
        <f t="shared" ca="1" si="770"/>
        <v>40.166876280354352</v>
      </c>
      <c r="MX169" s="1">
        <f t="shared" ca="1" si="770"/>
        <v>40.297017010310519</v>
      </c>
      <c r="MY169" s="1">
        <f t="shared" ca="1" si="770"/>
        <v>40.427579396396361</v>
      </c>
      <c r="MZ169" s="1">
        <f t="shared" ca="1" si="770"/>
        <v>40.558564804778271</v>
      </c>
      <c r="NA169" s="1">
        <f t="shared" ca="1" si="770"/>
        <v>40.68997460604902</v>
      </c>
      <c r="NB169" s="1">
        <f t="shared" ca="1" si="770"/>
        <v>40.821810175242113</v>
      </c>
      <c r="NC169" s="1">
        <f t="shared" ca="1" si="770"/>
        <v>40.954072891846153</v>
      </c>
      <c r="ND169" s="1">
        <f t="shared" ca="1" si="770"/>
        <v>41.086764139819287</v>
      </c>
      <c r="NE169" s="1">
        <f t="shared" ca="1" si="770"/>
        <v>41.219885307603704</v>
      </c>
      <c r="NF169" s="1">
        <f t="shared" ca="1" si="770"/>
        <v>41.353437788140127</v>
      </c>
      <c r="NG169" s="1">
        <f t="shared" ca="1" si="770"/>
        <v>41.487422978882421</v>
      </c>
      <c r="NH169" s="1">
        <f t="shared" ca="1" si="770"/>
        <v>41.621842281812199</v>
      </c>
      <c r="NI169" s="1">
        <f t="shared" ca="1" si="770"/>
        <v>41.756697103453504</v>
      </c>
      <c r="NJ169" s="1">
        <f t="shared" ca="1" si="770"/>
        <v>41.891988854887501</v>
      </c>
      <c r="NK169" s="1">
        <f t="shared" ca="1" si="770"/>
        <v>42.027718951767277</v>
      </c>
      <c r="NL169" s="1">
        <f t="shared" ca="1" si="770"/>
        <v>42.163888814332637</v>
      </c>
      <c r="NM169" s="1">
        <f t="shared" ca="1" si="770"/>
        <v>42.300499867424946</v>
      </c>
      <c r="NN169" s="1">
        <f t="shared" ca="1" si="770"/>
        <v>42.43755354050208</v>
      </c>
      <c r="NO169" s="1">
        <f t="shared" ca="1" si="770"/>
        <v>42.575051267653343</v>
      </c>
      <c r="NP169" s="1">
        <f t="shared" ca="1" si="770"/>
        <v>42.712994487614502</v>
      </c>
      <c r="NQ169" s="1">
        <f t="shared" ca="1" si="770"/>
        <v>42.851384643782822</v>
      </c>
      <c r="NR169" s="1">
        <f t="shared" ca="1" si="770"/>
        <v>42.990223184232178</v>
      </c>
      <c r="NS169" s="1">
        <f t="shared" ca="1" si="770"/>
        <v>43.129511561728208</v>
      </c>
      <c r="NT169" s="1">
        <f t="shared" ca="1" si="770"/>
        <v>43.269251233743518</v>
      </c>
      <c r="NU169" s="1">
        <f t="shared" ca="1" si="770"/>
        <v>43.409443662472917</v>
      </c>
      <c r="NV169" s="1">
        <f t="shared" ca="1" si="770"/>
        <v>43.550090314848731</v>
      </c>
      <c r="NW169" s="1">
        <f t="shared" ca="1" si="770"/>
        <v>43.691192662556148</v>
      </c>
      <c r="NX169" s="1">
        <f t="shared" ca="1" si="770"/>
        <v>43.832752182048615</v>
      </c>
      <c r="NY169" s="1">
        <f t="shared" ca="1" si="770"/>
        <v>43.974770354563304</v>
      </c>
      <c r="NZ169" s="1">
        <f t="shared" ca="1" si="770"/>
        <v>44.117248666136582</v>
      </c>
      <c r="OA169" s="1">
        <f t="shared" ref="OA169:QL169" ca="1" si="771">NZ169*(1+OA83)</f>
        <v>44.260188607619583</v>
      </c>
      <c r="OB169" s="1">
        <f t="shared" ca="1" si="771"/>
        <v>44.403591674693793</v>
      </c>
      <c r="OC169" s="1">
        <f t="shared" ca="1" si="771"/>
        <v>44.547459367886717</v>
      </c>
      <c r="OD169" s="1">
        <f t="shared" ca="1" si="771"/>
        <v>44.691793192587568</v>
      </c>
      <c r="OE169" s="1">
        <f t="shared" ca="1" si="771"/>
        <v>44.836594659063017</v>
      </c>
      <c r="OF169" s="1">
        <f t="shared" ca="1" si="771"/>
        <v>44.981865282473009</v>
      </c>
      <c r="OG169" s="1">
        <f t="shared" ca="1" si="771"/>
        <v>45.127606582886607</v>
      </c>
      <c r="OH169" s="1">
        <f t="shared" ca="1" si="771"/>
        <v>45.273820085297892</v>
      </c>
      <c r="OI169" s="1">
        <f t="shared" ca="1" si="771"/>
        <v>45.420507319641942</v>
      </c>
      <c r="OJ169" s="1">
        <f t="shared" ca="1" si="771"/>
        <v>45.567669820810814</v>
      </c>
      <c r="OK169" s="1">
        <f t="shared" ca="1" si="771"/>
        <v>45.715309128669617</v>
      </c>
      <c r="OL169" s="1">
        <f t="shared" ca="1" si="771"/>
        <v>45.863426788072637</v>
      </c>
      <c r="OM169" s="1">
        <f t="shared" ca="1" si="771"/>
        <v>46.012024348879478</v>
      </c>
      <c r="ON169" s="1">
        <f t="shared" ca="1" si="771"/>
        <v>46.1611033659713</v>
      </c>
      <c r="OO169" s="1">
        <f t="shared" ca="1" si="771"/>
        <v>46.310665399267073</v>
      </c>
      <c r="OP169" s="1">
        <f t="shared" ca="1" si="771"/>
        <v>46.460712013739908</v>
      </c>
      <c r="OQ169" s="1">
        <f t="shared" ca="1" si="771"/>
        <v>46.611244779433427</v>
      </c>
      <c r="OR169" s="1">
        <f t="shared" ca="1" si="771"/>
        <v>46.762265271478206</v>
      </c>
      <c r="OS169" s="1">
        <f t="shared" ca="1" si="771"/>
        <v>46.913775070108244</v>
      </c>
      <c r="OT169" s="1">
        <f t="shared" ca="1" si="771"/>
        <v>47.065775760677489</v>
      </c>
      <c r="OU169" s="1">
        <f t="shared" ca="1" si="771"/>
        <v>47.218268933676448</v>
      </c>
      <c r="OV169" s="1">
        <f t="shared" ca="1" si="771"/>
        <v>47.371256184748816</v>
      </c>
      <c r="OW169" s="1">
        <f t="shared" ca="1" si="771"/>
        <v>47.524739114708169</v>
      </c>
      <c r="OX169" s="1">
        <f t="shared" ca="1" si="771"/>
        <v>47.678719329554738</v>
      </c>
      <c r="OY169" s="1">
        <f t="shared" ca="1" si="771"/>
        <v>47.833198440492183</v>
      </c>
      <c r="OZ169" s="1">
        <f t="shared" ca="1" si="771"/>
        <v>47.988178063944467</v>
      </c>
      <c r="PA169" s="1">
        <f t="shared" ca="1" si="771"/>
        <v>48.143659821572768</v>
      </c>
      <c r="PB169" s="1">
        <f t="shared" ca="1" si="771"/>
        <v>48.299645340292457</v>
      </c>
      <c r="PC169" s="1">
        <f t="shared" ca="1" si="771"/>
        <v>48.456136252290108</v>
      </c>
      <c r="PD169" s="1">
        <f t="shared" ca="1" si="771"/>
        <v>48.61313419504058</v>
      </c>
      <c r="PE169" s="1">
        <f t="shared" ca="1" si="771"/>
        <v>48.770640811324157</v>
      </c>
      <c r="PF169" s="1">
        <f t="shared" ca="1" si="771"/>
        <v>48.928657749243726</v>
      </c>
      <c r="PG169" s="1">
        <f t="shared" ca="1" si="771"/>
        <v>49.087186662242033</v>
      </c>
      <c r="PH169" s="1">
        <f t="shared" ca="1" si="771"/>
        <v>49.246229209118979</v>
      </c>
      <c r="PI169" s="1">
        <f t="shared" ca="1" si="771"/>
        <v>49.405787054048979</v>
      </c>
      <c r="PJ169" s="1">
        <f t="shared" ca="1" si="771"/>
        <v>49.565861866598382</v>
      </c>
      <c r="PK169" s="1">
        <f t="shared" ca="1" si="771"/>
        <v>49.726455321742925</v>
      </c>
      <c r="PL169" s="1">
        <f t="shared" ca="1" si="771"/>
        <v>49.887569099885276</v>
      </c>
      <c r="PM169" s="1">
        <f t="shared" ca="1" si="771"/>
        <v>50.049204886872602</v>
      </c>
      <c r="PN169" s="1">
        <f t="shared" ca="1" si="771"/>
        <v>50.211364374014224</v>
      </c>
      <c r="PO169" s="1">
        <f t="shared" ca="1" si="771"/>
        <v>50.374049258099305</v>
      </c>
      <c r="PP169" s="1">
        <f t="shared" ca="1" si="771"/>
        <v>50.537261241414605</v>
      </c>
      <c r="PQ169" s="1">
        <f t="shared" ca="1" si="771"/>
        <v>50.701002031762293</v>
      </c>
      <c r="PR169" s="1">
        <f t="shared" ca="1" si="771"/>
        <v>50.865273342477828</v>
      </c>
      <c r="PS169" s="1">
        <f t="shared" ca="1" si="771"/>
        <v>51.030076892447873</v>
      </c>
      <c r="PT169" s="1">
        <f t="shared" ca="1" si="771"/>
        <v>51.195414406128279</v>
      </c>
      <c r="PU169" s="1">
        <f t="shared" ca="1" si="771"/>
        <v>51.361287613562155</v>
      </c>
      <c r="PV169" s="1">
        <f t="shared" ca="1" si="771"/>
        <v>51.527698250397926</v>
      </c>
      <c r="PW169" s="1">
        <f t="shared" ca="1" si="771"/>
        <v>51.694648057907543</v>
      </c>
      <c r="PX169" s="1">
        <f t="shared" ca="1" si="771"/>
        <v>51.862138783004667</v>
      </c>
      <c r="PY169" s="1">
        <f t="shared" ca="1" si="771"/>
        <v>52.030172178262973</v>
      </c>
      <c r="PZ169" s="1">
        <f t="shared" ca="1" si="771"/>
        <v>52.198750001934464</v>
      </c>
      <c r="QA169" s="1">
        <f t="shared" ca="1" si="771"/>
        <v>52.367874017967885</v>
      </c>
      <c r="QB169" s="1">
        <f t="shared" ca="1" si="771"/>
        <v>52.537545996027184</v>
      </c>
      <c r="QC169" s="1">
        <f t="shared" ca="1" si="771"/>
        <v>52.707767711510016</v>
      </c>
      <c r="QD169" s="1">
        <f t="shared" ca="1" si="771"/>
        <v>52.878540945566328</v>
      </c>
      <c r="QE169" s="1">
        <f t="shared" ca="1" si="771"/>
        <v>53.049867485116998</v>
      </c>
      <c r="QF169" s="1">
        <f t="shared" ca="1" si="771"/>
        <v>53.221749122872524</v>
      </c>
      <c r="QG169" s="1">
        <f t="shared" ca="1" si="771"/>
        <v>53.394187657351793</v>
      </c>
      <c r="QH169" s="1">
        <f t="shared" ca="1" si="771"/>
        <v>53.567184892900897</v>
      </c>
      <c r="QI169" s="1">
        <f t="shared" ca="1" si="771"/>
        <v>53.74074263971201</v>
      </c>
      <c r="QJ169" s="1">
        <f t="shared" ca="1" si="771"/>
        <v>53.914862713842325</v>
      </c>
      <c r="QK169" s="1">
        <f t="shared" ca="1" si="771"/>
        <v>54.089546937233074</v>
      </c>
      <c r="QL169" s="1">
        <f t="shared" ca="1" si="771"/>
        <v>54.264797137728564</v>
      </c>
      <c r="QM169" s="1">
        <f t="shared" ref="QM169:RR169" ca="1" si="772">QL169*(1+QM83)</f>
        <v>54.440615149095343</v>
      </c>
      <c r="QN169" s="1">
        <f t="shared" ca="1" si="772"/>
        <v>54.617002811041345</v>
      </c>
      <c r="QO169" s="1">
        <f t="shared" ca="1" si="772"/>
        <v>54.793961969235163</v>
      </c>
      <c r="QP169" s="1">
        <f t="shared" ca="1" si="772"/>
        <v>54.971494475325372</v>
      </c>
      <c r="QQ169" s="1">
        <f t="shared" ca="1" si="772"/>
        <v>55.149602186959875</v>
      </c>
      <c r="QR169" s="1">
        <f t="shared" ca="1" si="772"/>
        <v>55.328286967805369</v>
      </c>
      <c r="QS169" s="1">
        <f t="shared" ca="1" si="772"/>
        <v>55.50755068756682</v>
      </c>
      <c r="QT169" s="1">
        <f t="shared" ca="1" si="772"/>
        <v>55.687395222007055</v>
      </c>
      <c r="QU169" s="1">
        <f t="shared" ca="1" si="772"/>
        <v>55.867822452966365</v>
      </c>
      <c r="QV169" s="1">
        <f t="shared" ca="1" si="772"/>
        <v>56.048834268382208</v>
      </c>
      <c r="QW169" s="1">
        <f t="shared" ca="1" si="772"/>
        <v>56.230432562308962</v>
      </c>
      <c r="QX169" s="1">
        <f t="shared" ca="1" si="772"/>
        <v>56.412619234937743</v>
      </c>
      <c r="QY169" s="1">
        <f t="shared" ca="1" si="772"/>
        <v>56.595396192616299</v>
      </c>
      <c r="QZ169" s="1">
        <f t="shared" ca="1" si="772"/>
        <v>56.778765347868926</v>
      </c>
      <c r="RA169" s="1">
        <f t="shared" ca="1" si="772"/>
        <v>56.962728619416524</v>
      </c>
      <c r="RB169" s="1">
        <f t="shared" ca="1" si="772"/>
        <v>57.147287932196633</v>
      </c>
      <c r="RC169" s="1">
        <f t="shared" ca="1" si="772"/>
        <v>57.332445217383601</v>
      </c>
      <c r="RD169" s="1">
        <f t="shared" ca="1" si="772"/>
        <v>57.518202412408783</v>
      </c>
      <c r="RE169" s="1">
        <f t="shared" ca="1" si="772"/>
        <v>57.704561460980813</v>
      </c>
      <c r="RF169" s="1">
        <f t="shared" ca="1" si="772"/>
        <v>57.891524313105947</v>
      </c>
      <c r="RG169" s="1">
        <f t="shared" ca="1" si="772"/>
        <v>58.079092925108462</v>
      </c>
      <c r="RH169" s="1">
        <f t="shared" ca="1" si="772"/>
        <v>58.267269259651123</v>
      </c>
      <c r="RI169" s="1">
        <f t="shared" ca="1" si="772"/>
        <v>58.456055285755724</v>
      </c>
      <c r="RJ169" s="1">
        <f t="shared" ca="1" si="772"/>
        <v>58.645452978823705</v>
      </c>
      <c r="RK169" s="1">
        <f t="shared" ca="1" si="772"/>
        <v>58.835464320656804</v>
      </c>
      <c r="RL169" s="1">
        <f t="shared" ca="1" si="772"/>
        <v>59.026091299477791</v>
      </c>
      <c r="RM169" s="1">
        <f t="shared" ca="1" si="772"/>
        <v>59.217335909951281</v>
      </c>
      <c r="RN169" s="1">
        <f t="shared" ca="1" si="772"/>
        <v>59.409200153204615</v>
      </c>
      <c r="RO169" s="1">
        <f t="shared" ca="1" si="772"/>
        <v>59.601686036848783</v>
      </c>
      <c r="RP169" s="1">
        <f t="shared" ca="1" si="772"/>
        <v>59.794795574999434</v>
      </c>
      <c r="RQ169" s="1">
        <f t="shared" ca="1" si="772"/>
        <v>59.988530788297965</v>
      </c>
      <c r="RR169" s="1">
        <f t="shared" ca="1" si="772"/>
        <v>60.182893703932642</v>
      </c>
    </row>
    <row r="170" spans="1:491" ht="28.8">
      <c r="D170" s="31" t="s">
        <v>310</v>
      </c>
      <c r="E170" s="1">
        <f>E45</f>
        <v>2.524</v>
      </c>
      <c r="F170" s="1">
        <f ca="1">E170*(1+F85)</f>
        <v>2.5321763998125792</v>
      </c>
      <c r="G170" s="1">
        <f t="shared" ref="G170:BR170" ca="1" si="773">F170*(1+G85)</f>
        <v>2.5403792867542769</v>
      </c>
      <c r="H170" s="1">
        <f t="shared" ca="1" si="773"/>
        <v>2.5486087466291178</v>
      </c>
      <c r="I170" s="1">
        <f t="shared" ca="1" si="773"/>
        <v>2.5568648655190849</v>
      </c>
      <c r="J170" s="1">
        <f t="shared" ca="1" si="773"/>
        <v>2.5651477297850205</v>
      </c>
      <c r="K170" s="1">
        <f t="shared" ca="1" si="773"/>
        <v>2.5734574260675296</v>
      </c>
      <c r="L170" s="1">
        <f t="shared" ca="1" si="773"/>
        <v>2.5817940412878859</v>
      </c>
      <c r="M170" s="1">
        <f t="shared" ca="1" si="773"/>
        <v>2.5901576626489415</v>
      </c>
      <c r="N170" s="1">
        <f t="shared" ca="1" si="773"/>
        <v>2.598548377636039</v>
      </c>
      <c r="O170" s="1">
        <f t="shared" ca="1" si="773"/>
        <v>2.6069662740179256</v>
      </c>
      <c r="P170" s="1">
        <f t="shared" ca="1" si="773"/>
        <v>2.6154114398476724</v>
      </c>
      <c r="Q170" s="1">
        <f t="shared" ca="1" si="773"/>
        <v>2.6238839634635949</v>
      </c>
      <c r="R170" s="1">
        <f t="shared" ca="1" si="773"/>
        <v>2.6323839334901771</v>
      </c>
      <c r="S170" s="1">
        <f t="shared" ca="1" si="773"/>
        <v>2.6409114388389989</v>
      </c>
      <c r="T170" s="1">
        <f t="shared" ca="1" si="773"/>
        <v>2.6494665687096655</v>
      </c>
      <c r="U170" s="1">
        <f t="shared" ca="1" si="773"/>
        <v>2.6580494125907403</v>
      </c>
      <c r="V170" s="1">
        <f t="shared" ca="1" si="773"/>
        <v>2.6666600602606825</v>
      </c>
      <c r="W170" s="1">
        <f t="shared" ca="1" si="773"/>
        <v>2.6752986017887839</v>
      </c>
      <c r="X170" s="1">
        <f t="shared" ca="1" si="773"/>
        <v>2.6839651275361134</v>
      </c>
      <c r="Y170" s="1">
        <f t="shared" ca="1" si="773"/>
        <v>2.6926597281564604</v>
      </c>
      <c r="Z170" s="1">
        <f t="shared" ca="1" si="773"/>
        <v>2.7013824945972837</v>
      </c>
      <c r="AA170" s="1">
        <f t="shared" ca="1" si="773"/>
        <v>2.7101335181006636</v>
      </c>
      <c r="AB170" s="1">
        <f t="shared" ca="1" si="773"/>
        <v>2.7189128902042543</v>
      </c>
      <c r="AC170" s="1">
        <f t="shared" ca="1" si="773"/>
        <v>2.7277207027422437</v>
      </c>
      <c r="AD170" s="1">
        <f t="shared" ca="1" si="773"/>
        <v>2.7365570478463126</v>
      </c>
      <c r="AE170" s="1">
        <f t="shared" ca="1" si="773"/>
        <v>2.7454220179465993</v>
      </c>
      <c r="AF170" s="1">
        <f t="shared" ca="1" si="773"/>
        <v>2.7543157057726648</v>
      </c>
      <c r="AG170" s="1">
        <f t="shared" ca="1" si="773"/>
        <v>2.7632382043544652</v>
      </c>
      <c r="AH170" s="1">
        <f t="shared" ca="1" si="773"/>
        <v>2.7721896070233227</v>
      </c>
      <c r="AI170" s="1">
        <f t="shared" ca="1" si="773"/>
        <v>2.7811700074129027</v>
      </c>
      <c r="AJ170" s="1">
        <f t="shared" ca="1" si="773"/>
        <v>2.7901794994601934</v>
      </c>
      <c r="AK170" s="1">
        <f t="shared" ca="1" si="773"/>
        <v>2.7992181774064884</v>
      </c>
      <c r="AL170" s="1">
        <f t="shared" ca="1" si="773"/>
        <v>2.8082861357983724</v>
      </c>
      <c r="AM170" s="1">
        <f t="shared" ca="1" si="773"/>
        <v>2.8173834694887097</v>
      </c>
      <c r="AN170" s="1">
        <f t="shared" ca="1" si="773"/>
        <v>2.8265102736376364</v>
      </c>
      <c r="AO170" s="1">
        <f t="shared" ca="1" si="773"/>
        <v>2.8356666437135574</v>
      </c>
      <c r="AP170" s="1">
        <f t="shared" ca="1" si="773"/>
        <v>2.8448526754941428</v>
      </c>
      <c r="AQ170" s="1">
        <f t="shared" ca="1" si="773"/>
        <v>2.8540684650673307</v>
      </c>
      <c r="AR170" s="1">
        <f t="shared" ca="1" si="773"/>
        <v>2.8633141088323328</v>
      </c>
      <c r="AS170" s="1">
        <f t="shared" ca="1" si="773"/>
        <v>2.8725897035006422</v>
      </c>
      <c r="AT170" s="1">
        <f t="shared" ca="1" si="773"/>
        <v>2.8818953460970449</v>
      </c>
      <c r="AU170" s="1">
        <f t="shared" ca="1" si="773"/>
        <v>2.8912311339606349</v>
      </c>
      <c r="AV170" s="1">
        <f t="shared" ca="1" si="773"/>
        <v>2.9005971647458328</v>
      </c>
      <c r="AW170" s="1">
        <f t="shared" ca="1" si="773"/>
        <v>2.9099935364234066</v>
      </c>
      <c r="AX170" s="1">
        <f t="shared" ca="1" si="773"/>
        <v>2.9194203472814966</v>
      </c>
      <c r="AY170" s="1">
        <f t="shared" ca="1" si="773"/>
        <v>2.9288776959266443</v>
      </c>
      <c r="AZ170" s="1">
        <f t="shared" ca="1" si="773"/>
        <v>2.9383656812848229</v>
      </c>
      <c r="BA170" s="1">
        <f t="shared" ca="1" si="773"/>
        <v>2.947884402602472</v>
      </c>
      <c r="BB170" s="1">
        <f t="shared" ca="1" si="773"/>
        <v>2.957433959447537</v>
      </c>
      <c r="BC170" s="1">
        <f t="shared" ca="1" si="773"/>
        <v>2.9670144517105093</v>
      </c>
      <c r="BD170" s="1">
        <f t="shared" ca="1" si="773"/>
        <v>2.9766259796054721</v>
      </c>
      <c r="BE170" s="1">
        <f t="shared" ca="1" si="773"/>
        <v>2.9862686436711479</v>
      </c>
      <c r="BF170" s="1">
        <f t="shared" ca="1" si="773"/>
        <v>2.9959425447719501</v>
      </c>
      <c r="BG170" s="1">
        <f t="shared" ca="1" si="773"/>
        <v>3.0056477840990388</v>
      </c>
      <c r="BH170" s="1">
        <f t="shared" ca="1" si="773"/>
        <v>3.0153844631713791</v>
      </c>
      <c r="BI170" s="1">
        <f t="shared" ca="1" si="773"/>
        <v>3.0251526838368026</v>
      </c>
      <c r="BJ170" s="1">
        <f t="shared" ca="1" si="773"/>
        <v>3.0349525482730733</v>
      </c>
      <c r="BK170" s="1">
        <f t="shared" ca="1" si="773"/>
        <v>3.0447841589889557</v>
      </c>
      <c r="BL170" s="1">
        <f t="shared" ca="1" si="773"/>
        <v>3.0546476188252876</v>
      </c>
      <c r="BM170" s="1">
        <f t="shared" ca="1" si="773"/>
        <v>3.064543030956056</v>
      </c>
      <c r="BN170" s="1">
        <f t="shared" ca="1" si="773"/>
        <v>3.0744704988894753</v>
      </c>
      <c r="BO170" s="1">
        <f t="shared" ca="1" si="773"/>
        <v>3.0844301264690714</v>
      </c>
      <c r="BP170" s="1">
        <f t="shared" ca="1" si="773"/>
        <v>3.0944220178747672</v>
      </c>
      <c r="BQ170" s="1">
        <f t="shared" ca="1" si="773"/>
        <v>3.1044462776239721</v>
      </c>
      <c r="BR170" s="1">
        <f t="shared" ca="1" si="773"/>
        <v>3.1145030105726756</v>
      </c>
      <c r="BS170" s="1">
        <f t="shared" ref="BS170:ED170" ca="1" si="774">BR170*(1+BS85)</f>
        <v>3.1245923219165443</v>
      </c>
      <c r="BT170" s="1">
        <f t="shared" ca="1" si="774"/>
        <v>3.1347143171920218</v>
      </c>
      <c r="BU170" s="1">
        <f t="shared" ca="1" si="774"/>
        <v>3.1448691022774331</v>
      </c>
      <c r="BV170" s="1">
        <f t="shared" ca="1" si="774"/>
        <v>3.1550567833940923</v>
      </c>
      <c r="BW170" s="1">
        <f t="shared" ca="1" si="774"/>
        <v>3.1652774671074129</v>
      </c>
      <c r="BX170" s="1">
        <f t="shared" ca="1" si="774"/>
        <v>3.1755312603280226</v>
      </c>
      <c r="BY170" s="1">
        <f t="shared" ca="1" si="774"/>
        <v>3.1858182703128821</v>
      </c>
      <c r="BZ170" s="1">
        <f t="shared" ca="1" si="774"/>
        <v>3.1961386046664075</v>
      </c>
      <c r="CA170" s="1">
        <f t="shared" ca="1" si="774"/>
        <v>3.2064923713415947</v>
      </c>
      <c r="CB170" s="1">
        <f t="shared" ca="1" si="774"/>
        <v>3.2168796786411487</v>
      </c>
      <c r="CC170" s="1">
        <f t="shared" ca="1" si="774"/>
        <v>3.2273006352186178</v>
      </c>
      <c r="CD170" s="1">
        <f t="shared" ca="1" si="774"/>
        <v>3.2377553500795284</v>
      </c>
      <c r="CE170" s="1">
        <f t="shared" ca="1" si="774"/>
        <v>3.2482439325825267</v>
      </c>
      <c r="CF170" s="1">
        <f t="shared" ca="1" si="774"/>
        <v>3.2587664924405217</v>
      </c>
      <c r="CG170" s="1">
        <f t="shared" ca="1" si="774"/>
        <v>3.2693231397218332</v>
      </c>
      <c r="CH170" s="1">
        <f t="shared" ca="1" si="774"/>
        <v>3.2799139848513432</v>
      </c>
      <c r="CI170" s="1">
        <f t="shared" ca="1" si="774"/>
        <v>3.29053913861165</v>
      </c>
      <c r="CJ170" s="1">
        <f t="shared" ca="1" si="774"/>
        <v>3.3011987121442292</v>
      </c>
      <c r="CK170" s="1">
        <f t="shared" ca="1" si="774"/>
        <v>3.3118928169505932</v>
      </c>
      <c r="CL170" s="1">
        <f t="shared" ca="1" si="774"/>
        <v>3.3226215648934607</v>
      </c>
      <c r="CM170" s="1">
        <f t="shared" ca="1" si="774"/>
        <v>3.3333850681979245</v>
      </c>
      <c r="CN170" s="1">
        <f t="shared" ca="1" si="774"/>
        <v>3.3441834394526269</v>
      </c>
      <c r="CO170" s="1">
        <f t="shared" ca="1" si="774"/>
        <v>3.3550167916109355</v>
      </c>
      <c r="CP170" s="1">
        <f t="shared" ca="1" si="774"/>
        <v>3.3658852379921274</v>
      </c>
      <c r="CQ170" s="1">
        <f t="shared" ca="1" si="774"/>
        <v>3.3767888922825722</v>
      </c>
      <c r="CR170" s="1">
        <f t="shared" ca="1" si="774"/>
        <v>3.3877278685369223</v>
      </c>
      <c r="CS170" s="1">
        <f t="shared" ca="1" si="774"/>
        <v>3.3987022811793053</v>
      </c>
      <c r="CT170" s="1">
        <f t="shared" ca="1" si="774"/>
        <v>3.4097122450045223</v>
      </c>
      <c r="CU170" s="1">
        <f t="shared" ca="1" si="774"/>
        <v>3.4207578751792469</v>
      </c>
      <c r="CV170" s="1">
        <f t="shared" ca="1" si="774"/>
        <v>3.4318392872432306</v>
      </c>
      <c r="CW170" s="1">
        <f t="shared" ca="1" si="774"/>
        <v>3.4429565971105118</v>
      </c>
      <c r="CX170" s="1">
        <f t="shared" ca="1" si="774"/>
        <v>3.4541099210706281</v>
      </c>
      <c r="CY170" s="1">
        <f t="shared" ca="1" si="774"/>
        <v>3.465299375789832</v>
      </c>
      <c r="CZ170" s="1">
        <f t="shared" ca="1" si="774"/>
        <v>3.4765250783123118</v>
      </c>
      <c r="DA170" s="1">
        <f t="shared" ca="1" si="774"/>
        <v>3.4877871460614167</v>
      </c>
      <c r="DB170" s="1">
        <f t="shared" ca="1" si="774"/>
        <v>3.4990856968408832</v>
      </c>
      <c r="DC170" s="1">
        <f t="shared" ca="1" si="774"/>
        <v>3.5104208488360689</v>
      </c>
      <c r="DD170" s="1">
        <f t="shared" ca="1" si="774"/>
        <v>3.5217927206151884</v>
      </c>
      <c r="DE170" s="1">
        <f t="shared" ca="1" si="774"/>
        <v>3.5332014311305535</v>
      </c>
      <c r="DF170" s="1">
        <f t="shared" ca="1" si="774"/>
        <v>3.5446470997198172</v>
      </c>
      <c r="DG170" s="1">
        <f t="shared" ca="1" si="774"/>
        <v>3.5561298461072219</v>
      </c>
      <c r="DH170" s="1">
        <f t="shared" ca="1" si="774"/>
        <v>3.5676497904048521</v>
      </c>
      <c r="DI170" s="1">
        <f t="shared" ca="1" si="774"/>
        <v>3.5792070531138913</v>
      </c>
      <c r="DJ170" s="1">
        <f t="shared" ca="1" si="774"/>
        <v>3.5908017551258813</v>
      </c>
      <c r="DK170" s="1">
        <f t="shared" ca="1" si="774"/>
        <v>3.6024340177239877</v>
      </c>
      <c r="DL170" s="1">
        <f t="shared" ca="1" si="774"/>
        <v>3.6141039625842684</v>
      </c>
      <c r="DM170" s="1">
        <f t="shared" ca="1" si="774"/>
        <v>3.6258117117769451</v>
      </c>
      <c r="DN170" s="1">
        <f t="shared" ca="1" si="774"/>
        <v>3.6375573877676826</v>
      </c>
      <c r="DO170" s="1">
        <f t="shared" ca="1" si="774"/>
        <v>3.6493411134188674</v>
      </c>
      <c r="DP170" s="1">
        <f t="shared" ca="1" si="774"/>
        <v>3.6611630119908942</v>
      </c>
      <c r="DQ170" s="1">
        <f t="shared" ca="1" si="774"/>
        <v>3.6730232071434554</v>
      </c>
      <c r="DR170" s="1">
        <f t="shared" ca="1" si="774"/>
        <v>3.6849218229368339</v>
      </c>
      <c r="DS170" s="1">
        <f t="shared" ca="1" si="774"/>
        <v>3.6968589838332009</v>
      </c>
      <c r="DT170" s="1">
        <f t="shared" ca="1" si="774"/>
        <v>3.708834814697918</v>
      </c>
      <c r="DU170" s="1">
        <f t="shared" ca="1" si="774"/>
        <v>3.7208494408008432</v>
      </c>
      <c r="DV170" s="1">
        <f t="shared" ca="1" si="774"/>
        <v>3.7329029878176421</v>
      </c>
      <c r="DW170" s="1">
        <f t="shared" ca="1" si="774"/>
        <v>3.7449955818311005</v>
      </c>
      <c r="DX170" s="1">
        <f t="shared" ca="1" si="774"/>
        <v>3.7571273493324453</v>
      </c>
      <c r="DY170" s="1">
        <f t="shared" ca="1" si="774"/>
        <v>3.7692984172226667</v>
      </c>
      <c r="DZ170" s="1">
        <f t="shared" ca="1" si="774"/>
        <v>3.7815089128138455</v>
      </c>
      <c r="EA170" s="1">
        <f t="shared" ca="1" si="774"/>
        <v>3.7937589638304852</v>
      </c>
      <c r="EB170" s="1">
        <f t="shared" ca="1" si="774"/>
        <v>3.8060486984108475</v>
      </c>
      <c r="EC170" s="1">
        <f t="shared" ca="1" si="774"/>
        <v>3.8183782451082937</v>
      </c>
      <c r="ED170" s="1">
        <f t="shared" ca="1" si="774"/>
        <v>3.8307477328926285</v>
      </c>
      <c r="EE170" s="1">
        <f t="shared" ref="EE170:GP170" ca="1" si="775">ED170*(1+EE85)</f>
        <v>3.8431572911514484</v>
      </c>
      <c r="EF170" s="1">
        <f t="shared" ca="1" si="775"/>
        <v>3.8556070496914976</v>
      </c>
      <c r="EG170" s="1">
        <f t="shared" ca="1" si="775"/>
        <v>3.8680971387400227</v>
      </c>
      <c r="EH170" s="1">
        <f t="shared" ca="1" si="775"/>
        <v>3.8806276889461371</v>
      </c>
      <c r="EI170" s="1">
        <f t="shared" ca="1" si="775"/>
        <v>3.8931988313821866</v>
      </c>
      <c r="EJ170" s="1">
        <f t="shared" ca="1" si="775"/>
        <v>3.9058106975451214</v>
      </c>
      <c r="EK170" s="1">
        <f t="shared" ca="1" si="775"/>
        <v>3.9184634193578702</v>
      </c>
      <c r="EL170" s="1">
        <f t="shared" ca="1" si="775"/>
        <v>3.9311571291707215</v>
      </c>
      <c r="EM170" s="1">
        <f t="shared" ca="1" si="775"/>
        <v>3.9438919597627069</v>
      </c>
      <c r="EN170" s="1">
        <f t="shared" ca="1" si="775"/>
        <v>3.9566680443429911</v>
      </c>
      <c r="EO170" s="1">
        <f t="shared" ca="1" si="775"/>
        <v>3.9694855165522642</v>
      </c>
      <c r="EP170" s="1">
        <f t="shared" ca="1" si="775"/>
        <v>3.9823445104641402</v>
      </c>
      <c r="EQ170" s="1">
        <f t="shared" ca="1" si="775"/>
        <v>3.9952451605865593</v>
      </c>
      <c r="ER170" s="1">
        <f t="shared" ca="1" si="775"/>
        <v>4.0081876018631952</v>
      </c>
      <c r="ES170" s="1">
        <f t="shared" ca="1" si="775"/>
        <v>4.0211719696748665</v>
      </c>
      <c r="ET170" s="1">
        <f t="shared" ca="1" si="775"/>
        <v>4.0341983998409514</v>
      </c>
      <c r="EU170" s="1">
        <f t="shared" ca="1" si="775"/>
        <v>4.0472670286208121</v>
      </c>
      <c r="EV170" s="1">
        <f t="shared" ca="1" si="775"/>
        <v>4.0603779927152157</v>
      </c>
      <c r="EW170" s="1">
        <f t="shared" ca="1" si="775"/>
        <v>4.0735314292677662</v>
      </c>
      <c r="EX170" s="1">
        <f t="shared" ca="1" si="775"/>
        <v>4.0867274758663408</v>
      </c>
      <c r="EY170" s="1">
        <f t="shared" ca="1" si="775"/>
        <v>4.0999662705445248</v>
      </c>
      <c r="EZ170" s="1">
        <f t="shared" ca="1" si="775"/>
        <v>4.1132479517830598</v>
      </c>
      <c r="FA170" s="1">
        <f t="shared" ca="1" si="775"/>
        <v>4.1265726585112894</v>
      </c>
      <c r="FB170" s="1">
        <f t="shared" ca="1" si="775"/>
        <v>4.1399405301086141</v>
      </c>
      <c r="FC170" s="1">
        <f t="shared" ca="1" si="775"/>
        <v>4.1533517064059478</v>
      </c>
      <c r="FD170" s="1">
        <f t="shared" ca="1" si="775"/>
        <v>4.1668063276871816</v>
      </c>
      <c r="FE170" s="1">
        <f t="shared" ca="1" si="775"/>
        <v>4.1803045346906504</v>
      </c>
      <c r="FF170" s="1">
        <f t="shared" ca="1" si="775"/>
        <v>4.1938464686106069</v>
      </c>
      <c r="FG170" s="1">
        <f t="shared" ca="1" si="775"/>
        <v>4.2074322710986953</v>
      </c>
      <c r="FH170" s="1">
        <f t="shared" ca="1" si="775"/>
        <v>4.2210620842654354</v>
      </c>
      <c r="FI170" s="1">
        <f t="shared" ca="1" si="775"/>
        <v>4.2347360506817084</v>
      </c>
      <c r="FJ170" s="1">
        <f t="shared" ca="1" si="775"/>
        <v>4.2484543133802495</v>
      </c>
      <c r="FK170" s="1">
        <f t="shared" ca="1" si="775"/>
        <v>4.2622170158571411</v>
      </c>
      <c r="FL170" s="1">
        <f t="shared" ca="1" si="775"/>
        <v>4.2760243020733162</v>
      </c>
      <c r="FM170" s="1">
        <f t="shared" ca="1" si="775"/>
        <v>4.2898763164560645</v>
      </c>
      <c r="FN170" s="1">
        <f t="shared" ca="1" si="775"/>
        <v>4.3037732039005414</v>
      </c>
      <c r="FO170" s="1">
        <f t="shared" ca="1" si="775"/>
        <v>4.3177151097712851</v>
      </c>
      <c r="FP170" s="1">
        <f t="shared" ca="1" si="775"/>
        <v>4.3317021799037354</v>
      </c>
      <c r="FQ170" s="1">
        <f t="shared" ca="1" si="775"/>
        <v>4.345734560605762</v>
      </c>
      <c r="FR170" s="1">
        <f t="shared" ca="1" si="775"/>
        <v>4.3598123986591917</v>
      </c>
      <c r="FS170" s="1">
        <f t="shared" ca="1" si="775"/>
        <v>4.3739358413213463</v>
      </c>
      <c r="FT170" s="1">
        <f t="shared" ca="1" si="775"/>
        <v>4.3881050363265812</v>
      </c>
      <c r="FU170" s="1">
        <f t="shared" ca="1" si="775"/>
        <v>4.4023201318878327</v>
      </c>
      <c r="FV170" s="1">
        <f t="shared" ca="1" si="775"/>
        <v>4.4165812766981665</v>
      </c>
      <c r="FW170" s="1">
        <f t="shared" ca="1" si="775"/>
        <v>4.4308886199323334</v>
      </c>
      <c r="FX170" s="1">
        <f t="shared" ca="1" si="775"/>
        <v>4.4452423112483297</v>
      </c>
      <c r="FY170" s="1">
        <f t="shared" ca="1" si="775"/>
        <v>4.4596425007889637</v>
      </c>
      <c r="FZ170" s="1">
        <f t="shared" ca="1" si="775"/>
        <v>4.4740893391834256</v>
      </c>
      <c r="GA170" s="1">
        <f t="shared" ca="1" si="775"/>
        <v>4.4885829775488624</v>
      </c>
      <c r="GB170" s="1">
        <f t="shared" ca="1" si="775"/>
        <v>4.5031235674919596</v>
      </c>
      <c r="GC170" s="1">
        <f t="shared" ca="1" si="775"/>
        <v>4.5177112611105263</v>
      </c>
      <c r="GD170" s="1">
        <f t="shared" ca="1" si="775"/>
        <v>4.5323462109950876</v>
      </c>
      <c r="GE170" s="1">
        <f t="shared" ca="1" si="775"/>
        <v>4.547028570230478</v>
      </c>
      <c r="GF170" s="1">
        <f t="shared" ca="1" si="775"/>
        <v>4.5617584923974457</v>
      </c>
      <c r="GG170" s="1">
        <f t="shared" ca="1" si="775"/>
        <v>4.5765361315742563</v>
      </c>
      <c r="GH170" s="1">
        <f t="shared" ca="1" si="775"/>
        <v>4.5913616423383079</v>
      </c>
      <c r="GI170" s="1">
        <f t="shared" ca="1" si="775"/>
        <v>4.6062351797677445</v>
      </c>
      <c r="GJ170" s="1">
        <f t="shared" ca="1" si="775"/>
        <v>4.6211568994430809</v>
      </c>
      <c r="GK170" s="1">
        <f t="shared" ca="1" si="775"/>
        <v>4.6361269574488286</v>
      </c>
      <c r="GL170" s="1">
        <f t="shared" ca="1" si="775"/>
        <v>4.6511455103751276</v>
      </c>
      <c r="GM170" s="1">
        <f t="shared" ca="1" si="775"/>
        <v>4.6662127153193866</v>
      </c>
      <c r="GN170" s="1">
        <f t="shared" ca="1" si="775"/>
        <v>4.6813287298879258</v>
      </c>
      <c r="GO170" s="1">
        <f t="shared" ca="1" si="775"/>
        <v>4.6964937121976238</v>
      </c>
      <c r="GP170" s="1">
        <f t="shared" ca="1" si="775"/>
        <v>4.7117078208775736</v>
      </c>
      <c r="GQ170" s="1">
        <f t="shared" ref="GQ170:JB170" ca="1" si="776">GP170*(1+GQ85)</f>
        <v>4.7269712150707397</v>
      </c>
      <c r="GR170" s="1">
        <f t="shared" ca="1" si="776"/>
        <v>4.7422840544356255</v>
      </c>
      <c r="GS170" s="1">
        <f t="shared" ca="1" si="776"/>
        <v>4.7576464991479419</v>
      </c>
      <c r="GT170" s="1">
        <f t="shared" ca="1" si="776"/>
        <v>4.7730587099022808</v>
      </c>
      <c r="GU170" s="1">
        <f t="shared" ca="1" si="776"/>
        <v>4.7885208479138006</v>
      </c>
      <c r="GV170" s="1">
        <f t="shared" ca="1" si="776"/>
        <v>4.8040330749199081</v>
      </c>
      <c r="GW170" s="1">
        <f t="shared" ca="1" si="776"/>
        <v>4.8195955531819523</v>
      </c>
      <c r="GX170" s="1">
        <f t="shared" ca="1" si="776"/>
        <v>4.8352084454869226</v>
      </c>
      <c r="GY170" s="1">
        <f t="shared" ca="1" si="776"/>
        <v>4.8508719151491499</v>
      </c>
      <c r="GZ170" s="1">
        <f t="shared" ca="1" si="776"/>
        <v>4.8665861260120149</v>
      </c>
      <c r="HA170" s="1">
        <f t="shared" ca="1" si="776"/>
        <v>4.8823512424496638</v>
      </c>
      <c r="HB170" s="1">
        <f t="shared" ca="1" si="776"/>
        <v>4.8981674293687254</v>
      </c>
      <c r="HC170" s="1">
        <f t="shared" ca="1" si="776"/>
        <v>4.9140348522100377</v>
      </c>
      <c r="HD170" s="1">
        <f t="shared" ca="1" si="776"/>
        <v>4.9299536769503778</v>
      </c>
      <c r="HE170" s="1">
        <f t="shared" ca="1" si="776"/>
        <v>4.9459240701041978</v>
      </c>
      <c r="HF170" s="1">
        <f t="shared" ca="1" si="776"/>
        <v>4.961946198725367</v>
      </c>
      <c r="HG170" s="1">
        <f t="shared" ca="1" si="776"/>
        <v>4.9780202304089194</v>
      </c>
      <c r="HH170" s="1">
        <f t="shared" ca="1" si="776"/>
        <v>4.9941463332928064</v>
      </c>
      <c r="HI170" s="1">
        <f t="shared" ca="1" si="776"/>
        <v>5.010324676059656</v>
      </c>
      <c r="HJ170" s="1">
        <f t="shared" ca="1" si="776"/>
        <v>5.0265554279385372</v>
      </c>
      <c r="HK170" s="1">
        <f t="shared" ca="1" si="776"/>
        <v>5.0428387587067292</v>
      </c>
      <c r="HL170" s="1">
        <f t="shared" ca="1" si="776"/>
        <v>5.0591748386914981</v>
      </c>
      <c r="HM170" s="1">
        <f t="shared" ca="1" si="776"/>
        <v>5.0755638387718793</v>
      </c>
      <c r="HN170" s="1">
        <f t="shared" ca="1" si="776"/>
        <v>5.0920059303804646</v>
      </c>
      <c r="HO170" s="1">
        <f t="shared" ca="1" si="776"/>
        <v>5.1085012855051932</v>
      </c>
      <c r="HP170" s="1">
        <f t="shared" ca="1" si="776"/>
        <v>5.1250500766911546</v>
      </c>
      <c r="HQ170" s="1">
        <f t="shared" ca="1" si="776"/>
        <v>5.1416524770423901</v>
      </c>
      <c r="HR170" s="1">
        <f t="shared" ca="1" si="776"/>
        <v>5.1583086602237049</v>
      </c>
      <c r="HS170" s="1">
        <f t="shared" ca="1" si="776"/>
        <v>5.1750188004624844</v>
      </c>
      <c r="HT170" s="1">
        <f t="shared" ca="1" si="776"/>
        <v>5.1917830725505176</v>
      </c>
      <c r="HU170" s="1">
        <f t="shared" ca="1" si="776"/>
        <v>5.2086016518458242</v>
      </c>
      <c r="HV170" s="1">
        <f t="shared" ca="1" si="776"/>
        <v>5.2254747142744904</v>
      </c>
      <c r="HW170" s="1">
        <f t="shared" ca="1" si="776"/>
        <v>5.2424024363325064</v>
      </c>
      <c r="HX170" s="1">
        <f t="shared" ca="1" si="776"/>
        <v>5.2593849950876148</v>
      </c>
      <c r="HY170" s="1">
        <f t="shared" ca="1" si="776"/>
        <v>5.2764225681811636</v>
      </c>
      <c r="HZ170" s="1">
        <f t="shared" ca="1" si="776"/>
        <v>5.2935153338299612</v>
      </c>
      <c r="IA170" s="1">
        <f t="shared" ca="1" si="776"/>
        <v>5.3106634708281444</v>
      </c>
      <c r="IB170" s="1">
        <f t="shared" ca="1" si="776"/>
        <v>5.3278671585490445</v>
      </c>
      <c r="IC170" s="1">
        <f t="shared" ca="1" si="776"/>
        <v>5.3451265769470666</v>
      </c>
      <c r="ID170" s="1">
        <f t="shared" ca="1" si="776"/>
        <v>5.3624419065595719</v>
      </c>
      <c r="IE170" s="1">
        <f t="shared" ca="1" si="776"/>
        <v>5.3798133285087646</v>
      </c>
      <c r="IF170" s="1">
        <f t="shared" ca="1" si="776"/>
        <v>5.3972410245035869</v>
      </c>
      <c r="IG170" s="1">
        <f t="shared" ca="1" si="776"/>
        <v>5.4147251768416202</v>
      </c>
      <c r="IH170" s="1">
        <f t="shared" ca="1" si="776"/>
        <v>5.4322659684109933</v>
      </c>
      <c r="II170" s="1">
        <f t="shared" ca="1" si="776"/>
        <v>5.4498635826922914</v>
      </c>
      <c r="IJ170" s="1">
        <f t="shared" ca="1" si="776"/>
        <v>5.4675182037604797</v>
      </c>
      <c r="IK170" s="1">
        <f t="shared" ca="1" si="776"/>
        <v>5.4852300162868275</v>
      </c>
      <c r="IL170" s="1">
        <f t="shared" ca="1" si="776"/>
        <v>5.5029992055408377</v>
      </c>
      <c r="IM170" s="1">
        <f t="shared" ca="1" si="776"/>
        <v>5.5208259573921881</v>
      </c>
      <c r="IN170" s="1">
        <f t="shared" ca="1" si="776"/>
        <v>5.5387104583126732</v>
      </c>
      <c r="IO170" s="1">
        <f t="shared" ca="1" si="776"/>
        <v>5.5566528953781562</v>
      </c>
      <c r="IP170" s="1">
        <f t="shared" ca="1" si="776"/>
        <v>5.574653456270525</v>
      </c>
      <c r="IQ170" s="1">
        <f t="shared" ca="1" si="776"/>
        <v>5.5927123292796557</v>
      </c>
      <c r="IR170" s="1">
        <f t="shared" ca="1" si="776"/>
        <v>5.6108297033053818</v>
      </c>
      <c r="IS170" s="1">
        <f t="shared" ca="1" si="776"/>
        <v>5.6290057678594705</v>
      </c>
      <c r="IT170" s="1">
        <f t="shared" ca="1" si="776"/>
        <v>5.6472407130676059</v>
      </c>
      <c r="IU170" s="1">
        <f t="shared" ca="1" si="776"/>
        <v>5.6655347296713767</v>
      </c>
      <c r="IV170" s="1">
        <f t="shared" ca="1" si="776"/>
        <v>5.6838880090302704</v>
      </c>
      <c r="IW170" s="1">
        <f t="shared" ca="1" si="776"/>
        <v>5.7023007431236765</v>
      </c>
      <c r="IX170" s="1">
        <f t="shared" ca="1" si="776"/>
        <v>5.7207731245528954</v>
      </c>
      <c r="IY170" s="1">
        <f t="shared" ca="1" si="776"/>
        <v>5.7393053465431505</v>
      </c>
      <c r="IZ170" s="1">
        <f t="shared" ca="1" si="776"/>
        <v>5.7578976029456115</v>
      </c>
      <c r="JA170" s="1">
        <f t="shared" ca="1" si="776"/>
        <v>5.7765500882394214</v>
      </c>
      <c r="JB170" s="1">
        <f t="shared" ca="1" si="776"/>
        <v>5.7952629975337304</v>
      </c>
      <c r="JC170" s="1">
        <f t="shared" ref="JC170:LN170" ca="1" si="777">JB170*(1+JC85)</f>
        <v>5.8140365265697378</v>
      </c>
      <c r="JD170" s="1">
        <f t="shared" ca="1" si="777"/>
        <v>5.8328708717227391</v>
      </c>
      <c r="JE170" s="1">
        <f t="shared" ca="1" si="777"/>
        <v>5.8517662300041788</v>
      </c>
      <c r="JF170" s="1">
        <f t="shared" ca="1" si="777"/>
        <v>5.8707227990637127</v>
      </c>
      <c r="JG170" s="1">
        <f t="shared" ca="1" si="777"/>
        <v>5.8897407771912764</v>
      </c>
      <c r="JH170" s="1">
        <f t="shared" ca="1" si="777"/>
        <v>5.9088203633191556</v>
      </c>
      <c r="JI170" s="1">
        <f t="shared" ca="1" si="777"/>
        <v>5.9279617570240717</v>
      </c>
      <c r="JJ170" s="1">
        <f t="shared" ca="1" si="777"/>
        <v>5.9471651585292653</v>
      </c>
      <c r="JK170" s="1">
        <f t="shared" ca="1" si="777"/>
        <v>5.9664307687065934</v>
      </c>
      <c r="JL170" s="1">
        <f t="shared" ca="1" si="777"/>
        <v>5.9857587890786297</v>
      </c>
      <c r="JM170" s="1">
        <f t="shared" ca="1" si="777"/>
        <v>6.0051494218207724</v>
      </c>
      <c r="JN170" s="1">
        <f t="shared" ca="1" si="777"/>
        <v>6.024602869763358</v>
      </c>
      <c r="JO170" s="1">
        <f t="shared" ca="1" si="777"/>
        <v>6.0441193363937851</v>
      </c>
      <c r="JP170" s="1">
        <f t="shared" ca="1" si="777"/>
        <v>6.0636990258586412</v>
      </c>
      <c r="JQ170" s="1">
        <f t="shared" ca="1" si="777"/>
        <v>6.0833421429658392</v>
      </c>
      <c r="JR170" s="1">
        <f t="shared" ca="1" si="777"/>
        <v>6.1030488931867595</v>
      </c>
      <c r="JS170" s="1">
        <f t="shared" ca="1" si="777"/>
        <v>6.1228194826583975</v>
      </c>
      <c r="JT170" s="1">
        <f t="shared" ca="1" si="777"/>
        <v>6.142654118185523</v>
      </c>
      <c r="JU170" s="1">
        <f t="shared" ca="1" si="777"/>
        <v>6.1625530072428418</v>
      </c>
      <c r="JV170" s="1">
        <f t="shared" ca="1" si="777"/>
        <v>6.1825163579771649</v>
      </c>
      <c r="JW170" s="1">
        <f t="shared" ca="1" si="777"/>
        <v>6.2025443792095869</v>
      </c>
      <c r="JX170" s="1">
        <f t="shared" ca="1" si="777"/>
        <v>6.2226372804376711</v>
      </c>
      <c r="JY170" s="1">
        <f t="shared" ca="1" si="777"/>
        <v>6.2427952718376396</v>
      </c>
      <c r="JZ170" s="1">
        <f t="shared" ca="1" si="777"/>
        <v>6.2630185642665719</v>
      </c>
      <c r="KA170" s="1">
        <f t="shared" ca="1" si="777"/>
        <v>6.2833073692646106</v>
      </c>
      <c r="KB170" s="1">
        <f t="shared" ca="1" si="777"/>
        <v>6.3036618990571753</v>
      </c>
      <c r="KC170" s="1">
        <f t="shared" ca="1" si="777"/>
        <v>6.3240823665571808</v>
      </c>
      <c r="KD170" s="1">
        <f t="shared" ca="1" si="777"/>
        <v>6.3445689853672658</v>
      </c>
      <c r="KE170" s="1">
        <f t="shared" ca="1" si="777"/>
        <v>6.3651219697820256</v>
      </c>
      <c r="KF170" s="1">
        <f t="shared" ca="1" si="777"/>
        <v>6.3857415347902551</v>
      </c>
      <c r="KG170" s="1">
        <f t="shared" ca="1" si="777"/>
        <v>6.4064278960771963</v>
      </c>
      <c r="KH170" s="1">
        <f t="shared" ca="1" si="777"/>
        <v>6.4271812700267956</v>
      </c>
      <c r="KI170" s="1">
        <f t="shared" ca="1" si="777"/>
        <v>6.4480018737239666</v>
      </c>
      <c r="KJ170" s="1">
        <f t="shared" ca="1" si="777"/>
        <v>6.4688899249568621</v>
      </c>
      <c r="KK170" s="1">
        <f t="shared" ca="1" si="777"/>
        <v>6.4898456422191497</v>
      </c>
      <c r="KL170" s="1">
        <f t="shared" ca="1" si="777"/>
        <v>6.5108692447122989</v>
      </c>
      <c r="KM170" s="1">
        <f t="shared" ca="1" si="777"/>
        <v>6.531960952347875</v>
      </c>
      <c r="KN170" s="1">
        <f t="shared" ca="1" si="777"/>
        <v>6.5531209857498371</v>
      </c>
      <c r="KO170" s="1">
        <f t="shared" ca="1" si="777"/>
        <v>6.5743495662568474</v>
      </c>
      <c r="KP170" s="1">
        <f t="shared" ca="1" si="777"/>
        <v>6.5956469159245863</v>
      </c>
      <c r="KQ170" s="1">
        <f t="shared" ca="1" si="777"/>
        <v>6.6170132575280753</v>
      </c>
      <c r="KR170" s="1">
        <f t="shared" ca="1" si="777"/>
        <v>6.638448814564005</v>
      </c>
      <c r="KS170" s="1">
        <f t="shared" ca="1" si="777"/>
        <v>6.6599538112530778</v>
      </c>
      <c r="KT170" s="1">
        <f t="shared" ca="1" si="777"/>
        <v>6.6815284725423476</v>
      </c>
      <c r="KU170" s="1">
        <f t="shared" ca="1" si="777"/>
        <v>6.7031730241075769</v>
      </c>
      <c r="KV170" s="1">
        <f t="shared" ca="1" si="777"/>
        <v>6.7248876923555958</v>
      </c>
      <c r="KW170" s="1">
        <f t="shared" ca="1" si="777"/>
        <v>6.746672704426671</v>
      </c>
      <c r="KX170" s="1">
        <f t="shared" ca="1" si="777"/>
        <v>6.7685282881968805</v>
      </c>
      <c r="KY170" s="1">
        <f t="shared" ca="1" si="777"/>
        <v>6.7904546722804984</v>
      </c>
      <c r="KZ170" s="1">
        <f t="shared" ca="1" si="777"/>
        <v>6.8124520860323852</v>
      </c>
      <c r="LA170" s="1">
        <f t="shared" ca="1" si="777"/>
        <v>6.8345207595503892</v>
      </c>
      <c r="LB170" s="1">
        <f t="shared" ca="1" si="777"/>
        <v>6.8566609236777492</v>
      </c>
      <c r="LC170" s="1">
        <f t="shared" ca="1" si="777"/>
        <v>6.8788728100055145</v>
      </c>
      <c r="LD170" s="1">
        <f t="shared" ca="1" si="777"/>
        <v>6.9011566508749622</v>
      </c>
      <c r="LE170" s="1">
        <f t="shared" ca="1" si="777"/>
        <v>6.9235126793800319</v>
      </c>
      <c r="LF170" s="1">
        <f t="shared" ca="1" si="777"/>
        <v>6.9459411293697597</v>
      </c>
      <c r="LG170" s="1">
        <f t="shared" ca="1" si="777"/>
        <v>6.9684422354507287</v>
      </c>
      <c r="LH170" s="1">
        <f t="shared" ca="1" si="777"/>
        <v>6.9910162329895202</v>
      </c>
      <c r="LI170" s="1">
        <f t="shared" ca="1" si="777"/>
        <v>7.0136633581151759</v>
      </c>
      <c r="LJ170" s="1">
        <f t="shared" ca="1" si="777"/>
        <v>7.0363838477216687</v>
      </c>
      <c r="LK170" s="1">
        <f t="shared" ca="1" si="777"/>
        <v>7.0591779394703806</v>
      </c>
      <c r="LL170" s="1">
        <f t="shared" ca="1" si="777"/>
        <v>7.0820458717925874</v>
      </c>
      <c r="LM170" s="1">
        <f t="shared" ca="1" si="777"/>
        <v>7.1049878838919547</v>
      </c>
      <c r="LN170" s="1">
        <f t="shared" ca="1" si="777"/>
        <v>7.1280042157470387</v>
      </c>
      <c r="LO170" s="1">
        <f t="shared" ref="LO170:NZ170" ca="1" si="778">LN170*(1+LO85)</f>
        <v>7.1510951081137977</v>
      </c>
      <c r="LP170" s="1">
        <f t="shared" ca="1" si="778"/>
        <v>7.1742608025281074</v>
      </c>
      <c r="LQ170" s="1">
        <f t="shared" ca="1" si="778"/>
        <v>7.1975015413082923</v>
      </c>
      <c r="LR170" s="1">
        <f t="shared" ca="1" si="778"/>
        <v>7.2208175675576554</v>
      </c>
      <c r="LS170" s="1">
        <f t="shared" ca="1" si="778"/>
        <v>7.2442091251670249</v>
      </c>
      <c r="LT170" s="1">
        <f t="shared" ca="1" si="778"/>
        <v>7.2676764588173031</v>
      </c>
      <c r="LU170" s="1">
        <f t="shared" ca="1" si="778"/>
        <v>7.2912198139820266</v>
      </c>
      <c r="LV170" s="1">
        <f t="shared" ca="1" si="778"/>
        <v>7.3148394369299341</v>
      </c>
      <c r="LW170" s="1">
        <f t="shared" ca="1" si="778"/>
        <v>7.3385355747275423</v>
      </c>
      <c r="LX170" s="1">
        <f t="shared" ca="1" si="778"/>
        <v>7.36230847524173</v>
      </c>
      <c r="LY170" s="1">
        <f t="shared" ca="1" si="778"/>
        <v>7.3861583871423315</v>
      </c>
      <c r="LZ170" s="1">
        <f t="shared" ca="1" si="778"/>
        <v>7.4100855599047373</v>
      </c>
      <c r="MA170" s="1">
        <f t="shared" ca="1" si="778"/>
        <v>7.4340902438125038</v>
      </c>
      <c r="MB170" s="1">
        <f t="shared" ca="1" si="778"/>
        <v>7.4581726899599712</v>
      </c>
      <c r="MC170" s="1">
        <f t="shared" ca="1" si="778"/>
        <v>7.4823331502548891</v>
      </c>
      <c r="MD170" s="1">
        <f t="shared" ca="1" si="778"/>
        <v>7.5065718774210541</v>
      </c>
      <c r="ME170" s="1">
        <f t="shared" ca="1" si="778"/>
        <v>7.5308891250009511</v>
      </c>
      <c r="MF170" s="1">
        <f t="shared" ca="1" si="778"/>
        <v>7.5552851473584051</v>
      </c>
      <c r="MG170" s="1">
        <f t="shared" ca="1" si="778"/>
        <v>7.5797601996812434</v>
      </c>
      <c r="MH170" s="1">
        <f t="shared" ca="1" si="778"/>
        <v>7.6043145379839654</v>
      </c>
      <c r="MI170" s="1">
        <f t="shared" ca="1" si="778"/>
        <v>7.6289484191104178</v>
      </c>
      <c r="MJ170" s="1">
        <f t="shared" ca="1" si="778"/>
        <v>7.6536621007364847</v>
      </c>
      <c r="MK170" s="1">
        <f t="shared" ca="1" si="778"/>
        <v>7.678455841372779</v>
      </c>
      <c r="ML170" s="1">
        <f t="shared" ca="1" si="778"/>
        <v>7.7033299003673505</v>
      </c>
      <c r="MM170" s="1">
        <f t="shared" ca="1" si="778"/>
        <v>7.7282845379083964</v>
      </c>
      <c r="MN170" s="1">
        <f t="shared" ca="1" si="778"/>
        <v>7.7533200150269836</v>
      </c>
      <c r="MO170" s="1">
        <f t="shared" ca="1" si="778"/>
        <v>7.7784365935997783</v>
      </c>
      <c r="MP170" s="1">
        <f t="shared" ca="1" si="778"/>
        <v>7.8036345363517867</v>
      </c>
      <c r="MQ170" s="1">
        <f t="shared" ca="1" si="778"/>
        <v>7.8289141068591022</v>
      </c>
      <c r="MR170" s="1">
        <f t="shared" ca="1" si="778"/>
        <v>7.8542755695516631</v>
      </c>
      <c r="MS170" s="1">
        <f t="shared" ca="1" si="778"/>
        <v>7.8797191897160168</v>
      </c>
      <c r="MT170" s="1">
        <f t="shared" ca="1" si="778"/>
        <v>7.905245233498098</v>
      </c>
      <c r="MU170" s="1">
        <f t="shared" ca="1" si="778"/>
        <v>7.9308539679060095</v>
      </c>
      <c r="MV170" s="1">
        <f t="shared" ca="1" si="778"/>
        <v>7.9565456608128162</v>
      </c>
      <c r="MW170" s="1">
        <f t="shared" ca="1" si="778"/>
        <v>7.9823205809593487</v>
      </c>
      <c r="MX170" s="1">
        <f t="shared" ca="1" si="778"/>
        <v>8.0081789979570122</v>
      </c>
      <c r="MY170" s="1">
        <f t="shared" ca="1" si="778"/>
        <v>8.0341211822906082</v>
      </c>
      <c r="MZ170" s="1">
        <f t="shared" ca="1" si="778"/>
        <v>8.0601474053211639</v>
      </c>
      <c r="NA170" s="1">
        <f t="shared" ca="1" si="778"/>
        <v>8.0862579392887675</v>
      </c>
      <c r="NB170" s="1">
        <f t="shared" ca="1" si="778"/>
        <v>8.1124530573154185</v>
      </c>
      <c r="NC170" s="1">
        <f t="shared" ca="1" si="778"/>
        <v>8.1387330334078882</v>
      </c>
      <c r="ND170" s="1">
        <f t="shared" ca="1" si="778"/>
        <v>8.1650981424605789</v>
      </c>
      <c r="NE170" s="1">
        <f t="shared" ca="1" si="778"/>
        <v>8.1915486602584018</v>
      </c>
      <c r="NF170" s="1">
        <f t="shared" ca="1" si="778"/>
        <v>8.2180848634796657</v>
      </c>
      <c r="NG170" s="1">
        <f t="shared" ca="1" si="778"/>
        <v>8.2447070296989668</v>
      </c>
      <c r="NH170" s="1">
        <f t="shared" ca="1" si="778"/>
        <v>8.2714154373900932</v>
      </c>
      <c r="NI170" s="1">
        <f t="shared" ca="1" si="778"/>
        <v>8.2982103659289379</v>
      </c>
      <c r="NJ170" s="1">
        <f t="shared" ca="1" si="778"/>
        <v>8.3250920955964194</v>
      </c>
      <c r="NK170" s="1">
        <f t="shared" ca="1" si="778"/>
        <v>8.3520609075814196</v>
      </c>
      <c r="NL170" s="1">
        <f t="shared" ca="1" si="778"/>
        <v>8.3791170839837168</v>
      </c>
      <c r="NM170" s="1">
        <f t="shared" ca="1" si="778"/>
        <v>8.406260907816943</v>
      </c>
      <c r="NN170" s="1">
        <f t="shared" ca="1" si="778"/>
        <v>8.4334926630115419</v>
      </c>
      <c r="NO170" s="1">
        <f t="shared" ca="1" si="778"/>
        <v>8.4608126344177368</v>
      </c>
      <c r="NP170" s="1">
        <f t="shared" ca="1" si="778"/>
        <v>8.4882211078085135</v>
      </c>
      <c r="NQ170" s="1">
        <f t="shared" ca="1" si="778"/>
        <v>8.5157183698826096</v>
      </c>
      <c r="NR170" s="1">
        <f t="shared" ca="1" si="778"/>
        <v>8.5433047082675095</v>
      </c>
      <c r="NS170" s="1">
        <f t="shared" ca="1" si="778"/>
        <v>8.5709804115224575</v>
      </c>
      <c r="NT170" s="1">
        <f t="shared" ca="1" si="778"/>
        <v>8.5987457691414715</v>
      </c>
      <c r="NU170" s="1">
        <f t="shared" ca="1" si="778"/>
        <v>8.6266010715563795</v>
      </c>
      <c r="NV170" s="1">
        <f t="shared" ca="1" si="778"/>
        <v>8.6545466101398461</v>
      </c>
      <c r="NW170" s="1">
        <f t="shared" ca="1" si="778"/>
        <v>8.6825826772084298</v>
      </c>
      <c r="NX170" s="1">
        <f t="shared" ca="1" si="778"/>
        <v>8.7107095660256366</v>
      </c>
      <c r="NY170" s="1">
        <f t="shared" ca="1" si="778"/>
        <v>8.7389275708049894</v>
      </c>
      <c r="NZ170" s="1">
        <f t="shared" ca="1" si="778"/>
        <v>8.767236986713101</v>
      </c>
      <c r="OA170" s="1">
        <f t="shared" ref="OA170:QL170" ca="1" si="779">NZ170*(1+OA85)</f>
        <v>8.795638109872769</v>
      </c>
      <c r="OB170" s="1">
        <f t="shared" ca="1" si="779"/>
        <v>8.8241312373660659</v>
      </c>
      <c r="OC170" s="1">
        <f t="shared" ca="1" si="779"/>
        <v>8.8527166672374502</v>
      </c>
      <c r="OD170" s="1">
        <f t="shared" ca="1" si="779"/>
        <v>8.8813946984968872</v>
      </c>
      <c r="OE170" s="1">
        <f t="shared" ca="1" si="779"/>
        <v>8.91016563112297</v>
      </c>
      <c r="OF170" s="1">
        <f t="shared" ca="1" si="779"/>
        <v>8.9390297660660618</v>
      </c>
      <c r="OG170" s="1">
        <f t="shared" ca="1" si="779"/>
        <v>8.9679874052514439</v>
      </c>
      <c r="OH170" s="1">
        <f t="shared" ca="1" si="779"/>
        <v>8.9970388515824702</v>
      </c>
      <c r="OI170" s="1">
        <f t="shared" ca="1" si="779"/>
        <v>9.0261844089437417</v>
      </c>
      <c r="OJ170" s="1">
        <f t="shared" ca="1" si="779"/>
        <v>9.0554243822042775</v>
      </c>
      <c r="OK170" s="1">
        <f t="shared" ca="1" si="779"/>
        <v>9.0847590772207116</v>
      </c>
      <c r="OL170" s="1">
        <f t="shared" ca="1" si="779"/>
        <v>9.1141888008404877</v>
      </c>
      <c r="OM170" s="1">
        <f t="shared" ca="1" si="779"/>
        <v>9.1437138609050699</v>
      </c>
      <c r="ON170" s="1">
        <f t="shared" ca="1" si="779"/>
        <v>9.1733345662531622</v>
      </c>
      <c r="OO170" s="1">
        <f t="shared" ca="1" si="779"/>
        <v>9.2030512267239395</v>
      </c>
      <c r="OP170" s="1">
        <f t="shared" ca="1" si="779"/>
        <v>9.2328641531602873</v>
      </c>
      <c r="OQ170" s="1">
        <f t="shared" ca="1" si="779"/>
        <v>9.2627736574120583</v>
      </c>
      <c r="OR170" s="1">
        <f t="shared" ca="1" si="779"/>
        <v>9.292780052339328</v>
      </c>
      <c r="OS170" s="1">
        <f t="shared" ca="1" si="779"/>
        <v>9.3228836518156708</v>
      </c>
      <c r="OT170" s="1">
        <f t="shared" ca="1" si="779"/>
        <v>9.3530847707314422</v>
      </c>
      <c r="OU170" s="1">
        <f t="shared" ca="1" si="779"/>
        <v>9.3833837249970706</v>
      </c>
      <c r="OV170" s="1">
        <f t="shared" ca="1" si="779"/>
        <v>9.4137808315463687</v>
      </c>
      <c r="OW170" s="1">
        <f t="shared" ca="1" si="779"/>
        <v>9.4442764083398387</v>
      </c>
      <c r="OX170" s="1">
        <f t="shared" ca="1" si="779"/>
        <v>9.4748707743680072</v>
      </c>
      <c r="OY170" s="1">
        <f t="shared" ca="1" si="779"/>
        <v>9.505564249654757</v>
      </c>
      <c r="OZ170" s="1">
        <f t="shared" ca="1" si="779"/>
        <v>9.5363571552606761</v>
      </c>
      <c r="PA170" s="1">
        <f t="shared" ca="1" si="779"/>
        <v>9.5672498132864146</v>
      </c>
      <c r="PB170" s="1">
        <f t="shared" ca="1" si="779"/>
        <v>9.5982425468760564</v>
      </c>
      <c r="PC170" s="1">
        <f t="shared" ca="1" si="779"/>
        <v>9.6293356802204979</v>
      </c>
      <c r="PD170" s="1">
        <f t="shared" ca="1" si="779"/>
        <v>9.6605295385608372</v>
      </c>
      <c r="PE170" s="1">
        <f t="shared" ca="1" si="779"/>
        <v>9.6918244481917828</v>
      </c>
      <c r="PF170" s="1">
        <f t="shared" ca="1" si="779"/>
        <v>9.7232207364650591</v>
      </c>
      <c r="PG170" s="1">
        <f t="shared" ca="1" si="779"/>
        <v>9.754718731792833</v>
      </c>
      <c r="PH170" s="1">
        <f t="shared" ca="1" si="779"/>
        <v>9.7863187636511508</v>
      </c>
      <c r="PI170" s="1">
        <f t="shared" ca="1" si="779"/>
        <v>9.8180211625833849</v>
      </c>
      <c r="PJ170" s="1">
        <f t="shared" ca="1" si="779"/>
        <v>9.8498262602036881</v>
      </c>
      <c r="PK170" s="1">
        <f t="shared" ca="1" si="779"/>
        <v>9.8817343892004672</v>
      </c>
      <c r="PL170" s="1">
        <f t="shared" ca="1" si="779"/>
        <v>9.9137458833398568</v>
      </c>
      <c r="PM170" s="1">
        <f t="shared" ca="1" si="779"/>
        <v>9.945861077469214</v>
      </c>
      <c r="PN170" s="1">
        <f t="shared" ca="1" si="779"/>
        <v>9.9780803075206244</v>
      </c>
      <c r="PO170" s="1">
        <f t="shared" ca="1" si="779"/>
        <v>10.010403910514409</v>
      </c>
      <c r="PP170" s="1">
        <f t="shared" ca="1" si="779"/>
        <v>10.042832224562655</v>
      </c>
      <c r="PQ170" s="1">
        <f t="shared" ca="1" si="779"/>
        <v>10.075365588872751</v>
      </c>
      <c r="PR170" s="1">
        <f t="shared" ca="1" si="779"/>
        <v>10.108004343750931</v>
      </c>
      <c r="PS170" s="1">
        <f t="shared" ca="1" si="779"/>
        <v>10.140748830605842</v>
      </c>
      <c r="PT170" s="1">
        <f t="shared" ca="1" si="779"/>
        <v>10.173599391952109</v>
      </c>
      <c r="PU170" s="1">
        <f t="shared" ca="1" si="779"/>
        <v>10.206556371413921</v>
      </c>
      <c r="PV170" s="1">
        <f t="shared" ca="1" si="779"/>
        <v>10.239620113728623</v>
      </c>
      <c r="PW170" s="1">
        <f t="shared" ca="1" si="779"/>
        <v>10.272790964750325</v>
      </c>
      <c r="PX170" s="1">
        <f t="shared" ca="1" si="779"/>
        <v>10.306069271453515</v>
      </c>
      <c r="PY170" s="1">
        <f t="shared" ca="1" si="779"/>
        <v>10.339455381936693</v>
      </c>
      <c r="PZ170" s="1">
        <f t="shared" ca="1" si="779"/>
        <v>10.372949645426012</v>
      </c>
      <c r="QA170" s="1">
        <f t="shared" ca="1" si="779"/>
        <v>10.406552412278925</v>
      </c>
      <c r="QB170" s="1">
        <f t="shared" ca="1" si="779"/>
        <v>10.440264033987861</v>
      </c>
      <c r="QC170" s="1">
        <f t="shared" ca="1" si="779"/>
        <v>10.47408486318389</v>
      </c>
      <c r="QD170" s="1">
        <f t="shared" ca="1" si="779"/>
        <v>10.508015253640417</v>
      </c>
      <c r="QE170" s="1">
        <f t="shared" ca="1" si="779"/>
        <v>10.542055560276886</v>
      </c>
      <c r="QF170" s="1">
        <f t="shared" ca="1" si="779"/>
        <v>10.576206139162483</v>
      </c>
      <c r="QG170" s="1">
        <f t="shared" ca="1" si="779"/>
        <v>10.610467347519872</v>
      </c>
      <c r="QH170" s="1">
        <f t="shared" ca="1" si="779"/>
        <v>10.644839543728922</v>
      </c>
      <c r="QI170" s="1">
        <f t="shared" ca="1" si="779"/>
        <v>10.679323087330461</v>
      </c>
      <c r="QJ170" s="1">
        <f t="shared" ca="1" si="779"/>
        <v>10.713918339030034</v>
      </c>
      <c r="QK170" s="1">
        <f t="shared" ca="1" si="779"/>
        <v>10.748625660701681</v>
      </c>
      <c r="QL170" s="1">
        <f t="shared" ca="1" si="779"/>
        <v>10.783445415391714</v>
      </c>
      <c r="QM170" s="1">
        <f t="shared" ref="QM170:RR170" ca="1" si="780">QL170*(1+QM85)</f>
        <v>10.818377967322526</v>
      </c>
      <c r="QN170" s="1">
        <f t="shared" ca="1" si="780"/>
        <v>10.853423681896388</v>
      </c>
      <c r="QO170" s="1">
        <f t="shared" ca="1" si="780"/>
        <v>10.88858292569928</v>
      </c>
      <c r="QP170" s="1">
        <f t="shared" ca="1" si="780"/>
        <v>10.923856066504724</v>
      </c>
      <c r="QQ170" s="1">
        <f t="shared" ca="1" si="780"/>
        <v>10.959243473277629</v>
      </c>
      <c r="QR170" s="1">
        <f t="shared" ca="1" si="780"/>
        <v>10.994745516178153</v>
      </c>
      <c r="QS170" s="1">
        <f t="shared" ca="1" si="780"/>
        <v>11.030362566565568</v>
      </c>
      <c r="QT170" s="1">
        <f t="shared" ca="1" si="780"/>
        <v>11.066094997002157</v>
      </c>
      <c r="QU170" s="1">
        <f t="shared" ca="1" si="780"/>
        <v>11.101943181257099</v>
      </c>
      <c r="QV170" s="1">
        <f t="shared" ca="1" si="780"/>
        <v>11.137907494310387</v>
      </c>
      <c r="QW170" s="1">
        <f t="shared" ca="1" si="780"/>
        <v>11.173988312356745</v>
      </c>
      <c r="QX170" s="1">
        <f t="shared" ca="1" si="780"/>
        <v>11.210186012809565</v>
      </c>
      <c r="QY170" s="1">
        <f t="shared" ca="1" si="780"/>
        <v>11.246500974304857</v>
      </c>
      <c r="QZ170" s="1">
        <f t="shared" ca="1" si="780"/>
        <v>11.282933576705204</v>
      </c>
      <c r="RA170" s="1">
        <f t="shared" ca="1" si="780"/>
        <v>11.319484201103746</v>
      </c>
      <c r="RB170" s="1">
        <f t="shared" ca="1" si="780"/>
        <v>11.356153229828152</v>
      </c>
      <c r="RC170" s="1">
        <f t="shared" ca="1" si="780"/>
        <v>11.39294104644463</v>
      </c>
      <c r="RD170" s="1">
        <f t="shared" ca="1" si="780"/>
        <v>11.429848035761935</v>
      </c>
      <c r="RE170" s="1">
        <f t="shared" ca="1" si="780"/>
        <v>11.466874583835397</v>
      </c>
      <c r="RF170" s="1">
        <f t="shared" ca="1" si="780"/>
        <v>11.504021077970952</v>
      </c>
      <c r="RG170" s="1">
        <f t="shared" ca="1" si="780"/>
        <v>11.541287906729206</v>
      </c>
      <c r="RH170" s="1">
        <f t="shared" ca="1" si="780"/>
        <v>11.578675459929485</v>
      </c>
      <c r="RI170" s="1">
        <f t="shared" ca="1" si="780"/>
        <v>11.616184128653924</v>
      </c>
      <c r="RJ170" s="1">
        <f t="shared" ca="1" si="780"/>
        <v>11.653814305251551</v>
      </c>
      <c r="RK170" s="1">
        <f t="shared" ca="1" si="780"/>
        <v>11.691566383342396</v>
      </c>
      <c r="RL170" s="1">
        <f t="shared" ca="1" si="780"/>
        <v>11.729440757821603</v>
      </c>
      <c r="RM170" s="1">
        <f t="shared" ca="1" si="780"/>
        <v>11.767437824863565</v>
      </c>
      <c r="RN170" s="1">
        <f t="shared" ca="1" si="780"/>
        <v>11.805557981926066</v>
      </c>
      <c r="RO170" s="1">
        <f t="shared" ca="1" si="780"/>
        <v>11.84380162775444</v>
      </c>
      <c r="RP170" s="1">
        <f t="shared" ca="1" si="780"/>
        <v>11.882169162385738</v>
      </c>
      <c r="RQ170" s="1">
        <f t="shared" ca="1" si="780"/>
        <v>11.920660987152919</v>
      </c>
      <c r="RR170" s="1">
        <f t="shared" ca="1" si="780"/>
        <v>11.959277504689044</v>
      </c>
    </row>
    <row r="198" spans="1:486" s="154" customFormat="1"/>
    <row r="199" spans="1:486">
      <c r="A199" t="s">
        <v>356</v>
      </c>
    </row>
    <row r="200" spans="1:486">
      <c r="E200" s="2">
        <f>E65</f>
        <v>42156</v>
      </c>
      <c r="F200" s="2">
        <f t="shared" ref="F200:L200" si="781">F65</f>
        <v>42186</v>
      </c>
      <c r="G200" s="2">
        <f t="shared" si="781"/>
        <v>42217</v>
      </c>
      <c r="H200" s="2">
        <f t="shared" si="781"/>
        <v>42248</v>
      </c>
      <c r="I200" s="2">
        <f t="shared" si="781"/>
        <v>42278</v>
      </c>
      <c r="J200" s="2">
        <f t="shared" si="781"/>
        <v>42309</v>
      </c>
      <c r="K200" s="2">
        <f t="shared" si="781"/>
        <v>42339</v>
      </c>
      <c r="L200" s="2">
        <f t="shared" si="781"/>
        <v>42370</v>
      </c>
      <c r="M200" s="2">
        <f t="shared" ref="M200:BX200" si="782">M65</f>
        <v>42401</v>
      </c>
      <c r="N200" s="2">
        <f t="shared" si="782"/>
        <v>42430</v>
      </c>
      <c r="O200" s="2">
        <f t="shared" si="782"/>
        <v>42461</v>
      </c>
      <c r="P200" s="2">
        <f t="shared" si="782"/>
        <v>42491</v>
      </c>
      <c r="Q200" s="2">
        <f t="shared" si="782"/>
        <v>42522</v>
      </c>
      <c r="R200" s="2">
        <f t="shared" si="782"/>
        <v>42552</v>
      </c>
      <c r="S200" s="2">
        <f t="shared" si="782"/>
        <v>42583</v>
      </c>
      <c r="T200" s="2">
        <f t="shared" si="782"/>
        <v>42614</v>
      </c>
      <c r="U200" s="2">
        <f t="shared" si="782"/>
        <v>42644</v>
      </c>
      <c r="V200" s="2">
        <f t="shared" si="782"/>
        <v>42675</v>
      </c>
      <c r="W200" s="2">
        <f t="shared" si="782"/>
        <v>42705</v>
      </c>
      <c r="X200" s="2">
        <f t="shared" si="782"/>
        <v>42736</v>
      </c>
      <c r="Y200" s="2">
        <f t="shared" si="782"/>
        <v>42767</v>
      </c>
      <c r="Z200" s="2">
        <f t="shared" si="782"/>
        <v>42795</v>
      </c>
      <c r="AA200" s="2">
        <f t="shared" si="782"/>
        <v>42826</v>
      </c>
      <c r="AB200" s="2">
        <f t="shared" si="782"/>
        <v>42856</v>
      </c>
      <c r="AC200" s="2">
        <f t="shared" si="782"/>
        <v>42887</v>
      </c>
      <c r="AD200" s="2">
        <f t="shared" si="782"/>
        <v>42917</v>
      </c>
      <c r="AE200" s="2">
        <f t="shared" si="782"/>
        <v>42948</v>
      </c>
      <c r="AF200" s="2">
        <f t="shared" si="782"/>
        <v>42979</v>
      </c>
      <c r="AG200" s="2">
        <f t="shared" si="782"/>
        <v>43009</v>
      </c>
      <c r="AH200" s="2">
        <f t="shared" si="782"/>
        <v>43040</v>
      </c>
      <c r="AI200" s="2">
        <f t="shared" si="782"/>
        <v>43070</v>
      </c>
      <c r="AJ200" s="2">
        <f t="shared" si="782"/>
        <v>43101</v>
      </c>
      <c r="AK200" s="2">
        <f t="shared" si="782"/>
        <v>43132</v>
      </c>
      <c r="AL200" s="2">
        <f t="shared" si="782"/>
        <v>43160</v>
      </c>
      <c r="AM200" s="2">
        <f t="shared" si="782"/>
        <v>43191</v>
      </c>
      <c r="AN200" s="2">
        <f t="shared" si="782"/>
        <v>43221</v>
      </c>
      <c r="AO200" s="2">
        <f t="shared" si="782"/>
        <v>43252</v>
      </c>
      <c r="AP200" s="2">
        <f t="shared" si="782"/>
        <v>43282</v>
      </c>
      <c r="AQ200" s="2">
        <f t="shared" si="782"/>
        <v>43313</v>
      </c>
      <c r="AR200" s="2">
        <f t="shared" si="782"/>
        <v>43344</v>
      </c>
      <c r="AS200" s="2">
        <f t="shared" si="782"/>
        <v>43374</v>
      </c>
      <c r="AT200" s="2">
        <f t="shared" si="782"/>
        <v>43405</v>
      </c>
      <c r="AU200" s="2">
        <f t="shared" si="782"/>
        <v>43435</v>
      </c>
      <c r="AV200" s="2">
        <f t="shared" si="782"/>
        <v>43466</v>
      </c>
      <c r="AW200" s="2">
        <f t="shared" si="782"/>
        <v>43497</v>
      </c>
      <c r="AX200" s="2">
        <f t="shared" si="782"/>
        <v>43525</v>
      </c>
      <c r="AY200" s="2">
        <f t="shared" si="782"/>
        <v>43556</v>
      </c>
      <c r="AZ200" s="2">
        <f t="shared" si="782"/>
        <v>43586</v>
      </c>
      <c r="BA200" s="2">
        <f t="shared" si="782"/>
        <v>43617</v>
      </c>
      <c r="BB200" s="2">
        <f t="shared" si="782"/>
        <v>43647</v>
      </c>
      <c r="BC200" s="2">
        <f t="shared" si="782"/>
        <v>43678</v>
      </c>
      <c r="BD200" s="2">
        <f t="shared" si="782"/>
        <v>43709</v>
      </c>
      <c r="BE200" s="2">
        <f t="shared" si="782"/>
        <v>43739</v>
      </c>
      <c r="BF200" s="2">
        <f t="shared" si="782"/>
        <v>43770</v>
      </c>
      <c r="BG200" s="2">
        <f t="shared" si="782"/>
        <v>43800</v>
      </c>
      <c r="BH200" s="2">
        <f t="shared" si="782"/>
        <v>43831</v>
      </c>
      <c r="BI200" s="2">
        <f t="shared" si="782"/>
        <v>43862</v>
      </c>
      <c r="BJ200" s="2">
        <f t="shared" si="782"/>
        <v>43891</v>
      </c>
      <c r="BK200" s="2">
        <f t="shared" si="782"/>
        <v>43922</v>
      </c>
      <c r="BL200" s="2">
        <f t="shared" si="782"/>
        <v>43952</v>
      </c>
      <c r="BM200" s="2">
        <f t="shared" si="782"/>
        <v>43983</v>
      </c>
      <c r="BN200" s="2">
        <f t="shared" si="782"/>
        <v>44013</v>
      </c>
      <c r="BO200" s="2">
        <f t="shared" si="782"/>
        <v>44044</v>
      </c>
      <c r="BP200" s="2">
        <f t="shared" si="782"/>
        <v>44075</v>
      </c>
      <c r="BQ200" s="2">
        <f t="shared" si="782"/>
        <v>44105</v>
      </c>
      <c r="BR200" s="2">
        <f t="shared" si="782"/>
        <v>44136</v>
      </c>
      <c r="BS200" s="2">
        <f t="shared" si="782"/>
        <v>44166</v>
      </c>
      <c r="BT200" s="2">
        <f t="shared" si="782"/>
        <v>44197</v>
      </c>
      <c r="BU200" s="2">
        <f t="shared" si="782"/>
        <v>44228</v>
      </c>
      <c r="BV200" s="2">
        <f t="shared" si="782"/>
        <v>44256</v>
      </c>
      <c r="BW200" s="2">
        <f t="shared" si="782"/>
        <v>44287</v>
      </c>
      <c r="BX200" s="2">
        <f t="shared" si="782"/>
        <v>44317</v>
      </c>
      <c r="BY200" s="2">
        <f t="shared" ref="BY200:EJ200" si="783">BY65</f>
        <v>44348</v>
      </c>
      <c r="BZ200" s="2">
        <f t="shared" si="783"/>
        <v>44378</v>
      </c>
      <c r="CA200" s="2">
        <f t="shared" si="783"/>
        <v>44409</v>
      </c>
      <c r="CB200" s="2">
        <f t="shared" si="783"/>
        <v>44440</v>
      </c>
      <c r="CC200" s="2">
        <f t="shared" si="783"/>
        <v>44470</v>
      </c>
      <c r="CD200" s="2">
        <f t="shared" si="783"/>
        <v>44501</v>
      </c>
      <c r="CE200" s="2">
        <f t="shared" si="783"/>
        <v>44531</v>
      </c>
      <c r="CF200" s="2">
        <f t="shared" si="783"/>
        <v>44562</v>
      </c>
      <c r="CG200" s="2">
        <f t="shared" si="783"/>
        <v>44593</v>
      </c>
      <c r="CH200" s="2">
        <f t="shared" si="783"/>
        <v>44621</v>
      </c>
      <c r="CI200" s="2">
        <f t="shared" si="783"/>
        <v>44652</v>
      </c>
      <c r="CJ200" s="2">
        <f t="shared" si="783"/>
        <v>44682</v>
      </c>
      <c r="CK200" s="2">
        <f t="shared" si="783"/>
        <v>44713</v>
      </c>
      <c r="CL200" s="2">
        <f t="shared" si="783"/>
        <v>44743</v>
      </c>
      <c r="CM200" s="2">
        <f t="shared" si="783"/>
        <v>44774</v>
      </c>
      <c r="CN200" s="2">
        <f t="shared" si="783"/>
        <v>44805</v>
      </c>
      <c r="CO200" s="2">
        <f t="shared" si="783"/>
        <v>44835</v>
      </c>
      <c r="CP200" s="2">
        <f t="shared" si="783"/>
        <v>44866</v>
      </c>
      <c r="CQ200" s="2">
        <f t="shared" si="783"/>
        <v>44896</v>
      </c>
      <c r="CR200" s="2">
        <f t="shared" si="783"/>
        <v>44927</v>
      </c>
      <c r="CS200" s="2">
        <f t="shared" si="783"/>
        <v>44958</v>
      </c>
      <c r="CT200" s="2">
        <f t="shared" si="783"/>
        <v>44986</v>
      </c>
      <c r="CU200" s="2">
        <f t="shared" si="783"/>
        <v>45017</v>
      </c>
      <c r="CV200" s="2">
        <f t="shared" si="783"/>
        <v>45047</v>
      </c>
      <c r="CW200" s="2">
        <f t="shared" si="783"/>
        <v>45078</v>
      </c>
      <c r="CX200" s="2">
        <f t="shared" si="783"/>
        <v>45108</v>
      </c>
      <c r="CY200" s="2">
        <f t="shared" si="783"/>
        <v>45139</v>
      </c>
      <c r="CZ200" s="2">
        <f t="shared" si="783"/>
        <v>45170</v>
      </c>
      <c r="DA200" s="2">
        <f t="shared" si="783"/>
        <v>45200</v>
      </c>
      <c r="DB200" s="2">
        <f t="shared" si="783"/>
        <v>45231</v>
      </c>
      <c r="DC200" s="2">
        <f t="shared" si="783"/>
        <v>45261</v>
      </c>
      <c r="DD200" s="2">
        <f t="shared" si="783"/>
        <v>45292</v>
      </c>
      <c r="DE200" s="2">
        <f t="shared" si="783"/>
        <v>45323</v>
      </c>
      <c r="DF200" s="2">
        <f t="shared" si="783"/>
        <v>45352</v>
      </c>
      <c r="DG200" s="2">
        <f t="shared" si="783"/>
        <v>45383</v>
      </c>
      <c r="DH200" s="2">
        <f t="shared" si="783"/>
        <v>45413</v>
      </c>
      <c r="DI200" s="2">
        <f t="shared" si="783"/>
        <v>45444</v>
      </c>
      <c r="DJ200" s="2">
        <f t="shared" si="783"/>
        <v>45474</v>
      </c>
      <c r="DK200" s="2">
        <f t="shared" si="783"/>
        <v>45505</v>
      </c>
      <c r="DL200" s="2">
        <f t="shared" si="783"/>
        <v>45536</v>
      </c>
      <c r="DM200" s="2">
        <f t="shared" si="783"/>
        <v>45566</v>
      </c>
      <c r="DN200" s="2">
        <f t="shared" si="783"/>
        <v>45597</v>
      </c>
      <c r="DO200" s="2">
        <f t="shared" si="783"/>
        <v>45627</v>
      </c>
      <c r="DP200" s="2">
        <f t="shared" si="783"/>
        <v>45658</v>
      </c>
      <c r="DQ200" s="2">
        <f t="shared" si="783"/>
        <v>45689</v>
      </c>
      <c r="DR200" s="2">
        <f t="shared" si="783"/>
        <v>45717</v>
      </c>
      <c r="DS200" s="2">
        <f t="shared" si="783"/>
        <v>45748</v>
      </c>
      <c r="DT200" s="2">
        <f t="shared" si="783"/>
        <v>45778</v>
      </c>
      <c r="DU200" s="2">
        <f t="shared" si="783"/>
        <v>45809</v>
      </c>
      <c r="DV200" s="2">
        <f t="shared" si="783"/>
        <v>45839</v>
      </c>
      <c r="DW200" s="2">
        <f t="shared" si="783"/>
        <v>45870</v>
      </c>
      <c r="DX200" s="2">
        <f t="shared" si="783"/>
        <v>45901</v>
      </c>
      <c r="DY200" s="2">
        <f t="shared" si="783"/>
        <v>45931</v>
      </c>
      <c r="DZ200" s="2">
        <f t="shared" si="783"/>
        <v>45962</v>
      </c>
      <c r="EA200" s="2">
        <f t="shared" si="783"/>
        <v>45992</v>
      </c>
      <c r="EB200" s="2">
        <f t="shared" si="783"/>
        <v>46023</v>
      </c>
      <c r="EC200" s="2">
        <f t="shared" si="783"/>
        <v>46054</v>
      </c>
      <c r="ED200" s="2">
        <f t="shared" si="783"/>
        <v>46082</v>
      </c>
      <c r="EE200" s="2">
        <f t="shared" si="783"/>
        <v>46113</v>
      </c>
      <c r="EF200" s="2">
        <f t="shared" si="783"/>
        <v>46143</v>
      </c>
      <c r="EG200" s="2">
        <f t="shared" si="783"/>
        <v>46174</v>
      </c>
      <c r="EH200" s="2">
        <f t="shared" si="783"/>
        <v>46204</v>
      </c>
      <c r="EI200" s="2">
        <f t="shared" si="783"/>
        <v>46235</v>
      </c>
      <c r="EJ200" s="2">
        <f t="shared" si="783"/>
        <v>46266</v>
      </c>
      <c r="EK200" s="2">
        <f t="shared" ref="EK200:GV200" si="784">EK65</f>
        <v>46296</v>
      </c>
      <c r="EL200" s="2">
        <f t="shared" si="784"/>
        <v>46327</v>
      </c>
      <c r="EM200" s="2">
        <f t="shared" si="784"/>
        <v>46357</v>
      </c>
      <c r="EN200" s="2">
        <f t="shared" si="784"/>
        <v>46388</v>
      </c>
      <c r="EO200" s="2">
        <f t="shared" si="784"/>
        <v>46419</v>
      </c>
      <c r="EP200" s="2">
        <f t="shared" si="784"/>
        <v>46447</v>
      </c>
      <c r="EQ200" s="2">
        <f t="shared" si="784"/>
        <v>46478</v>
      </c>
      <c r="ER200" s="2">
        <f t="shared" si="784"/>
        <v>46508</v>
      </c>
      <c r="ES200" s="2">
        <f t="shared" si="784"/>
        <v>46539</v>
      </c>
      <c r="ET200" s="2">
        <f t="shared" si="784"/>
        <v>46569</v>
      </c>
      <c r="EU200" s="2">
        <f t="shared" si="784"/>
        <v>46600</v>
      </c>
      <c r="EV200" s="2">
        <f t="shared" si="784"/>
        <v>46631</v>
      </c>
      <c r="EW200" s="2">
        <f t="shared" si="784"/>
        <v>46661</v>
      </c>
      <c r="EX200" s="2">
        <f t="shared" si="784"/>
        <v>46692</v>
      </c>
      <c r="EY200" s="2">
        <f t="shared" si="784"/>
        <v>46722</v>
      </c>
      <c r="EZ200" s="2">
        <f t="shared" si="784"/>
        <v>46753</v>
      </c>
      <c r="FA200" s="2">
        <f t="shared" si="784"/>
        <v>46784</v>
      </c>
      <c r="FB200" s="2">
        <f t="shared" si="784"/>
        <v>46813</v>
      </c>
      <c r="FC200" s="2">
        <f t="shared" si="784"/>
        <v>46844</v>
      </c>
      <c r="FD200" s="2">
        <f t="shared" si="784"/>
        <v>46874</v>
      </c>
      <c r="FE200" s="2">
        <f t="shared" si="784"/>
        <v>46905</v>
      </c>
      <c r="FF200" s="2">
        <f t="shared" si="784"/>
        <v>46935</v>
      </c>
      <c r="FG200" s="2">
        <f t="shared" si="784"/>
        <v>46966</v>
      </c>
      <c r="FH200" s="2">
        <f t="shared" si="784"/>
        <v>46997</v>
      </c>
      <c r="FI200" s="2">
        <f t="shared" si="784"/>
        <v>47027</v>
      </c>
      <c r="FJ200" s="2">
        <f t="shared" si="784"/>
        <v>47058</v>
      </c>
      <c r="FK200" s="2">
        <f t="shared" si="784"/>
        <v>47088</v>
      </c>
      <c r="FL200" s="2">
        <f t="shared" si="784"/>
        <v>47119</v>
      </c>
      <c r="FM200" s="2">
        <f t="shared" si="784"/>
        <v>47150</v>
      </c>
      <c r="FN200" s="2">
        <f t="shared" si="784"/>
        <v>47178</v>
      </c>
      <c r="FO200" s="2">
        <f t="shared" si="784"/>
        <v>47209</v>
      </c>
      <c r="FP200" s="2">
        <f t="shared" si="784"/>
        <v>47239</v>
      </c>
      <c r="FQ200" s="2">
        <f t="shared" si="784"/>
        <v>47270</v>
      </c>
      <c r="FR200" s="2">
        <f t="shared" si="784"/>
        <v>47300</v>
      </c>
      <c r="FS200" s="2">
        <f t="shared" si="784"/>
        <v>47331</v>
      </c>
      <c r="FT200" s="2">
        <f t="shared" si="784"/>
        <v>47362</v>
      </c>
      <c r="FU200" s="2">
        <f t="shared" si="784"/>
        <v>47392</v>
      </c>
      <c r="FV200" s="2">
        <f t="shared" si="784"/>
        <v>47423</v>
      </c>
      <c r="FW200" s="2">
        <f t="shared" si="784"/>
        <v>47453</v>
      </c>
      <c r="FX200" s="2">
        <f t="shared" si="784"/>
        <v>47484</v>
      </c>
      <c r="FY200" s="2">
        <f t="shared" si="784"/>
        <v>47515</v>
      </c>
      <c r="FZ200" s="2">
        <f t="shared" si="784"/>
        <v>47543</v>
      </c>
      <c r="GA200" s="2">
        <f t="shared" si="784"/>
        <v>47574</v>
      </c>
      <c r="GB200" s="2">
        <f t="shared" si="784"/>
        <v>47604</v>
      </c>
      <c r="GC200" s="2">
        <f t="shared" si="784"/>
        <v>47635</v>
      </c>
      <c r="GD200" s="2">
        <f t="shared" si="784"/>
        <v>47665</v>
      </c>
      <c r="GE200" s="2">
        <f t="shared" si="784"/>
        <v>47696</v>
      </c>
      <c r="GF200" s="2">
        <f t="shared" si="784"/>
        <v>47727</v>
      </c>
      <c r="GG200" s="2">
        <f t="shared" si="784"/>
        <v>47757</v>
      </c>
      <c r="GH200" s="2">
        <f t="shared" si="784"/>
        <v>47788</v>
      </c>
      <c r="GI200" s="2">
        <f t="shared" si="784"/>
        <v>47818</v>
      </c>
      <c r="GJ200" s="2">
        <f t="shared" si="784"/>
        <v>47849</v>
      </c>
      <c r="GK200" s="2">
        <f t="shared" si="784"/>
        <v>47880</v>
      </c>
      <c r="GL200" s="2">
        <f t="shared" si="784"/>
        <v>47908</v>
      </c>
      <c r="GM200" s="2">
        <f t="shared" si="784"/>
        <v>47939</v>
      </c>
      <c r="GN200" s="2">
        <f t="shared" si="784"/>
        <v>47969</v>
      </c>
      <c r="GO200" s="2">
        <f t="shared" si="784"/>
        <v>48000</v>
      </c>
      <c r="GP200" s="2">
        <f t="shared" si="784"/>
        <v>48030</v>
      </c>
      <c r="GQ200" s="2">
        <f t="shared" si="784"/>
        <v>48061</v>
      </c>
      <c r="GR200" s="2">
        <f t="shared" si="784"/>
        <v>48092</v>
      </c>
      <c r="GS200" s="2">
        <f t="shared" si="784"/>
        <v>48122</v>
      </c>
      <c r="GT200" s="2">
        <f t="shared" si="784"/>
        <v>48153</v>
      </c>
      <c r="GU200" s="2">
        <f t="shared" si="784"/>
        <v>48183</v>
      </c>
      <c r="GV200" s="2">
        <f t="shared" si="784"/>
        <v>48214</v>
      </c>
      <c r="GW200" s="2">
        <f t="shared" ref="GW200:JH200" si="785">GW65</f>
        <v>48245</v>
      </c>
      <c r="GX200" s="2">
        <f t="shared" si="785"/>
        <v>48274</v>
      </c>
      <c r="GY200" s="2">
        <f t="shared" si="785"/>
        <v>48305</v>
      </c>
      <c r="GZ200" s="2">
        <f t="shared" si="785"/>
        <v>48335</v>
      </c>
      <c r="HA200" s="2">
        <f t="shared" si="785"/>
        <v>48366</v>
      </c>
      <c r="HB200" s="2">
        <f t="shared" si="785"/>
        <v>48396</v>
      </c>
      <c r="HC200" s="2">
        <f t="shared" si="785"/>
        <v>48427</v>
      </c>
      <c r="HD200" s="2">
        <f t="shared" si="785"/>
        <v>48458</v>
      </c>
      <c r="HE200" s="2">
        <f t="shared" si="785"/>
        <v>48488</v>
      </c>
      <c r="HF200" s="2">
        <f t="shared" si="785"/>
        <v>48519</v>
      </c>
      <c r="HG200" s="2">
        <f t="shared" si="785"/>
        <v>48549</v>
      </c>
      <c r="HH200" s="2">
        <f t="shared" si="785"/>
        <v>48580</v>
      </c>
      <c r="HI200" s="2">
        <f t="shared" si="785"/>
        <v>48611</v>
      </c>
      <c r="HJ200" s="2">
        <f t="shared" si="785"/>
        <v>48639</v>
      </c>
      <c r="HK200" s="2">
        <f t="shared" si="785"/>
        <v>48670</v>
      </c>
      <c r="HL200" s="2">
        <f t="shared" si="785"/>
        <v>48700</v>
      </c>
      <c r="HM200" s="2">
        <f t="shared" si="785"/>
        <v>48731</v>
      </c>
      <c r="HN200" s="2">
        <f t="shared" si="785"/>
        <v>48761</v>
      </c>
      <c r="HO200" s="2">
        <f t="shared" si="785"/>
        <v>48792</v>
      </c>
      <c r="HP200" s="2">
        <f t="shared" si="785"/>
        <v>48823</v>
      </c>
      <c r="HQ200" s="2">
        <f t="shared" si="785"/>
        <v>48853</v>
      </c>
      <c r="HR200" s="2">
        <f t="shared" si="785"/>
        <v>48884</v>
      </c>
      <c r="HS200" s="2">
        <f t="shared" si="785"/>
        <v>48914</v>
      </c>
      <c r="HT200" s="2">
        <f t="shared" si="785"/>
        <v>48945</v>
      </c>
      <c r="HU200" s="2">
        <f t="shared" si="785"/>
        <v>48976</v>
      </c>
      <c r="HV200" s="2">
        <f t="shared" si="785"/>
        <v>49004</v>
      </c>
      <c r="HW200" s="2">
        <f t="shared" si="785"/>
        <v>49035</v>
      </c>
      <c r="HX200" s="2">
        <f t="shared" si="785"/>
        <v>49065</v>
      </c>
      <c r="HY200" s="2">
        <f t="shared" si="785"/>
        <v>49096</v>
      </c>
      <c r="HZ200" s="2">
        <f t="shared" si="785"/>
        <v>49126</v>
      </c>
      <c r="IA200" s="2">
        <f t="shared" si="785"/>
        <v>49157</v>
      </c>
      <c r="IB200" s="2">
        <f t="shared" si="785"/>
        <v>49188</v>
      </c>
      <c r="IC200" s="2">
        <f t="shared" si="785"/>
        <v>49218</v>
      </c>
      <c r="ID200" s="2">
        <f t="shared" si="785"/>
        <v>49249</v>
      </c>
      <c r="IE200" s="2">
        <f t="shared" si="785"/>
        <v>49279</v>
      </c>
      <c r="IF200" s="2">
        <f t="shared" si="785"/>
        <v>49310</v>
      </c>
      <c r="IG200" s="2">
        <f t="shared" si="785"/>
        <v>49341</v>
      </c>
      <c r="IH200" s="2">
        <f t="shared" si="785"/>
        <v>49369</v>
      </c>
      <c r="II200" s="2">
        <f t="shared" si="785"/>
        <v>49400</v>
      </c>
      <c r="IJ200" s="2">
        <f t="shared" si="785"/>
        <v>49430</v>
      </c>
      <c r="IK200" s="2">
        <f t="shared" si="785"/>
        <v>49461</v>
      </c>
      <c r="IL200" s="2">
        <f t="shared" si="785"/>
        <v>49491</v>
      </c>
      <c r="IM200" s="2">
        <f t="shared" si="785"/>
        <v>49522</v>
      </c>
      <c r="IN200" s="2">
        <f t="shared" si="785"/>
        <v>49553</v>
      </c>
      <c r="IO200" s="2">
        <f t="shared" si="785"/>
        <v>49583</v>
      </c>
      <c r="IP200" s="2">
        <f t="shared" si="785"/>
        <v>49614</v>
      </c>
      <c r="IQ200" s="2">
        <f t="shared" si="785"/>
        <v>49644</v>
      </c>
      <c r="IR200" s="2">
        <f t="shared" si="785"/>
        <v>49675</v>
      </c>
      <c r="IS200" s="2">
        <f t="shared" si="785"/>
        <v>49706</v>
      </c>
      <c r="IT200" s="2">
        <f t="shared" si="785"/>
        <v>49735</v>
      </c>
      <c r="IU200" s="2">
        <f t="shared" si="785"/>
        <v>49766</v>
      </c>
      <c r="IV200" s="2">
        <f t="shared" si="785"/>
        <v>49796</v>
      </c>
      <c r="IW200" s="2">
        <f t="shared" si="785"/>
        <v>49827</v>
      </c>
      <c r="IX200" s="2">
        <f t="shared" si="785"/>
        <v>49857</v>
      </c>
      <c r="IY200" s="2">
        <f t="shared" si="785"/>
        <v>49888</v>
      </c>
      <c r="IZ200" s="2">
        <f t="shared" si="785"/>
        <v>49919</v>
      </c>
      <c r="JA200" s="2">
        <f t="shared" si="785"/>
        <v>49949</v>
      </c>
      <c r="JB200" s="2">
        <f t="shared" si="785"/>
        <v>49980</v>
      </c>
      <c r="JC200" s="2">
        <f t="shared" si="785"/>
        <v>50010</v>
      </c>
      <c r="JD200" s="2">
        <f t="shared" si="785"/>
        <v>50041</v>
      </c>
      <c r="JE200" s="2">
        <f t="shared" si="785"/>
        <v>50072</v>
      </c>
      <c r="JF200" s="2">
        <f t="shared" si="785"/>
        <v>50100</v>
      </c>
      <c r="JG200" s="2">
        <f t="shared" si="785"/>
        <v>50131</v>
      </c>
      <c r="JH200" s="2">
        <f t="shared" si="785"/>
        <v>50161</v>
      </c>
      <c r="JI200" s="2">
        <f t="shared" ref="JI200:LT200" si="786">JI65</f>
        <v>50192</v>
      </c>
      <c r="JJ200" s="2">
        <f t="shared" si="786"/>
        <v>50222</v>
      </c>
      <c r="JK200" s="2">
        <f t="shared" si="786"/>
        <v>50253</v>
      </c>
      <c r="JL200" s="2">
        <f t="shared" si="786"/>
        <v>50284</v>
      </c>
      <c r="JM200" s="2">
        <f t="shared" si="786"/>
        <v>50314</v>
      </c>
      <c r="JN200" s="2">
        <f t="shared" si="786"/>
        <v>50345</v>
      </c>
      <c r="JO200" s="2">
        <f t="shared" si="786"/>
        <v>50375</v>
      </c>
      <c r="JP200" s="2">
        <f t="shared" si="786"/>
        <v>50406</v>
      </c>
      <c r="JQ200" s="2">
        <f t="shared" si="786"/>
        <v>50437</v>
      </c>
      <c r="JR200" s="2">
        <f t="shared" si="786"/>
        <v>50465</v>
      </c>
      <c r="JS200" s="2">
        <f t="shared" si="786"/>
        <v>50496</v>
      </c>
      <c r="JT200" s="2">
        <f t="shared" si="786"/>
        <v>50526</v>
      </c>
      <c r="JU200" s="2">
        <f t="shared" si="786"/>
        <v>50557</v>
      </c>
      <c r="JV200" s="2">
        <f t="shared" si="786"/>
        <v>50587</v>
      </c>
      <c r="JW200" s="2">
        <f t="shared" si="786"/>
        <v>50618</v>
      </c>
      <c r="JX200" s="2">
        <f t="shared" si="786"/>
        <v>50649</v>
      </c>
      <c r="JY200" s="2">
        <f t="shared" si="786"/>
        <v>50679</v>
      </c>
      <c r="JZ200" s="2">
        <f t="shared" si="786"/>
        <v>50710</v>
      </c>
      <c r="KA200" s="2">
        <f t="shared" si="786"/>
        <v>50740</v>
      </c>
      <c r="KB200" s="2">
        <f t="shared" si="786"/>
        <v>50771</v>
      </c>
      <c r="KC200" s="2">
        <f t="shared" si="786"/>
        <v>50802</v>
      </c>
      <c r="KD200" s="2">
        <f t="shared" si="786"/>
        <v>50830</v>
      </c>
      <c r="KE200" s="2">
        <f t="shared" si="786"/>
        <v>50861</v>
      </c>
      <c r="KF200" s="2">
        <f t="shared" si="786"/>
        <v>50891</v>
      </c>
      <c r="KG200" s="2">
        <f t="shared" si="786"/>
        <v>50922</v>
      </c>
      <c r="KH200" s="2">
        <f t="shared" si="786"/>
        <v>50952</v>
      </c>
      <c r="KI200" s="2">
        <f t="shared" si="786"/>
        <v>50983</v>
      </c>
      <c r="KJ200" s="2">
        <f t="shared" si="786"/>
        <v>51014</v>
      </c>
      <c r="KK200" s="2">
        <f t="shared" si="786"/>
        <v>51044</v>
      </c>
      <c r="KL200" s="2">
        <f t="shared" si="786"/>
        <v>51075</v>
      </c>
      <c r="KM200" s="2">
        <f t="shared" si="786"/>
        <v>51105</v>
      </c>
      <c r="KN200" s="2">
        <f t="shared" si="786"/>
        <v>51136</v>
      </c>
      <c r="KO200" s="2">
        <f t="shared" si="786"/>
        <v>51167</v>
      </c>
      <c r="KP200" s="2">
        <f t="shared" si="786"/>
        <v>51196</v>
      </c>
      <c r="KQ200" s="2">
        <f t="shared" si="786"/>
        <v>51227</v>
      </c>
      <c r="KR200" s="2">
        <f t="shared" si="786"/>
        <v>51257</v>
      </c>
      <c r="KS200" s="2">
        <f t="shared" si="786"/>
        <v>51288</v>
      </c>
      <c r="KT200" s="2">
        <f t="shared" si="786"/>
        <v>51318</v>
      </c>
      <c r="KU200" s="2">
        <f t="shared" si="786"/>
        <v>51349</v>
      </c>
      <c r="KV200" s="2">
        <f t="shared" si="786"/>
        <v>51380</v>
      </c>
      <c r="KW200" s="2">
        <f t="shared" si="786"/>
        <v>51410</v>
      </c>
      <c r="KX200" s="2">
        <f t="shared" si="786"/>
        <v>51441</v>
      </c>
      <c r="KY200" s="2">
        <f t="shared" si="786"/>
        <v>51471</v>
      </c>
      <c r="KZ200" s="2">
        <f t="shared" si="786"/>
        <v>51502</v>
      </c>
      <c r="LA200" s="2">
        <f t="shared" si="786"/>
        <v>51533</v>
      </c>
      <c r="LB200" s="2">
        <f t="shared" si="786"/>
        <v>51561</v>
      </c>
      <c r="LC200" s="2">
        <f t="shared" si="786"/>
        <v>51592</v>
      </c>
      <c r="LD200" s="2">
        <f t="shared" si="786"/>
        <v>51622</v>
      </c>
      <c r="LE200" s="2">
        <f t="shared" si="786"/>
        <v>51653</v>
      </c>
      <c r="LF200" s="2">
        <f t="shared" si="786"/>
        <v>51683</v>
      </c>
      <c r="LG200" s="2">
        <f t="shared" si="786"/>
        <v>51714</v>
      </c>
      <c r="LH200" s="2">
        <f t="shared" si="786"/>
        <v>51745</v>
      </c>
      <c r="LI200" s="2">
        <f t="shared" si="786"/>
        <v>51775</v>
      </c>
      <c r="LJ200" s="2">
        <f t="shared" si="786"/>
        <v>51806</v>
      </c>
      <c r="LK200" s="2">
        <f t="shared" si="786"/>
        <v>51836</v>
      </c>
      <c r="LL200" s="2">
        <f t="shared" si="786"/>
        <v>51867</v>
      </c>
      <c r="LM200" s="2">
        <f t="shared" si="786"/>
        <v>51898</v>
      </c>
      <c r="LN200" s="2">
        <f t="shared" si="786"/>
        <v>51926</v>
      </c>
      <c r="LO200" s="2">
        <f t="shared" si="786"/>
        <v>51957</v>
      </c>
      <c r="LP200" s="2">
        <f t="shared" si="786"/>
        <v>51987</v>
      </c>
      <c r="LQ200" s="2">
        <f t="shared" si="786"/>
        <v>52018</v>
      </c>
      <c r="LR200" s="2">
        <f t="shared" si="786"/>
        <v>52048</v>
      </c>
      <c r="LS200" s="2">
        <f t="shared" si="786"/>
        <v>52079</v>
      </c>
      <c r="LT200" s="2">
        <f t="shared" si="786"/>
        <v>52110</v>
      </c>
      <c r="LU200" s="2">
        <f t="shared" ref="LU200:OF200" si="787">LU65</f>
        <v>52140</v>
      </c>
      <c r="LV200" s="2">
        <f t="shared" si="787"/>
        <v>52171</v>
      </c>
      <c r="LW200" s="2">
        <f t="shared" si="787"/>
        <v>52201</v>
      </c>
      <c r="LX200" s="2">
        <f t="shared" si="787"/>
        <v>52232</v>
      </c>
      <c r="LY200" s="2">
        <f t="shared" si="787"/>
        <v>52263</v>
      </c>
      <c r="LZ200" s="2">
        <f t="shared" si="787"/>
        <v>52291</v>
      </c>
      <c r="MA200" s="2">
        <f t="shared" si="787"/>
        <v>52322</v>
      </c>
      <c r="MB200" s="2">
        <f t="shared" si="787"/>
        <v>52352</v>
      </c>
      <c r="MC200" s="2">
        <f t="shared" si="787"/>
        <v>52383</v>
      </c>
      <c r="MD200" s="2">
        <f t="shared" si="787"/>
        <v>52413</v>
      </c>
      <c r="ME200" s="2">
        <f t="shared" si="787"/>
        <v>52444</v>
      </c>
      <c r="MF200" s="2">
        <f t="shared" si="787"/>
        <v>52475</v>
      </c>
      <c r="MG200" s="2">
        <f t="shared" si="787"/>
        <v>52505</v>
      </c>
      <c r="MH200" s="2">
        <f t="shared" si="787"/>
        <v>52536</v>
      </c>
      <c r="MI200" s="2">
        <f t="shared" si="787"/>
        <v>52566</v>
      </c>
      <c r="MJ200" s="2">
        <f t="shared" si="787"/>
        <v>52597</v>
      </c>
      <c r="MK200" s="2">
        <f t="shared" si="787"/>
        <v>52628</v>
      </c>
      <c r="ML200" s="2">
        <f t="shared" si="787"/>
        <v>52657</v>
      </c>
      <c r="MM200" s="2">
        <f t="shared" si="787"/>
        <v>52688</v>
      </c>
      <c r="MN200" s="2">
        <f t="shared" si="787"/>
        <v>52718</v>
      </c>
      <c r="MO200" s="2">
        <f t="shared" si="787"/>
        <v>52749</v>
      </c>
      <c r="MP200" s="2">
        <f t="shared" si="787"/>
        <v>52779</v>
      </c>
      <c r="MQ200" s="2">
        <f t="shared" si="787"/>
        <v>52810</v>
      </c>
      <c r="MR200" s="2">
        <f t="shared" si="787"/>
        <v>52841</v>
      </c>
      <c r="MS200" s="2">
        <f t="shared" si="787"/>
        <v>52871</v>
      </c>
      <c r="MT200" s="2">
        <f t="shared" si="787"/>
        <v>52902</v>
      </c>
      <c r="MU200" s="2">
        <f t="shared" si="787"/>
        <v>52932</v>
      </c>
      <c r="MV200" s="2">
        <f t="shared" si="787"/>
        <v>52963</v>
      </c>
      <c r="MW200" s="2">
        <f t="shared" si="787"/>
        <v>52994</v>
      </c>
      <c r="MX200" s="2">
        <f t="shared" si="787"/>
        <v>53022</v>
      </c>
      <c r="MY200" s="2">
        <f t="shared" si="787"/>
        <v>53053</v>
      </c>
      <c r="MZ200" s="2">
        <f t="shared" si="787"/>
        <v>53083</v>
      </c>
      <c r="NA200" s="2">
        <f t="shared" si="787"/>
        <v>53114</v>
      </c>
      <c r="NB200" s="2">
        <f t="shared" si="787"/>
        <v>53144</v>
      </c>
      <c r="NC200" s="2">
        <f t="shared" si="787"/>
        <v>53175</v>
      </c>
      <c r="ND200" s="2">
        <f t="shared" si="787"/>
        <v>53206</v>
      </c>
      <c r="NE200" s="2">
        <f t="shared" si="787"/>
        <v>53236</v>
      </c>
      <c r="NF200" s="2">
        <f t="shared" si="787"/>
        <v>53267</v>
      </c>
      <c r="NG200" s="2">
        <f t="shared" si="787"/>
        <v>53297</v>
      </c>
      <c r="NH200" s="2">
        <f t="shared" si="787"/>
        <v>53328</v>
      </c>
      <c r="NI200" s="2">
        <f t="shared" si="787"/>
        <v>53359</v>
      </c>
      <c r="NJ200" s="2">
        <f t="shared" si="787"/>
        <v>53387</v>
      </c>
      <c r="NK200" s="2">
        <f t="shared" si="787"/>
        <v>53418</v>
      </c>
      <c r="NL200" s="2">
        <f t="shared" si="787"/>
        <v>53448</v>
      </c>
      <c r="NM200" s="2">
        <f t="shared" si="787"/>
        <v>53479</v>
      </c>
      <c r="NN200" s="2">
        <f t="shared" si="787"/>
        <v>53509</v>
      </c>
      <c r="NO200" s="2">
        <f t="shared" si="787"/>
        <v>53540</v>
      </c>
      <c r="NP200" s="2">
        <f t="shared" si="787"/>
        <v>53571</v>
      </c>
      <c r="NQ200" s="2">
        <f t="shared" si="787"/>
        <v>53601</v>
      </c>
      <c r="NR200" s="2">
        <f t="shared" si="787"/>
        <v>53632</v>
      </c>
      <c r="NS200" s="2">
        <f t="shared" si="787"/>
        <v>53662</v>
      </c>
      <c r="NT200" s="2">
        <f t="shared" si="787"/>
        <v>53693</v>
      </c>
      <c r="NU200" s="2">
        <f t="shared" si="787"/>
        <v>53724</v>
      </c>
      <c r="NV200" s="2">
        <f t="shared" si="787"/>
        <v>53752</v>
      </c>
      <c r="NW200" s="2">
        <f t="shared" si="787"/>
        <v>53783</v>
      </c>
      <c r="NX200" s="2">
        <f t="shared" si="787"/>
        <v>53813</v>
      </c>
      <c r="NY200" s="2">
        <f t="shared" si="787"/>
        <v>53844</v>
      </c>
      <c r="NZ200" s="2">
        <f t="shared" si="787"/>
        <v>53874</v>
      </c>
      <c r="OA200" s="2">
        <f t="shared" si="787"/>
        <v>53905</v>
      </c>
      <c r="OB200" s="2">
        <f t="shared" si="787"/>
        <v>53936</v>
      </c>
      <c r="OC200" s="2">
        <f t="shared" si="787"/>
        <v>53966</v>
      </c>
      <c r="OD200" s="2">
        <f t="shared" si="787"/>
        <v>53997</v>
      </c>
      <c r="OE200" s="2">
        <f t="shared" si="787"/>
        <v>54027</v>
      </c>
      <c r="OF200" s="2">
        <f t="shared" si="787"/>
        <v>54058</v>
      </c>
      <c r="OG200" s="2">
        <f t="shared" ref="OG200:QR200" si="788">OG65</f>
        <v>54089</v>
      </c>
      <c r="OH200" s="2">
        <f t="shared" si="788"/>
        <v>54118</v>
      </c>
      <c r="OI200" s="2">
        <f t="shared" si="788"/>
        <v>54149</v>
      </c>
      <c r="OJ200" s="2">
        <f t="shared" si="788"/>
        <v>54179</v>
      </c>
      <c r="OK200" s="2">
        <f t="shared" si="788"/>
        <v>54210</v>
      </c>
      <c r="OL200" s="2">
        <f t="shared" si="788"/>
        <v>54240</v>
      </c>
      <c r="OM200" s="2">
        <f t="shared" si="788"/>
        <v>54271</v>
      </c>
      <c r="ON200" s="2">
        <f t="shared" si="788"/>
        <v>54302</v>
      </c>
      <c r="OO200" s="2">
        <f t="shared" si="788"/>
        <v>54332</v>
      </c>
      <c r="OP200" s="2">
        <f t="shared" si="788"/>
        <v>54363</v>
      </c>
      <c r="OQ200" s="2">
        <f t="shared" si="788"/>
        <v>54393</v>
      </c>
      <c r="OR200" s="2">
        <f t="shared" si="788"/>
        <v>54424</v>
      </c>
      <c r="OS200" s="2">
        <f t="shared" si="788"/>
        <v>54455</v>
      </c>
      <c r="OT200" s="2">
        <f t="shared" si="788"/>
        <v>54483</v>
      </c>
      <c r="OU200" s="2">
        <f t="shared" si="788"/>
        <v>54514</v>
      </c>
      <c r="OV200" s="2">
        <f t="shared" si="788"/>
        <v>54544</v>
      </c>
      <c r="OW200" s="2">
        <f t="shared" si="788"/>
        <v>54575</v>
      </c>
      <c r="OX200" s="2">
        <f t="shared" si="788"/>
        <v>54605</v>
      </c>
      <c r="OY200" s="2">
        <f t="shared" si="788"/>
        <v>54636</v>
      </c>
      <c r="OZ200" s="2">
        <f t="shared" si="788"/>
        <v>54667</v>
      </c>
      <c r="PA200" s="2">
        <f t="shared" si="788"/>
        <v>54697</v>
      </c>
      <c r="PB200" s="2">
        <f t="shared" si="788"/>
        <v>54728</v>
      </c>
      <c r="PC200" s="2">
        <f t="shared" si="788"/>
        <v>54758</v>
      </c>
      <c r="PD200" s="2">
        <f t="shared" si="788"/>
        <v>54789</v>
      </c>
      <c r="PE200" s="2">
        <f t="shared" si="788"/>
        <v>54820</v>
      </c>
      <c r="PF200" s="2">
        <f t="shared" si="788"/>
        <v>54848</v>
      </c>
      <c r="PG200" s="2">
        <f t="shared" si="788"/>
        <v>54879</v>
      </c>
      <c r="PH200" s="2">
        <f t="shared" si="788"/>
        <v>54909</v>
      </c>
      <c r="PI200" s="2">
        <f t="shared" si="788"/>
        <v>54940</v>
      </c>
      <c r="PJ200" s="2">
        <f t="shared" si="788"/>
        <v>54970</v>
      </c>
      <c r="PK200" s="2">
        <f t="shared" si="788"/>
        <v>55001</v>
      </c>
      <c r="PL200" s="2">
        <f t="shared" si="788"/>
        <v>55032</v>
      </c>
      <c r="PM200" s="2">
        <f t="shared" si="788"/>
        <v>55062</v>
      </c>
      <c r="PN200" s="2">
        <f t="shared" si="788"/>
        <v>55093</v>
      </c>
      <c r="PO200" s="2">
        <f t="shared" si="788"/>
        <v>55123</v>
      </c>
      <c r="PP200" s="2">
        <f t="shared" si="788"/>
        <v>55154</v>
      </c>
      <c r="PQ200" s="2">
        <f t="shared" si="788"/>
        <v>55185</v>
      </c>
      <c r="PR200" s="2">
        <f t="shared" si="788"/>
        <v>55213</v>
      </c>
      <c r="PS200" s="2">
        <f t="shared" si="788"/>
        <v>55244</v>
      </c>
      <c r="PT200" s="2">
        <f t="shared" si="788"/>
        <v>55274</v>
      </c>
      <c r="PU200" s="2">
        <f t="shared" si="788"/>
        <v>55305</v>
      </c>
      <c r="PV200" s="2">
        <f t="shared" si="788"/>
        <v>55335</v>
      </c>
      <c r="PW200" s="2">
        <f t="shared" si="788"/>
        <v>55366</v>
      </c>
      <c r="PX200" s="2">
        <f t="shared" si="788"/>
        <v>55397</v>
      </c>
      <c r="PY200" s="2">
        <f t="shared" si="788"/>
        <v>55427</v>
      </c>
      <c r="PZ200" s="2">
        <f t="shared" si="788"/>
        <v>55458</v>
      </c>
      <c r="QA200" s="2">
        <f t="shared" si="788"/>
        <v>55488</v>
      </c>
      <c r="QB200" s="2">
        <f t="shared" si="788"/>
        <v>55519</v>
      </c>
      <c r="QC200" s="2">
        <f t="shared" si="788"/>
        <v>55550</v>
      </c>
      <c r="QD200" s="2">
        <f t="shared" si="788"/>
        <v>55579</v>
      </c>
      <c r="QE200" s="2">
        <f t="shared" si="788"/>
        <v>55610</v>
      </c>
      <c r="QF200" s="2">
        <f t="shared" si="788"/>
        <v>55640</v>
      </c>
      <c r="QG200" s="2">
        <f t="shared" si="788"/>
        <v>55671</v>
      </c>
      <c r="QH200" s="2">
        <f t="shared" si="788"/>
        <v>55701</v>
      </c>
      <c r="QI200" s="2">
        <f t="shared" si="788"/>
        <v>55732</v>
      </c>
      <c r="QJ200" s="2">
        <f t="shared" si="788"/>
        <v>55763</v>
      </c>
      <c r="QK200" s="2">
        <f t="shared" si="788"/>
        <v>55793</v>
      </c>
      <c r="QL200" s="2">
        <f t="shared" si="788"/>
        <v>55824</v>
      </c>
      <c r="QM200" s="2">
        <f t="shared" si="788"/>
        <v>55854</v>
      </c>
      <c r="QN200" s="2">
        <f t="shared" si="788"/>
        <v>55885</v>
      </c>
      <c r="QO200" s="2">
        <f t="shared" si="788"/>
        <v>55916</v>
      </c>
      <c r="QP200" s="2">
        <f t="shared" si="788"/>
        <v>55944</v>
      </c>
      <c r="QQ200" s="2">
        <f t="shared" si="788"/>
        <v>55975</v>
      </c>
      <c r="QR200" s="2">
        <f t="shared" si="788"/>
        <v>56005</v>
      </c>
      <c r="QS200" s="2">
        <f t="shared" ref="QS200:RR200" si="789">QS65</f>
        <v>56036</v>
      </c>
      <c r="QT200" s="2">
        <f t="shared" si="789"/>
        <v>56066</v>
      </c>
      <c r="QU200" s="2">
        <f t="shared" si="789"/>
        <v>56097</v>
      </c>
      <c r="QV200" s="2">
        <f t="shared" si="789"/>
        <v>56128</v>
      </c>
      <c r="QW200" s="2">
        <f t="shared" si="789"/>
        <v>56158</v>
      </c>
      <c r="QX200" s="2">
        <f t="shared" si="789"/>
        <v>56189</v>
      </c>
      <c r="QY200" s="2">
        <f t="shared" si="789"/>
        <v>56219</v>
      </c>
      <c r="QZ200" s="2">
        <f t="shared" si="789"/>
        <v>56250</v>
      </c>
      <c r="RA200" s="2">
        <f t="shared" si="789"/>
        <v>56281</v>
      </c>
      <c r="RB200" s="2">
        <f t="shared" si="789"/>
        <v>56309</v>
      </c>
      <c r="RC200" s="2">
        <f t="shared" si="789"/>
        <v>56340</v>
      </c>
      <c r="RD200" s="2">
        <f t="shared" si="789"/>
        <v>56370</v>
      </c>
      <c r="RE200" s="2">
        <f t="shared" si="789"/>
        <v>56401</v>
      </c>
      <c r="RF200" s="2">
        <f t="shared" si="789"/>
        <v>56431</v>
      </c>
      <c r="RG200" s="2">
        <f t="shared" si="789"/>
        <v>56462</v>
      </c>
      <c r="RH200" s="2">
        <f t="shared" si="789"/>
        <v>56493</v>
      </c>
      <c r="RI200" s="2">
        <f t="shared" si="789"/>
        <v>56523</v>
      </c>
      <c r="RJ200" s="2">
        <f t="shared" si="789"/>
        <v>56554</v>
      </c>
      <c r="RK200" s="2">
        <f t="shared" si="789"/>
        <v>56584</v>
      </c>
      <c r="RL200" s="2">
        <f t="shared" si="789"/>
        <v>56615</v>
      </c>
      <c r="RM200" s="2">
        <f t="shared" si="789"/>
        <v>56646</v>
      </c>
      <c r="RN200" s="2">
        <f t="shared" si="789"/>
        <v>56674</v>
      </c>
      <c r="RO200" s="2">
        <f t="shared" si="789"/>
        <v>56705</v>
      </c>
      <c r="RP200" s="2">
        <f t="shared" si="789"/>
        <v>56735</v>
      </c>
      <c r="RQ200" s="2">
        <f t="shared" si="789"/>
        <v>56766</v>
      </c>
      <c r="RR200" s="2">
        <f t="shared" si="789"/>
        <v>56796</v>
      </c>
    </row>
    <row r="201" spans="1:486">
      <c r="D201" s="9" t="s">
        <v>205</v>
      </c>
      <c r="E201" s="199">
        <f t="shared" ref="E201:BP201" si="790">E86/$I$45*$B$15/1000000</f>
        <v>0.13587162714636139</v>
      </c>
      <c r="F201" s="199">
        <f t="shared" ca="1" si="790"/>
        <v>0.13631185139018212</v>
      </c>
      <c r="G201" s="199">
        <f t="shared" ca="1" si="790"/>
        <v>0.13675350196110969</v>
      </c>
      <c r="H201" s="199">
        <f t="shared" ca="1" si="790"/>
        <v>0.13719658348044569</v>
      </c>
      <c r="I201" s="199">
        <f t="shared" ca="1" si="790"/>
        <v>0.13764110058446483</v>
      </c>
      <c r="J201" s="199">
        <f t="shared" ca="1" si="790"/>
        <v>0.13808705792446327</v>
      </c>
      <c r="K201" s="199">
        <f t="shared" ca="1" si="790"/>
        <v>0.13853446016680734</v>
      </c>
      <c r="L201" s="199">
        <f t="shared" ca="1" si="790"/>
        <v>0.13898331199298258</v>
      </c>
      <c r="M201" s="199">
        <f t="shared" ca="1" si="790"/>
        <v>0.13943361809964236</v>
      </c>
      <c r="N201" s="199">
        <f t="shared" ca="1" si="790"/>
        <v>0.13988538319865737</v>
      </c>
      <c r="O201" s="199">
        <f t="shared" ca="1" si="790"/>
        <v>0.14033861201716458</v>
      </c>
      <c r="P201" s="199">
        <f t="shared" ca="1" si="790"/>
        <v>0.14079330929761705</v>
      </c>
      <c r="Q201" s="199">
        <f t="shared" ca="1" si="790"/>
        <v>0.14124947979783337</v>
      </c>
      <c r="R201" s="199">
        <f t="shared" ca="1" si="790"/>
        <v>0.14170712829104742</v>
      </c>
      <c r="S201" s="199">
        <f t="shared" ca="1" si="790"/>
        <v>0.14216625956595833</v>
      </c>
      <c r="T201" s="199">
        <f t="shared" ca="1" si="790"/>
        <v>0.14262687842678076</v>
      </c>
      <c r="U201" s="199">
        <f t="shared" ca="1" si="790"/>
        <v>0.14308898969329487</v>
      </c>
      <c r="V201" s="199">
        <f t="shared" ca="1" si="790"/>
        <v>0.143552598200897</v>
      </c>
      <c r="W201" s="199">
        <f t="shared" ca="1" si="790"/>
        <v>0.14401770880065021</v>
      </c>
      <c r="X201" s="199">
        <f t="shared" ca="1" si="790"/>
        <v>0.14448432635933495</v>
      </c>
      <c r="Y201" s="199">
        <f t="shared" ca="1" si="790"/>
        <v>0.14495245575950005</v>
      </c>
      <c r="Z201" s="199">
        <f t="shared" ca="1" si="790"/>
        <v>0.14542210189951388</v>
      </c>
      <c r="AA201" s="199">
        <f t="shared" ca="1" si="790"/>
        <v>0.14589326969361538</v>
      </c>
      <c r="AB201" s="199">
        <f t="shared" ca="1" si="790"/>
        <v>0.14636596407196578</v>
      </c>
      <c r="AC201" s="199">
        <f t="shared" ca="1" si="790"/>
        <v>0.14684018998069995</v>
      </c>
      <c r="AD201" s="199">
        <f t="shared" ca="1" si="790"/>
        <v>0.14731595238197825</v>
      </c>
      <c r="AE201" s="199">
        <f t="shared" ca="1" si="790"/>
        <v>0.14779325625403852</v>
      </c>
      <c r="AF201" s="199">
        <f t="shared" ca="1" si="790"/>
        <v>0.14827210659124801</v>
      </c>
      <c r="AG201" s="199">
        <f t="shared" ca="1" si="790"/>
        <v>0.14875250840415571</v>
      </c>
      <c r="AH201" s="199">
        <f t="shared" ca="1" si="790"/>
        <v>0.14923446671954496</v>
      </c>
      <c r="AI201" s="199">
        <f t="shared" ca="1" si="790"/>
        <v>0.14971798658048571</v>
      </c>
      <c r="AJ201" s="199">
        <f t="shared" ca="1" si="790"/>
        <v>0.15020307304638753</v>
      </c>
      <c r="AK201" s="199">
        <f t="shared" ca="1" si="790"/>
        <v>0.15068973119305243</v>
      </c>
      <c r="AL201" s="199">
        <f t="shared" ca="1" si="790"/>
        <v>0.1511779661127281</v>
      </c>
      <c r="AM201" s="199">
        <f t="shared" ca="1" si="790"/>
        <v>0.15166778291416114</v>
      </c>
      <c r="AN201" s="199">
        <f t="shared" ca="1" si="790"/>
        <v>0.15215918672265036</v>
      </c>
      <c r="AO201" s="199">
        <f t="shared" ca="1" si="790"/>
        <v>0.1526521826801007</v>
      </c>
      <c r="AP201" s="199">
        <f t="shared" ca="1" si="790"/>
        <v>0.15314677594507675</v>
      </c>
      <c r="AQ201" s="199">
        <f t="shared" ca="1" si="790"/>
        <v>0.15364297169285696</v>
      </c>
      <c r="AR201" s="199">
        <f t="shared" ca="1" si="790"/>
        <v>0.15414077511548763</v>
      </c>
      <c r="AS201" s="199">
        <f t="shared" ca="1" si="790"/>
        <v>0.15464019142183724</v>
      </c>
      <c r="AT201" s="199">
        <f t="shared" ca="1" si="790"/>
        <v>0.15514122583765122</v>
      </c>
      <c r="AU201" s="199">
        <f t="shared" ca="1" si="790"/>
        <v>0.15564388360560621</v>
      </c>
      <c r="AV201" s="199">
        <f t="shared" ca="1" si="790"/>
        <v>0.15614816998536518</v>
      </c>
      <c r="AW201" s="199">
        <f t="shared" ca="1" si="790"/>
        <v>0.15665409025363242</v>
      </c>
      <c r="AX201" s="199">
        <f t="shared" ca="1" si="790"/>
        <v>0.15716164970420882</v>
      </c>
      <c r="AY201" s="199">
        <f t="shared" ca="1" si="790"/>
        <v>0.15767085364804712</v>
      </c>
      <c r="AZ201" s="199">
        <f t="shared" ca="1" si="790"/>
        <v>0.15818170741330753</v>
      </c>
      <c r="BA201" s="199">
        <f t="shared" ca="1" si="790"/>
        <v>0.15869421634541359</v>
      </c>
      <c r="BB201" s="199">
        <f t="shared" ca="1" si="790"/>
        <v>0.15920838580710797</v>
      </c>
      <c r="BC201" s="199">
        <f t="shared" ca="1" si="790"/>
        <v>0.1597242211785086</v>
      </c>
      <c r="BD201" s="199">
        <f t="shared" ca="1" si="790"/>
        <v>0.16024172785716506</v>
      </c>
      <c r="BE201" s="199">
        <f t="shared" ca="1" si="790"/>
        <v>0.16076091125811492</v>
      </c>
      <c r="BF201" s="199">
        <f t="shared" ca="1" si="790"/>
        <v>0.16128177681394065</v>
      </c>
      <c r="BG201" s="199">
        <f t="shared" ca="1" si="790"/>
        <v>0.16180432997482611</v>
      </c>
      <c r="BH201" s="199">
        <f t="shared" ca="1" si="790"/>
        <v>0.16232857620861382</v>
      </c>
      <c r="BI201" s="199">
        <f t="shared" ca="1" si="790"/>
        <v>0.16285452100086212</v>
      </c>
      <c r="BJ201" s="199">
        <f t="shared" ca="1" si="790"/>
        <v>0.16338216985490259</v>
      </c>
      <c r="BK201" s="199">
        <f t="shared" ca="1" si="790"/>
        <v>0.16391152829189756</v>
      </c>
      <c r="BL201" s="199">
        <f t="shared" ca="1" si="790"/>
        <v>0.16444260185089801</v>
      </c>
      <c r="BM201" s="199">
        <f t="shared" ca="1" si="790"/>
        <v>0.16497539608890135</v>
      </c>
      <c r="BN201" s="199">
        <f t="shared" ca="1" si="790"/>
        <v>0.16550991658090983</v>
      </c>
      <c r="BO201" s="199">
        <f t="shared" ca="1" si="790"/>
        <v>0.16604616891998847</v>
      </c>
      <c r="BP201" s="199">
        <f t="shared" ca="1" si="790"/>
        <v>0.16658415871732407</v>
      </c>
      <c r="BQ201" s="199">
        <f t="shared" ref="BQ201:EB201" ca="1" si="791">BQ86/$I$45*$B$15/1000000</f>
        <v>0.16712389160228358</v>
      </c>
      <c r="BR201" s="199">
        <f t="shared" ca="1" si="791"/>
        <v>0.16766537322247302</v>
      </c>
      <c r="BS201" s="199">
        <f t="shared" ca="1" si="791"/>
        <v>0.16820860924379685</v>
      </c>
      <c r="BT201" s="199">
        <f t="shared" ca="1" si="791"/>
        <v>0.16875360535051692</v>
      </c>
      <c r="BU201" s="199">
        <f t="shared" ca="1" si="791"/>
        <v>0.16930036724531211</v>
      </c>
      <c r="BV201" s="199">
        <f t="shared" ca="1" si="791"/>
        <v>0.16984890064933805</v>
      </c>
      <c r="BW201" s="199">
        <f t="shared" ca="1" si="791"/>
        <v>0.17039921130228688</v>
      </c>
      <c r="BX201" s="199">
        <f t="shared" ca="1" si="791"/>
        <v>0.17095130496244737</v>
      </c>
      <c r="BY201" s="199">
        <f t="shared" ca="1" si="791"/>
        <v>0.17150518740676515</v>
      </c>
      <c r="BZ201" s="199">
        <f t="shared" ca="1" si="791"/>
        <v>0.17206086443090313</v>
      </c>
      <c r="CA201" s="199">
        <f t="shared" ca="1" si="791"/>
        <v>0.17261834184930216</v>
      </c>
      <c r="CB201" s="199">
        <f t="shared" ca="1" si="791"/>
        <v>0.17317762549524202</v>
      </c>
      <c r="CC201" s="199">
        <f t="shared" ca="1" si="791"/>
        <v>0.17373872122090217</v>
      </c>
      <c r="CD201" s="199">
        <f t="shared" ca="1" si="791"/>
        <v>0.17430163489742317</v>
      </c>
      <c r="CE201" s="199">
        <f t="shared" ca="1" si="791"/>
        <v>0.17486637241496819</v>
      </c>
      <c r="CF201" s="199">
        <f t="shared" ca="1" si="791"/>
        <v>0.17543293968278428</v>
      </c>
      <c r="CG201" s="199">
        <f t="shared" ca="1" si="791"/>
        <v>0.17600134262926487</v>
      </c>
      <c r="CH201" s="199">
        <f t="shared" ca="1" si="791"/>
        <v>0.17657158720201102</v>
      </c>
      <c r="CI201" s="199">
        <f t="shared" ca="1" si="791"/>
        <v>0.17714367936789416</v>
      </c>
      <c r="CJ201" s="199">
        <f t="shared" ca="1" si="791"/>
        <v>0.17771762511311842</v>
      </c>
      <c r="CK201" s="199">
        <f t="shared" ca="1" si="791"/>
        <v>0.17829343044328319</v>
      </c>
      <c r="CL201" s="199">
        <f t="shared" ca="1" si="791"/>
        <v>0.17887110138344606</v>
      </c>
      <c r="CM201" s="199">
        <f t="shared" ca="1" si="791"/>
        <v>0.17945064397818578</v>
      </c>
      <c r="CN201" s="199">
        <f t="shared" ca="1" si="791"/>
        <v>0.18003206429166552</v>
      </c>
      <c r="CO201" s="199">
        <f t="shared" ca="1" si="791"/>
        <v>0.18061536840769635</v>
      </c>
      <c r="CP201" s="199">
        <f t="shared" ca="1" si="791"/>
        <v>0.18120056242980095</v>
      </c>
      <c r="CQ201" s="199">
        <f t="shared" ca="1" si="791"/>
        <v>0.18178765248127743</v>
      </c>
      <c r="CR201" s="199">
        <f t="shared" ca="1" si="791"/>
        <v>0.1823766447052633</v>
      </c>
      <c r="CS201" s="199">
        <f t="shared" ca="1" si="791"/>
        <v>0.18296754526479991</v>
      </c>
      <c r="CT201" s="199">
        <f t="shared" ca="1" si="791"/>
        <v>0.18356036034289683</v>
      </c>
      <c r="CU201" s="199">
        <f t="shared" ca="1" si="791"/>
        <v>0.18415509614259667</v>
      </c>
      <c r="CV201" s="199">
        <f t="shared" ca="1" si="791"/>
        <v>0.18475175888703985</v>
      </c>
      <c r="CW201" s="199">
        <f t="shared" ca="1" si="791"/>
        <v>0.18535035481952974</v>
      </c>
      <c r="CX201" s="199">
        <f t="shared" ca="1" si="791"/>
        <v>0.18595089020359809</v>
      </c>
      <c r="CY201" s="199">
        <f t="shared" ca="1" si="791"/>
        <v>0.18655337132307043</v>
      </c>
      <c r="CZ201" s="199">
        <f t="shared" ca="1" si="791"/>
        <v>0.18715780448213196</v>
      </c>
      <c r="DA201" s="199">
        <f t="shared" ca="1" si="791"/>
        <v>0.1877641960053934</v>
      </c>
      <c r="DB201" s="199">
        <f t="shared" ca="1" si="791"/>
        <v>0.18837255223795718</v>
      </c>
      <c r="DC201" s="199">
        <f t="shared" ca="1" si="791"/>
        <v>0.18898287954548409</v>
      </c>
      <c r="DD201" s="199">
        <f t="shared" ca="1" si="791"/>
        <v>0.18959518431425937</v>
      </c>
      <c r="DE201" s="199">
        <f t="shared" ca="1" si="791"/>
        <v>0.19020947295125995</v>
      </c>
      <c r="DF201" s="199">
        <f t="shared" ca="1" si="791"/>
        <v>0.19082575188422152</v>
      </c>
      <c r="DG201" s="199">
        <f t="shared" ca="1" si="791"/>
        <v>0.19144402756170537</v>
      </c>
      <c r="DH201" s="199">
        <f t="shared" ca="1" si="791"/>
        <v>0.19206430645316636</v>
      </c>
      <c r="DI201" s="199">
        <f t="shared" ca="1" si="791"/>
        <v>0.19268659504902028</v>
      </c>
      <c r="DJ201" s="199">
        <f t="shared" ca="1" si="791"/>
        <v>0.19331089986071187</v>
      </c>
      <c r="DK201" s="199">
        <f t="shared" ca="1" si="791"/>
        <v>0.19393722742078312</v>
      </c>
      <c r="DL201" s="199">
        <f t="shared" ca="1" si="791"/>
        <v>0.19456558428294118</v>
      </c>
      <c r="DM201" s="199">
        <f t="shared" ca="1" si="791"/>
        <v>0.19519597702212749</v>
      </c>
      <c r="DN201" s="199">
        <f t="shared" ca="1" si="791"/>
        <v>0.19582841223458614</v>
      </c>
      <c r="DO201" s="199">
        <f t="shared" ca="1" si="791"/>
        <v>0.19646289653793314</v>
      </c>
      <c r="DP201" s="199">
        <f t="shared" ca="1" si="791"/>
        <v>0.19709943657122553</v>
      </c>
      <c r="DQ201" s="199">
        <f t="shared" ca="1" si="791"/>
        <v>0.19773803899503101</v>
      </c>
      <c r="DR201" s="199">
        <f t="shared" ca="1" si="791"/>
        <v>0.19837871049149738</v>
      </c>
      <c r="DS201" s="199">
        <f t="shared" ca="1" si="791"/>
        <v>0.1990214577644227</v>
      </c>
      <c r="DT201" s="199">
        <f t="shared" ca="1" si="791"/>
        <v>0.1996662875393253</v>
      </c>
      <c r="DU201" s="199">
        <f t="shared" ca="1" si="791"/>
        <v>0.20031320656351428</v>
      </c>
      <c r="DV201" s="199">
        <f t="shared" ca="1" si="791"/>
        <v>0.2009622216061599</v>
      </c>
      <c r="DW201" s="199">
        <f t="shared" ca="1" si="791"/>
        <v>0.20161333945836465</v>
      </c>
      <c r="DX201" s="199">
        <f t="shared" ca="1" si="791"/>
        <v>0.20226656693323417</v>
      </c>
      <c r="DY201" s="199">
        <f t="shared" ca="1" si="791"/>
        <v>0.20292191086594852</v>
      </c>
      <c r="DZ201" s="199">
        <f t="shared" ca="1" si="791"/>
        <v>0.20357937811383384</v>
      </c>
      <c r="EA201" s="199">
        <f t="shared" ca="1" si="791"/>
        <v>0.20423897555643392</v>
      </c>
      <c r="EB201" s="199">
        <f t="shared" ca="1" si="791"/>
        <v>0.20490071009558242</v>
      </c>
      <c r="EC201" s="199">
        <f t="shared" ref="EC201:GN201" ca="1" si="792">EC86/$I$45*$B$15/1000000</f>
        <v>0.20556458865547478</v>
      </c>
      <c r="ED201" s="199">
        <f t="shared" ca="1" si="792"/>
        <v>0.20623061818274091</v>
      </c>
      <c r="EE201" s="199">
        <f t="shared" ca="1" si="792"/>
        <v>0.20689880564651789</v>
      </c>
      <c r="EF201" s="199">
        <f t="shared" ca="1" si="792"/>
        <v>0.20756915803852266</v>
      </c>
      <c r="EG201" s="199">
        <f t="shared" ca="1" si="792"/>
        <v>0.20824168237312551</v>
      </c>
      <c r="EH201" s="199">
        <f t="shared" ca="1" si="792"/>
        <v>0.20891638568742318</v>
      </c>
      <c r="EI201" s="199">
        <f t="shared" ca="1" si="792"/>
        <v>0.20959327504131262</v>
      </c>
      <c r="EJ201" s="199">
        <f t="shared" ca="1" si="792"/>
        <v>0.21027235751756479</v>
      </c>
      <c r="EK201" s="199">
        <f t="shared" ca="1" si="792"/>
        <v>0.21095364022189902</v>
      </c>
      <c r="EL201" s="199">
        <f t="shared" ca="1" si="792"/>
        <v>0.21163713028305714</v>
      </c>
      <c r="EM201" s="199">
        <f t="shared" ca="1" si="792"/>
        <v>0.21232283485287792</v>
      </c>
      <c r="EN201" s="199">
        <f t="shared" ca="1" si="792"/>
        <v>0.21301076110637229</v>
      </c>
      <c r="EO201" s="199">
        <f t="shared" ca="1" si="792"/>
        <v>0.2137009162417981</v>
      </c>
      <c r="EP201" s="199">
        <f t="shared" ca="1" si="792"/>
        <v>0.21439330748073576</v>
      </c>
      <c r="EQ201" s="199">
        <f t="shared" ca="1" si="792"/>
        <v>0.21508794206816337</v>
      </c>
      <c r="ER201" s="199">
        <f t="shared" ca="1" si="792"/>
        <v>0.2157848272725329</v>
      </c>
      <c r="ES201" s="199">
        <f t="shared" ca="1" si="792"/>
        <v>0.21648397038584608</v>
      </c>
      <c r="ET201" s="199">
        <f t="shared" ca="1" si="792"/>
        <v>0.21718537872373078</v>
      </c>
      <c r="EU201" s="199">
        <f t="shared" ca="1" si="792"/>
        <v>0.21788905962551741</v>
      </c>
      <c r="EV201" s="199">
        <f t="shared" ca="1" si="792"/>
        <v>0.21859502045431595</v>
      </c>
      <c r="EW201" s="199">
        <f t="shared" ca="1" si="792"/>
        <v>0.21930326859709276</v>
      </c>
      <c r="EX201" s="199">
        <f t="shared" ca="1" si="792"/>
        <v>0.22001381146474805</v>
      </c>
      <c r="EY201" s="199">
        <f t="shared" ca="1" si="792"/>
        <v>0.22072665649219336</v>
      </c>
      <c r="EZ201" s="199">
        <f t="shared" ca="1" si="792"/>
        <v>0.22144181113842923</v>
      </c>
      <c r="FA201" s="199">
        <f t="shared" ca="1" si="792"/>
        <v>0.22215928288662357</v>
      </c>
      <c r="FB201" s="199">
        <f t="shared" ca="1" si="792"/>
        <v>0.22287907924418957</v>
      </c>
      <c r="FC201" s="199">
        <f t="shared" ca="1" si="792"/>
        <v>0.22360120774286454</v>
      </c>
      <c r="FD201" s="199">
        <f t="shared" ca="1" si="792"/>
        <v>0.22432567593878872</v>
      </c>
      <c r="FE201" s="199">
        <f t="shared" ca="1" si="792"/>
        <v>0.22505249141258399</v>
      </c>
      <c r="FF201" s="199">
        <f t="shared" ca="1" si="792"/>
        <v>0.22578166176943379</v>
      </c>
      <c r="FG201" s="199">
        <f t="shared" ca="1" si="792"/>
        <v>0.22651319463916211</v>
      </c>
      <c r="FH201" s="199">
        <f t="shared" ca="1" si="792"/>
        <v>0.22724709767631363</v>
      </c>
      <c r="FI201" s="199">
        <f t="shared" ca="1" si="792"/>
        <v>0.22798337856023393</v>
      </c>
      <c r="FJ201" s="199">
        <f t="shared" ca="1" si="792"/>
        <v>0.22872204499514942</v>
      </c>
      <c r="FK201" s="199">
        <f t="shared" ca="1" si="792"/>
        <v>0.22946310471024842</v>
      </c>
      <c r="FL201" s="199">
        <f t="shared" ca="1" si="792"/>
        <v>0.2302065654597617</v>
      </c>
      <c r="FM201" s="199">
        <f t="shared" ca="1" si="792"/>
        <v>0.23095243502304386</v>
      </c>
      <c r="FN201" s="199">
        <f t="shared" ca="1" si="792"/>
        <v>0.23170072120465451</v>
      </c>
      <c r="FO201" s="199">
        <f t="shared" ca="1" si="792"/>
        <v>0.23245143183444006</v>
      </c>
      <c r="FP201" s="199">
        <f t="shared" ca="1" si="792"/>
        <v>0.23320457476761569</v>
      </c>
      <c r="FQ201" s="199">
        <f t="shared" ca="1" si="792"/>
        <v>0.2339601578848475</v>
      </c>
      <c r="FR201" s="199">
        <f t="shared" ca="1" si="792"/>
        <v>0.23471818909233488</v>
      </c>
      <c r="FS201" s="199">
        <f t="shared" ca="1" si="792"/>
        <v>0.23547867632189337</v>
      </c>
      <c r="FT201" s="199">
        <f t="shared" ca="1" si="792"/>
        <v>0.23624162753103764</v>
      </c>
      <c r="FU201" s="199">
        <f t="shared" ca="1" si="792"/>
        <v>0.23700705070306458</v>
      </c>
      <c r="FV201" s="199">
        <f t="shared" ca="1" si="792"/>
        <v>0.23777495384713704</v>
      </c>
      <c r="FW201" s="199">
        <f t="shared" ca="1" si="792"/>
        <v>0.23854534499836766</v>
      </c>
      <c r="FX201" s="199">
        <f t="shared" ca="1" si="792"/>
        <v>0.23931823221790274</v>
      </c>
      <c r="FY201" s="199">
        <f t="shared" ca="1" si="792"/>
        <v>0.24009362359300679</v>
      </c>
      <c r="FZ201" s="199">
        <f t="shared" ca="1" si="792"/>
        <v>0.24087152723714694</v>
      </c>
      <c r="GA201" s="199">
        <f t="shared" ca="1" si="792"/>
        <v>0.2416519512900781</v>
      </c>
      <c r="GB201" s="199">
        <f t="shared" ca="1" si="792"/>
        <v>0.24243490391792796</v>
      </c>
      <c r="GC201" s="199">
        <f t="shared" ca="1" si="792"/>
        <v>0.24322039331328235</v>
      </c>
      <c r="GD201" s="199">
        <f t="shared" ca="1" si="792"/>
        <v>0.24400842769527131</v>
      </c>
      <c r="GE201" s="199">
        <f t="shared" ca="1" si="792"/>
        <v>0.2447990153096547</v>
      </c>
      <c r="GF201" s="199">
        <f t="shared" ca="1" si="792"/>
        <v>0.24559216442890872</v>
      </c>
      <c r="GG201" s="199">
        <f t="shared" ca="1" si="792"/>
        <v>0.24638788335231246</v>
      </c>
      <c r="GH201" s="199">
        <f t="shared" ca="1" si="792"/>
        <v>0.24718618040603446</v>
      </c>
      <c r="GI201" s="199">
        <f t="shared" ca="1" si="792"/>
        <v>0.24798706394322037</v>
      </c>
      <c r="GJ201" s="199">
        <f t="shared" ca="1" si="792"/>
        <v>0.2487905423440798</v>
      </c>
      <c r="GK201" s="199">
        <f t="shared" ca="1" si="792"/>
        <v>0.24959662401597429</v>
      </c>
      <c r="GL201" s="199">
        <f t="shared" ca="1" si="792"/>
        <v>0.25040531739350541</v>
      </c>
      <c r="GM201" s="199">
        <f t="shared" ca="1" si="792"/>
        <v>0.25121663093860264</v>
      </c>
      <c r="GN201" s="199">
        <f t="shared" ca="1" si="792"/>
        <v>0.25203057314061222</v>
      </c>
      <c r="GO201" s="199">
        <f t="shared" ref="GO201:IZ201" ca="1" si="793">GO86/$I$45*$B$15/1000000</f>
        <v>0.2528471525163859</v>
      </c>
      <c r="GP201" s="199">
        <f t="shared" ca="1" si="793"/>
        <v>0.25366637761036998</v>
      </c>
      <c r="GQ201" s="199">
        <f t="shared" ca="1" si="793"/>
        <v>0.25448825699469479</v>
      </c>
      <c r="GR201" s="199">
        <f t="shared" ca="1" si="793"/>
        <v>0.25531279926926448</v>
      </c>
      <c r="GS201" s="199">
        <f t="shared" ca="1" si="793"/>
        <v>0.25614001306184681</v>
      </c>
      <c r="GT201" s="199">
        <f t="shared" ca="1" si="793"/>
        <v>0.25696990702816336</v>
      </c>
      <c r="GU201" s="199">
        <f t="shared" ca="1" si="793"/>
        <v>0.25780248985198057</v>
      </c>
      <c r="GV201" s="199">
        <f t="shared" ca="1" si="793"/>
        <v>0.25863777024520007</v>
      </c>
      <c r="GW201" s="199">
        <f t="shared" ca="1" si="793"/>
        <v>0.25947575694795016</v>
      </c>
      <c r="GX201" s="199">
        <f t="shared" ca="1" si="793"/>
        <v>0.26031645872867715</v>
      </c>
      <c r="GY201" s="199">
        <f t="shared" ca="1" si="793"/>
        <v>0.2611598843842371</v>
      </c>
      <c r="GZ201" s="199">
        <f t="shared" ca="1" si="793"/>
        <v>0.26200604273998795</v>
      </c>
      <c r="HA201" s="199">
        <f t="shared" ca="1" si="793"/>
        <v>0.2628549426498818</v>
      </c>
      <c r="HB201" s="199">
        <f t="shared" ca="1" si="793"/>
        <v>0.26370659299655741</v>
      </c>
      <c r="HC201" s="199">
        <f t="shared" ca="1" si="793"/>
        <v>0.26456100269143351</v>
      </c>
      <c r="HD201" s="199">
        <f t="shared" ca="1" si="793"/>
        <v>0.26541818067480183</v>
      </c>
      <c r="HE201" s="199">
        <f t="shared" ca="1" si="793"/>
        <v>0.26627813591592048</v>
      </c>
      <c r="HF201" s="199">
        <f t="shared" ca="1" si="793"/>
        <v>0.26714087741310821</v>
      </c>
      <c r="HG201" s="199">
        <f t="shared" ca="1" si="793"/>
        <v>0.26800641419383803</v>
      </c>
      <c r="HH201" s="199">
        <f t="shared" ca="1" si="793"/>
        <v>0.26887475531483224</v>
      </c>
      <c r="HI201" s="199">
        <f t="shared" ca="1" si="793"/>
        <v>0.26974590986215691</v>
      </c>
      <c r="HJ201" s="199">
        <f t="shared" ca="1" si="793"/>
        <v>0.27061988695131678</v>
      </c>
      <c r="HK201" s="199">
        <f t="shared" ca="1" si="793"/>
        <v>0.27149669572735113</v>
      </c>
      <c r="HL201" s="199">
        <f t="shared" ca="1" si="793"/>
        <v>0.27237634536492883</v>
      </c>
      <c r="HM201" s="199">
        <f t="shared" ca="1" si="793"/>
        <v>0.273258845068445</v>
      </c>
      <c r="HN201" s="199">
        <f t="shared" ca="1" si="793"/>
        <v>0.27414420407211693</v>
      </c>
      <c r="HO201" s="199">
        <f t="shared" ca="1" si="793"/>
        <v>0.27503243164008057</v>
      </c>
      <c r="HP201" s="199">
        <f t="shared" ca="1" si="793"/>
        <v>0.27592353706648798</v>
      </c>
      <c r="HQ201" s="199">
        <f t="shared" ca="1" si="793"/>
        <v>0.27681752967560413</v>
      </c>
      <c r="HR201" s="199">
        <f t="shared" ca="1" si="793"/>
        <v>0.27771441882190467</v>
      </c>
      <c r="HS201" s="199">
        <f t="shared" ca="1" si="793"/>
        <v>0.27861421389017366</v>
      </c>
      <c r="HT201" s="199">
        <f t="shared" ca="1" si="793"/>
        <v>0.27951692429560204</v>
      </c>
      <c r="HU201" s="199">
        <f t="shared" ca="1" si="793"/>
        <v>0.28042255948388589</v>
      </c>
      <c r="HV201" s="199">
        <f t="shared" ca="1" si="793"/>
        <v>0.28133112893132534</v>
      </c>
      <c r="HW201" s="199">
        <f t="shared" ca="1" si="793"/>
        <v>0.28224264214492373</v>
      </c>
      <c r="HX201" s="199">
        <f t="shared" ca="1" si="793"/>
        <v>0.28315710866248717</v>
      </c>
      <c r="HY201" s="199">
        <f t="shared" ca="1" si="793"/>
        <v>0.2840745380527242</v>
      </c>
      <c r="HZ201" s="199">
        <f t="shared" ca="1" si="793"/>
        <v>0.28499493991534608</v>
      </c>
      <c r="IA201" s="199">
        <f t="shared" ca="1" si="793"/>
        <v>0.28591832388116711</v>
      </c>
      <c r="IB201" s="199">
        <f t="shared" ca="1" si="793"/>
        <v>0.28684469961220543</v>
      </c>
      <c r="IC201" s="199">
        <f t="shared" ca="1" si="793"/>
        <v>0.28777407680178402</v>
      </c>
      <c r="ID201" s="199">
        <f t="shared" ca="1" si="793"/>
        <v>0.28870646517463255</v>
      </c>
      <c r="IE201" s="199">
        <f t="shared" ca="1" si="793"/>
        <v>0.28964187448698842</v>
      </c>
      <c r="IF201" s="199">
        <f t="shared" ca="1" si="793"/>
        <v>0.29058031452669952</v>
      </c>
      <c r="IG201" s="199">
        <f t="shared" ca="1" si="793"/>
        <v>0.29152179511332643</v>
      </c>
      <c r="IH201" s="199">
        <f t="shared" ca="1" si="793"/>
        <v>0.29246632609824486</v>
      </c>
      <c r="II201" s="199">
        <f t="shared" ca="1" si="793"/>
        <v>0.2934139173647492</v>
      </c>
      <c r="IJ201" s="199">
        <f t="shared" ca="1" si="793"/>
        <v>0.29436457882815559</v>
      </c>
      <c r="IK201" s="199">
        <f t="shared" ca="1" si="793"/>
        <v>0.29531832043590595</v>
      </c>
      <c r="IL201" s="199">
        <f t="shared" ca="1" si="793"/>
        <v>0.29627515216767181</v>
      </c>
      <c r="IM201" s="199">
        <f t="shared" ca="1" si="793"/>
        <v>0.29723508403545895</v>
      </c>
      <c r="IN201" s="199">
        <f t="shared" ca="1" si="793"/>
        <v>0.29819812608371193</v>
      </c>
      <c r="IO201" s="199">
        <f t="shared" ca="1" si="793"/>
        <v>0.29916428838941944</v>
      </c>
      <c r="IP201" s="199">
        <f t="shared" ca="1" si="793"/>
        <v>0.30013358106221949</v>
      </c>
      <c r="IQ201" s="199">
        <f t="shared" ca="1" si="793"/>
        <v>0.30110601424450562</v>
      </c>
      <c r="IR201" s="199">
        <f t="shared" ca="1" si="793"/>
        <v>0.30208159811153229</v>
      </c>
      <c r="IS201" s="199">
        <f t="shared" ca="1" si="793"/>
        <v>0.30306034287152223</v>
      </c>
      <c r="IT201" s="199">
        <f t="shared" ca="1" si="793"/>
        <v>0.30404225876577251</v>
      </c>
      <c r="IU201" s="199">
        <f t="shared" ca="1" si="793"/>
        <v>0.30502735606876225</v>
      </c>
      <c r="IV201" s="199">
        <f t="shared" ca="1" si="793"/>
        <v>0.30601564508825979</v>
      </c>
      <c r="IW201" s="199">
        <f t="shared" ca="1" si="793"/>
        <v>0.30700713616543052</v>
      </c>
      <c r="IX201" s="199">
        <f t="shared" ca="1" si="793"/>
        <v>0.30800183967494543</v>
      </c>
      <c r="IY201" s="199">
        <f t="shared" ca="1" si="793"/>
        <v>0.30899976602508938</v>
      </c>
      <c r="IZ201" s="199">
        <f t="shared" ca="1" si="793"/>
        <v>0.31000092565787013</v>
      </c>
      <c r="JA201" s="199">
        <f t="shared" ref="JA201:LL201" ca="1" si="794">JA86/$I$45*$B$15/1000000</f>
        <v>0.31100532904912748</v>
      </c>
      <c r="JB201" s="199">
        <f t="shared" ca="1" si="794"/>
        <v>0.31201298670864297</v>
      </c>
      <c r="JC201" s="199">
        <f t="shared" ca="1" si="794"/>
        <v>0.31302390918024992</v>
      </c>
      <c r="JD201" s="199">
        <f t="shared" ca="1" si="794"/>
        <v>0.31403810704194357</v>
      </c>
      <c r="JE201" s="199">
        <f t="shared" ca="1" si="794"/>
        <v>0.315055590905992</v>
      </c>
      <c r="JF201" s="199">
        <f t="shared" ca="1" si="794"/>
        <v>0.31607637141904699</v>
      </c>
      <c r="JG201" s="199">
        <f t="shared" ca="1" si="794"/>
        <v>0.31710045926225544</v>
      </c>
      <c r="JH201" s="199">
        <f t="shared" ca="1" si="794"/>
        <v>0.31812786515137131</v>
      </c>
      <c r="JI201" s="199">
        <f t="shared" ca="1" si="794"/>
        <v>0.31915859983686756</v>
      </c>
      <c r="JJ201" s="199">
        <f t="shared" ca="1" si="794"/>
        <v>0.32019267410404856</v>
      </c>
      <c r="JK201" s="199">
        <f t="shared" ca="1" si="794"/>
        <v>0.32123009877316328</v>
      </c>
      <c r="JL201" s="199">
        <f t="shared" ca="1" si="794"/>
        <v>0.32227088469951809</v>
      </c>
      <c r="JM201" s="199">
        <f t="shared" ca="1" si="794"/>
        <v>0.32331504277359091</v>
      </c>
      <c r="JN201" s="199">
        <f t="shared" ca="1" si="794"/>
        <v>0.32436258392114442</v>
      </c>
      <c r="JO201" s="199">
        <f t="shared" ca="1" si="794"/>
        <v>0.3254135191033411</v>
      </c>
      <c r="JP201" s="199">
        <f t="shared" ca="1" si="794"/>
        <v>0.32646785931685746</v>
      </c>
      <c r="JQ201" s="199">
        <f t="shared" ca="1" si="794"/>
        <v>0.32752561559399929</v>
      </c>
      <c r="JR201" s="199">
        <f t="shared" ca="1" si="794"/>
        <v>0.32858679900281695</v>
      </c>
      <c r="JS201" s="199">
        <f t="shared" ca="1" si="794"/>
        <v>0.32965142064722153</v>
      </c>
      <c r="JT201" s="199">
        <f t="shared" ca="1" si="794"/>
        <v>0.33071949166710063</v>
      </c>
      <c r="JU201" s="199">
        <f t="shared" ca="1" si="794"/>
        <v>0.33179102323843523</v>
      </c>
      <c r="JV201" s="199">
        <f t="shared" ca="1" si="794"/>
        <v>0.33286602657341624</v>
      </c>
      <c r="JW201" s="199">
        <f t="shared" ca="1" si="794"/>
        <v>0.33394451292056249</v>
      </c>
      <c r="JX201" s="199">
        <f t="shared" ca="1" si="794"/>
        <v>0.3350264935648376</v>
      </c>
      <c r="JY201" s="199">
        <f t="shared" ca="1" si="794"/>
        <v>0.3361119798277688</v>
      </c>
      <c r="JZ201" s="199">
        <f t="shared" ca="1" si="794"/>
        <v>0.33720098306756502</v>
      </c>
      <c r="KA201" s="199">
        <f t="shared" ca="1" si="794"/>
        <v>0.33829351467923563</v>
      </c>
      <c r="KB201" s="199">
        <f t="shared" ca="1" si="794"/>
        <v>0.33938958609471004</v>
      </c>
      <c r="KC201" s="199">
        <f t="shared" ca="1" si="794"/>
        <v>0.34048920878295691</v>
      </c>
      <c r="KD201" s="199">
        <f t="shared" ca="1" si="794"/>
        <v>0.34159239425010474</v>
      </c>
      <c r="KE201" s="199">
        <f t="shared" ca="1" si="794"/>
        <v>0.34269915403956153</v>
      </c>
      <c r="KF201" s="199">
        <f t="shared" ca="1" si="794"/>
        <v>0.3438094997321362</v>
      </c>
      <c r="KG201" s="199">
        <f t="shared" ca="1" si="794"/>
        <v>0.34492344294615918</v>
      </c>
      <c r="KH201" s="199">
        <f t="shared" ca="1" si="794"/>
        <v>0.34604099533760474</v>
      </c>
      <c r="KI201" s="199">
        <f t="shared" ca="1" si="794"/>
        <v>0.34716216860021221</v>
      </c>
      <c r="KJ201" s="199">
        <f t="shared" ca="1" si="794"/>
        <v>0.34828697446560863</v>
      </c>
      <c r="KK201" s="199">
        <f t="shared" ca="1" si="794"/>
        <v>0.34941542470343173</v>
      </c>
      <c r="KL201" s="199">
        <f t="shared" ca="1" si="794"/>
        <v>0.35054753112145287</v>
      </c>
      <c r="KM201" s="199">
        <f t="shared" ca="1" si="794"/>
        <v>0.35168330556570038</v>
      </c>
      <c r="KN201" s="199">
        <f t="shared" ca="1" si="794"/>
        <v>0.35282275992058393</v>
      </c>
      <c r="KO201" s="199">
        <f t="shared" ca="1" si="794"/>
        <v>0.35396590610901857</v>
      </c>
      <c r="KP201" s="199">
        <f t="shared" ca="1" si="794"/>
        <v>0.35511275609254978</v>
      </c>
      <c r="KQ201" s="199">
        <f t="shared" ca="1" si="794"/>
        <v>0.35626332187147824</v>
      </c>
      <c r="KR201" s="199">
        <f t="shared" ca="1" si="794"/>
        <v>0.35741761548498574</v>
      </c>
      <c r="KS201" s="199">
        <f t="shared" ca="1" si="794"/>
        <v>0.35857564901126121</v>
      </c>
      <c r="KT201" s="199">
        <f t="shared" ca="1" si="794"/>
        <v>0.35973743456762669</v>
      </c>
      <c r="KU201" s="199">
        <f t="shared" ca="1" si="794"/>
        <v>0.3609029843106642</v>
      </c>
      <c r="KV201" s="199">
        <f t="shared" ca="1" si="794"/>
        <v>0.36207231043634353</v>
      </c>
      <c r="KW201" s="199">
        <f t="shared" ca="1" si="794"/>
        <v>0.36324542518014918</v>
      </c>
      <c r="KX201" s="199">
        <f t="shared" ca="1" si="794"/>
        <v>0.36442234081720865</v>
      </c>
      <c r="KY201" s="199">
        <f t="shared" ca="1" si="794"/>
        <v>0.3656030696624209</v>
      </c>
      <c r="KZ201" s="199">
        <f t="shared" ca="1" si="794"/>
        <v>0.36678762407058507</v>
      </c>
      <c r="LA201" s="199">
        <f t="shared" ca="1" si="794"/>
        <v>0.36797601643653022</v>
      </c>
      <c r="LB201" s="199">
        <f t="shared" ca="1" si="794"/>
        <v>0.36916825919524415</v>
      </c>
      <c r="LC201" s="199">
        <f t="shared" ca="1" si="794"/>
        <v>0.37036436482200441</v>
      </c>
      <c r="LD201" s="199">
        <f t="shared" ca="1" si="794"/>
        <v>0.37156434583250847</v>
      </c>
      <c r="LE201" s="199">
        <f t="shared" ca="1" si="794"/>
        <v>0.37276821478300426</v>
      </c>
      <c r="LF201" s="199">
        <f t="shared" ca="1" si="794"/>
        <v>0.37397598427042256</v>
      </c>
      <c r="LG201" s="199">
        <f t="shared" ca="1" si="794"/>
        <v>0.37518766693250771</v>
      </c>
      <c r="LH201" s="199">
        <f t="shared" ca="1" si="794"/>
        <v>0.37640327544795082</v>
      </c>
      <c r="LI201" s="199">
        <f t="shared" ca="1" si="794"/>
        <v>0.37762282253652152</v>
      </c>
      <c r="LJ201" s="199">
        <f t="shared" ca="1" si="794"/>
        <v>0.3788463209592019</v>
      </c>
      <c r="LK201" s="199">
        <f t="shared" ca="1" si="794"/>
        <v>0.38007378351831939</v>
      </c>
      <c r="LL201" s="199">
        <f t="shared" ca="1" si="794"/>
        <v>0.381305223057681</v>
      </c>
      <c r="LM201" s="199">
        <f t="shared" ref="LM201:NX201" ca="1" si="795">LM86/$I$45*$B$15/1000000</f>
        <v>0.38254065246270791</v>
      </c>
      <c r="LN201" s="199">
        <f t="shared" ca="1" si="795"/>
        <v>0.38378008466056973</v>
      </c>
      <c r="LO201" s="199">
        <f t="shared" ca="1" si="795"/>
        <v>0.38502353262032041</v>
      </c>
      <c r="LP201" s="199">
        <f t="shared" ca="1" si="795"/>
        <v>0.3862710093530336</v>
      </c>
      <c r="LQ201" s="199">
        <f t="shared" ca="1" si="795"/>
        <v>0.38752252791193875</v>
      </c>
      <c r="LR201" s="199">
        <f t="shared" ca="1" si="795"/>
        <v>0.38877810139255775</v>
      </c>
      <c r="LS201" s="199">
        <f t="shared" ca="1" si="795"/>
        <v>0.39003774293284216</v>
      </c>
      <c r="LT201" s="199">
        <f t="shared" ca="1" si="795"/>
        <v>0.39130146571331048</v>
      </c>
      <c r="LU201" s="199">
        <f t="shared" ca="1" si="795"/>
        <v>0.39256928295718591</v>
      </c>
      <c r="LV201" s="199">
        <f t="shared" ca="1" si="795"/>
        <v>0.39384120793053529</v>
      </c>
      <c r="LW201" s="199">
        <f t="shared" ca="1" si="795"/>
        <v>0.39511725394240715</v>
      </c>
      <c r="LX201" s="199">
        <f t="shared" ca="1" si="795"/>
        <v>0.3963974343449716</v>
      </c>
      <c r="LY201" s="199">
        <f t="shared" ca="1" si="795"/>
        <v>0.39768176253365972</v>
      </c>
      <c r="LZ201" s="199">
        <f t="shared" ca="1" si="795"/>
        <v>0.39897025194730373</v>
      </c>
      <c r="MA201" s="199">
        <f t="shared" ca="1" si="795"/>
        <v>0.40026291606827774</v>
      </c>
      <c r="MB201" s="199">
        <f t="shared" ca="1" si="795"/>
        <v>0.40155976842263891</v>
      </c>
      <c r="MC201" s="199">
        <f t="shared" ca="1" si="795"/>
        <v>0.40286082258026856</v>
      </c>
      <c r="MD201" s="199">
        <f t="shared" ca="1" si="795"/>
        <v>0.40416609215501464</v>
      </c>
      <c r="ME201" s="199">
        <f t="shared" ca="1" si="795"/>
        <v>0.40547559080483397</v>
      </c>
      <c r="MF201" s="199">
        <f t="shared" ca="1" si="795"/>
        <v>0.40678933223193514</v>
      </c>
      <c r="MG201" s="199">
        <f t="shared" ca="1" si="795"/>
        <v>0.40810733018292183</v>
      </c>
      <c r="MH201" s="199">
        <f t="shared" ca="1" si="795"/>
        <v>0.409429598448937</v>
      </c>
      <c r="MI201" s="199">
        <f t="shared" ca="1" si="795"/>
        <v>0.41075615086580658</v>
      </c>
      <c r="MJ201" s="199">
        <f t="shared" ca="1" si="795"/>
        <v>0.41208700131418469</v>
      </c>
      <c r="MK201" s="199">
        <f t="shared" ca="1" si="795"/>
        <v>0.41342216371969909</v>
      </c>
      <c r="ML201" s="199">
        <f t="shared" ca="1" si="795"/>
        <v>0.41476165205309617</v>
      </c>
      <c r="MM201" s="199">
        <f t="shared" ca="1" si="795"/>
        <v>0.41610548033038774</v>
      </c>
      <c r="MN201" s="199">
        <f t="shared" ca="1" si="795"/>
        <v>0.41745366261299771</v>
      </c>
      <c r="MO201" s="199">
        <f t="shared" ca="1" si="795"/>
        <v>0.41880621300790855</v>
      </c>
      <c r="MP201" s="199">
        <f t="shared" ca="1" si="795"/>
        <v>0.42016314566780982</v>
      </c>
      <c r="MQ201" s="199">
        <f t="shared" ca="1" si="795"/>
        <v>0.42152447479124561</v>
      </c>
      <c r="MR201" s="199">
        <f t="shared" ca="1" si="795"/>
        <v>0.42289021462276322</v>
      </c>
      <c r="MS201" s="199">
        <f t="shared" ca="1" si="795"/>
        <v>0.42426037945306261</v>
      </c>
      <c r="MT201" s="199">
        <f t="shared" ca="1" si="795"/>
        <v>0.4256349836191452</v>
      </c>
      <c r="MU201" s="199">
        <f t="shared" ca="1" si="795"/>
        <v>0.42701404150446476</v>
      </c>
      <c r="MV201" s="199">
        <f t="shared" ca="1" si="795"/>
        <v>0.4283975675390771</v>
      </c>
      <c r="MW201" s="199">
        <f t="shared" ca="1" si="795"/>
        <v>0.42978557619979157</v>
      </c>
      <c r="MX201" s="199">
        <f t="shared" ca="1" si="795"/>
        <v>0.43117808201032254</v>
      </c>
      <c r="MY201" s="199">
        <f t="shared" ca="1" si="795"/>
        <v>0.43257509954144108</v>
      </c>
      <c r="MZ201" s="199">
        <f t="shared" ca="1" si="795"/>
        <v>0.43397664341112752</v>
      </c>
      <c r="NA201" s="199">
        <f t="shared" ca="1" si="795"/>
        <v>0.43538272828472452</v>
      </c>
      <c r="NB201" s="199">
        <f t="shared" ca="1" si="795"/>
        <v>0.43679336887509063</v>
      </c>
      <c r="NC201" s="199">
        <f t="shared" ca="1" si="795"/>
        <v>0.43820857994275381</v>
      </c>
      <c r="ND201" s="199">
        <f t="shared" ca="1" si="795"/>
        <v>0.43962837629606638</v>
      </c>
      <c r="NE201" s="199">
        <f t="shared" ca="1" si="795"/>
        <v>0.44105277279135963</v>
      </c>
      <c r="NF201" s="199">
        <f t="shared" ca="1" si="795"/>
        <v>0.44248178433309937</v>
      </c>
      <c r="NG201" s="199">
        <f t="shared" ca="1" si="795"/>
        <v>0.44391542587404192</v>
      </c>
      <c r="NH201" s="199">
        <f t="shared" ca="1" si="795"/>
        <v>0.44535371241539051</v>
      </c>
      <c r="NI201" s="199">
        <f t="shared" ca="1" si="795"/>
        <v>0.44679665900695242</v>
      </c>
      <c r="NJ201" s="199">
        <f t="shared" ca="1" si="795"/>
        <v>0.44824428074729622</v>
      </c>
      <c r="NK201" s="199">
        <f t="shared" ca="1" si="795"/>
        <v>0.44969659278390994</v>
      </c>
      <c r="NL201" s="199">
        <f t="shared" ca="1" si="795"/>
        <v>0.45115361031335932</v>
      </c>
      <c r="NM201" s="199">
        <f t="shared" ca="1" si="795"/>
        <v>0.45261534858144709</v>
      </c>
      <c r="NN201" s="199">
        <f t="shared" ca="1" si="795"/>
        <v>0.45408182288337245</v>
      </c>
      <c r="NO201" s="199">
        <f t="shared" ca="1" si="795"/>
        <v>0.45555304856389089</v>
      </c>
      <c r="NP201" s="199">
        <f t="shared" ca="1" si="795"/>
        <v>0.45702904101747532</v>
      </c>
      <c r="NQ201" s="199">
        <f t="shared" ca="1" si="795"/>
        <v>0.45850981568847626</v>
      </c>
      <c r="NR201" s="199">
        <f t="shared" ca="1" si="795"/>
        <v>0.45999538807128426</v>
      </c>
      <c r="NS201" s="199">
        <f t="shared" ca="1" si="795"/>
        <v>0.46148577371049188</v>
      </c>
      <c r="NT201" s="199">
        <f t="shared" ca="1" si="795"/>
        <v>0.46298098820105571</v>
      </c>
      <c r="NU201" s="199">
        <f t="shared" ca="1" si="795"/>
        <v>0.46448104718846017</v>
      </c>
      <c r="NV201" s="199">
        <f t="shared" ca="1" si="795"/>
        <v>0.46598596636888134</v>
      </c>
      <c r="NW201" s="199">
        <f t="shared" ca="1" si="795"/>
        <v>0.46749576148935068</v>
      </c>
      <c r="NX201" s="199">
        <f t="shared" ca="1" si="795"/>
        <v>0.46901044834792011</v>
      </c>
      <c r="NY201" s="199">
        <f t="shared" ref="NY201:QJ201" ca="1" si="796">NY86/$I$45*$B$15/1000000</f>
        <v>0.47053004279382732</v>
      </c>
      <c r="NZ201" s="199">
        <f t="shared" ca="1" si="796"/>
        <v>0.47205456072766133</v>
      </c>
      <c r="OA201" s="199">
        <f t="shared" ca="1" si="796"/>
        <v>0.47358401810152945</v>
      </c>
      <c r="OB201" s="199">
        <f t="shared" ca="1" si="796"/>
        <v>0.47511843091922351</v>
      </c>
      <c r="OC201" s="199">
        <f t="shared" ca="1" si="796"/>
        <v>0.47665781523638778</v>
      </c>
      <c r="OD201" s="199">
        <f t="shared" ca="1" si="796"/>
        <v>0.47820218716068685</v>
      </c>
      <c r="OE201" s="199">
        <f t="shared" ca="1" si="796"/>
        <v>0.47975156285197423</v>
      </c>
      <c r="OF201" s="199">
        <f t="shared" ca="1" si="796"/>
        <v>0.48130595852246111</v>
      </c>
      <c r="OG201" s="199">
        <f t="shared" ca="1" si="796"/>
        <v>0.48286539043688664</v>
      </c>
      <c r="OH201" s="199">
        <f t="shared" ca="1" si="796"/>
        <v>0.48442987491268735</v>
      </c>
      <c r="OI201" s="199">
        <f t="shared" ca="1" si="796"/>
        <v>0.48599942832016868</v>
      </c>
      <c r="OJ201" s="199">
        <f t="shared" ca="1" si="796"/>
        <v>0.48757406708267559</v>
      </c>
      <c r="OK201" s="199">
        <f t="shared" ca="1" si="796"/>
        <v>0.48915380767676486</v>
      </c>
      <c r="OL201" s="199">
        <f t="shared" ca="1" si="796"/>
        <v>0.49073866663237714</v>
      </c>
      <c r="OM201" s="199">
        <f t="shared" ca="1" si="796"/>
        <v>0.49232866053301033</v>
      </c>
      <c r="ON201" s="199">
        <f t="shared" ca="1" si="796"/>
        <v>0.49392380601589281</v>
      </c>
      <c r="OO201" s="199">
        <f t="shared" ca="1" si="796"/>
        <v>0.49552411977215766</v>
      </c>
      <c r="OP201" s="199">
        <f t="shared" ca="1" si="796"/>
        <v>0.49712961854701693</v>
      </c>
      <c r="OQ201" s="199">
        <f t="shared" ca="1" si="796"/>
        <v>0.49874031913993772</v>
      </c>
      <c r="OR201" s="199">
        <f t="shared" ca="1" si="796"/>
        <v>0.5003562384048168</v>
      </c>
      <c r="OS201" s="199">
        <f t="shared" ca="1" si="796"/>
        <v>0.50197739325015811</v>
      </c>
      <c r="OT201" s="199">
        <f t="shared" ca="1" si="796"/>
        <v>0.50360380063924903</v>
      </c>
      <c r="OU201" s="199">
        <f t="shared" ca="1" si="796"/>
        <v>0.50523547759033782</v>
      </c>
      <c r="OV201" s="199">
        <f t="shared" ca="1" si="796"/>
        <v>0.50687244117681218</v>
      </c>
      <c r="OW201" s="199">
        <f t="shared" ca="1" si="796"/>
        <v>0.50851470852737723</v>
      </c>
      <c r="OX201" s="199">
        <f t="shared" ca="1" si="796"/>
        <v>0.51016229682623548</v>
      </c>
      <c r="OY201" s="199">
        <f t="shared" ca="1" si="796"/>
        <v>0.51181522331326612</v>
      </c>
      <c r="OZ201" s="199">
        <f t="shared" ca="1" si="796"/>
        <v>0.51347350528420543</v>
      </c>
      <c r="PA201" s="199">
        <f t="shared" ca="1" si="796"/>
        <v>0.51513716009082833</v>
      </c>
      <c r="PB201" s="199">
        <f t="shared" ca="1" si="796"/>
        <v>0.51680620514112907</v>
      </c>
      <c r="PC201" s="199">
        <f t="shared" ca="1" si="796"/>
        <v>0.51848065789950393</v>
      </c>
      <c r="PD201" s="199">
        <f t="shared" ca="1" si="796"/>
        <v>0.52016053588693401</v>
      </c>
      <c r="PE201" s="199">
        <f t="shared" ca="1" si="796"/>
        <v>0.52184585668116823</v>
      </c>
      <c r="PF201" s="199">
        <f t="shared" ca="1" si="796"/>
        <v>0.52353663791690752</v>
      </c>
      <c r="PG201" s="199">
        <f t="shared" ca="1" si="796"/>
        <v>0.52523289728598943</v>
      </c>
      <c r="PH201" s="199">
        <f t="shared" ca="1" si="796"/>
        <v>0.52693465253757277</v>
      </c>
      <c r="PI201" s="199">
        <f t="shared" ca="1" si="796"/>
        <v>0.52864192147832378</v>
      </c>
      <c r="PJ201" s="199">
        <f t="shared" ca="1" si="796"/>
        <v>0.53035472197260247</v>
      </c>
      <c r="PK201" s="199">
        <f t="shared" ca="1" si="796"/>
        <v>0.53207307194264897</v>
      </c>
      <c r="PL201" s="199">
        <f t="shared" ca="1" si="796"/>
        <v>0.53379698936877229</v>
      </c>
      <c r="PM201" s="199">
        <f t="shared" ca="1" si="796"/>
        <v>0.53552649228953653</v>
      </c>
      <c r="PN201" s="199">
        <f t="shared" ca="1" si="796"/>
        <v>0.5372615988019519</v>
      </c>
      <c r="PO201" s="199">
        <f t="shared" ca="1" si="796"/>
        <v>0.53900232706166218</v>
      </c>
      <c r="PP201" s="199">
        <f t="shared" ca="1" si="796"/>
        <v>0.54074869528313596</v>
      </c>
      <c r="PQ201" s="199">
        <f t="shared" ca="1" si="796"/>
        <v>0.5425007217398562</v>
      </c>
      <c r="PR201" s="199">
        <f t="shared" ca="1" si="796"/>
        <v>0.54425842476451236</v>
      </c>
      <c r="PS201" s="199">
        <f t="shared" ca="1" si="796"/>
        <v>0.54602182274919187</v>
      </c>
      <c r="PT201" s="199">
        <f t="shared" ca="1" si="796"/>
        <v>0.54779093414557223</v>
      </c>
      <c r="PU201" s="199">
        <f t="shared" ca="1" si="796"/>
        <v>0.5495657774651147</v>
      </c>
      <c r="PV201" s="199">
        <f t="shared" ca="1" si="796"/>
        <v>0.55134637127925745</v>
      </c>
      <c r="PW201" s="199">
        <f t="shared" ca="1" si="796"/>
        <v>0.55313273421961051</v>
      </c>
      <c r="PX201" s="199">
        <f t="shared" ca="1" si="796"/>
        <v>0.55492488497814962</v>
      </c>
      <c r="PY201" s="199">
        <f t="shared" ca="1" si="796"/>
        <v>0.55672284230741342</v>
      </c>
      <c r="PZ201" s="199">
        <f t="shared" ca="1" si="796"/>
        <v>0.55852662502069839</v>
      </c>
      <c r="QA201" s="199">
        <f t="shared" ca="1" si="796"/>
        <v>0.56033625199225601</v>
      </c>
      <c r="QB201" s="199">
        <f t="shared" ca="1" si="796"/>
        <v>0.56215174215749053</v>
      </c>
      <c r="QC201" s="199">
        <f t="shared" ca="1" si="796"/>
        <v>0.5639731145131569</v>
      </c>
      <c r="QD201" s="199">
        <f t="shared" ca="1" si="796"/>
        <v>0.56580038811755951</v>
      </c>
      <c r="QE201" s="199">
        <f t="shared" ca="1" si="796"/>
        <v>0.56763358209075165</v>
      </c>
      <c r="QF201" s="199">
        <f t="shared" ca="1" si="796"/>
        <v>0.56947271561473578</v>
      </c>
      <c r="QG201" s="199">
        <f t="shared" ca="1" si="796"/>
        <v>0.57131780793366393</v>
      </c>
      <c r="QH201" s="199">
        <f t="shared" ca="1" si="796"/>
        <v>0.5731688783540394</v>
      </c>
      <c r="QI201" s="199">
        <f t="shared" ca="1" si="796"/>
        <v>0.57502594624491832</v>
      </c>
      <c r="QJ201" s="199">
        <f t="shared" ca="1" si="796"/>
        <v>0.57688903103811273</v>
      </c>
      <c r="QK201" s="199">
        <f t="shared" ref="QK201:RR201" ca="1" si="797">QK86/$I$45*$B$15/1000000</f>
        <v>0.57875815222839355</v>
      </c>
      <c r="QL201" s="199">
        <f t="shared" ca="1" si="797"/>
        <v>0.58063332937369538</v>
      </c>
      <c r="QM201" s="199">
        <f t="shared" ca="1" si="797"/>
        <v>0.58251458209532003</v>
      </c>
      <c r="QN201" s="199">
        <f t="shared" ca="1" si="797"/>
        <v>0.58440193007814212</v>
      </c>
      <c r="QO201" s="199">
        <f t="shared" ca="1" si="797"/>
        <v>0.58629539307081602</v>
      </c>
      <c r="QP201" s="199">
        <f t="shared" ca="1" si="797"/>
        <v>0.58819499088598126</v>
      </c>
      <c r="QQ201" s="199">
        <f t="shared" ca="1" si="797"/>
        <v>0.59010074340047047</v>
      </c>
      <c r="QR201" s="199">
        <f t="shared" ca="1" si="797"/>
        <v>0.59201267055551732</v>
      </c>
      <c r="QS201" s="199">
        <f t="shared" ca="1" si="797"/>
        <v>0.59393079235696478</v>
      </c>
      <c r="QT201" s="199">
        <f t="shared" ca="1" si="797"/>
        <v>0.59585512887547543</v>
      </c>
      <c r="QU201" s="199">
        <f t="shared" ca="1" si="797"/>
        <v>0.59778570024673994</v>
      </c>
      <c r="QV201" s="199">
        <f t="shared" ca="1" si="797"/>
        <v>0.59972252667168946</v>
      </c>
      <c r="QW201" s="199">
        <f t="shared" ca="1" si="797"/>
        <v>0.60166562841670568</v>
      </c>
      <c r="QX201" s="199">
        <f t="shared" ca="1" si="797"/>
        <v>0.60361502581383353</v>
      </c>
      <c r="QY201" s="199">
        <f t="shared" ca="1" si="797"/>
        <v>0.60557073926099414</v>
      </c>
      <c r="QZ201" s="199">
        <f t="shared" ca="1" si="797"/>
        <v>0.60753278922219722</v>
      </c>
      <c r="RA201" s="199">
        <f t="shared" ca="1" si="797"/>
        <v>0.60950119622775656</v>
      </c>
      <c r="RB201" s="199">
        <f t="shared" ca="1" si="797"/>
        <v>0.61147598087450372</v>
      </c>
      <c r="RC201" s="199">
        <f t="shared" ca="1" si="797"/>
        <v>0.61345716382600424</v>
      </c>
      <c r="RD201" s="199">
        <f t="shared" ca="1" si="797"/>
        <v>0.61544476581277374</v>
      </c>
      <c r="RE201" s="199">
        <f t="shared" ca="1" si="797"/>
        <v>0.61743880763249448</v>
      </c>
      <c r="RF201" s="199">
        <f t="shared" ca="1" si="797"/>
        <v>0.61943931015023346</v>
      </c>
      <c r="RG201" s="199">
        <f t="shared" ca="1" si="797"/>
        <v>0.62144629429866027</v>
      </c>
      <c r="RH201" s="199">
        <f t="shared" ca="1" si="797"/>
        <v>0.62345978107826672</v>
      </c>
      <c r="RI201" s="199">
        <f t="shared" ca="1" si="797"/>
        <v>0.62547979155758604</v>
      </c>
      <c r="RJ201" s="199">
        <f t="shared" ca="1" si="797"/>
        <v>0.62750634687341345</v>
      </c>
      <c r="RK201" s="199">
        <f t="shared" ca="1" si="797"/>
        <v>0.62953946823102747</v>
      </c>
      <c r="RL201" s="199">
        <f t="shared" ca="1" si="797"/>
        <v>0.63157917690441201</v>
      </c>
      <c r="RM201" s="199">
        <f t="shared" ca="1" si="797"/>
        <v>0.6336254942364784</v>
      </c>
      <c r="RN201" s="199">
        <f t="shared" ca="1" si="797"/>
        <v>0.63567844163928899</v>
      </c>
      <c r="RO201" s="199">
        <f t="shared" ca="1" si="797"/>
        <v>0.63773804059428163</v>
      </c>
      <c r="RP201" s="199">
        <f t="shared" ca="1" si="797"/>
        <v>0.6398043126524936</v>
      </c>
      <c r="RQ201" s="199">
        <f t="shared" ca="1" si="797"/>
        <v>0.64187727943478778</v>
      </c>
      <c r="RR201" s="199">
        <f t="shared" ca="1" si="797"/>
        <v>0.64395696263207891</v>
      </c>
    </row>
    <row r="202" spans="1:486">
      <c r="D202" s="9" t="s">
        <v>357</v>
      </c>
      <c r="E202" s="199">
        <f>E87*$B$17/1000000+$E$46</f>
        <v>0.10801478331970565</v>
      </c>
      <c r="F202" s="199">
        <f t="shared" ref="F202:L202" ca="1" si="798">F87*$B$17/1000000+$E$46</f>
        <v>0.10825958091323214</v>
      </c>
      <c r="G202" s="199">
        <f t="shared" ca="1" si="798"/>
        <v>0.10850517165127128</v>
      </c>
      <c r="H202" s="199">
        <f t="shared" ca="1" si="798"/>
        <v>0.10875155810361234</v>
      </c>
      <c r="I202" s="199">
        <f t="shared" ca="1" si="798"/>
        <v>0.10899874284837063</v>
      </c>
      <c r="J202" s="199">
        <f t="shared" ca="1" si="798"/>
        <v>0.10924672847201461</v>
      </c>
      <c r="K202" s="199">
        <f t="shared" ca="1" si="798"/>
        <v>0.10949551756939288</v>
      </c>
      <c r="L202" s="199">
        <f t="shared" ca="1" si="798"/>
        <v>0.10974511274376134</v>
      </c>
      <c r="M202" s="199">
        <f t="shared" ref="M202:BX202" ca="1" si="799">M87*$B$17/1000000+$E$46</f>
        <v>0.10999551660681048</v>
      </c>
      <c r="N202" s="199">
        <f t="shared" ca="1" si="799"/>
        <v>0.11024673177869265</v>
      </c>
      <c r="O202" s="199">
        <f t="shared" ca="1" si="799"/>
        <v>0.11049876088804945</v>
      </c>
      <c r="P202" s="199">
        <f t="shared" ca="1" si="799"/>
        <v>0.1107516065720394</v>
      </c>
      <c r="Q202" s="199">
        <f t="shared" ca="1" si="799"/>
        <v>0.1110052714763653</v>
      </c>
      <c r="R202" s="199">
        <f t="shared" ca="1" si="799"/>
        <v>0.11125975825530209</v>
      </c>
      <c r="S202" s="199">
        <f t="shared" ca="1" si="799"/>
        <v>0.11151506957172448</v>
      </c>
      <c r="T202" s="199">
        <f t="shared" ca="1" si="799"/>
        <v>0.1117712080971351</v>
      </c>
      <c r="U202" s="199">
        <f t="shared" ca="1" si="799"/>
        <v>0.11202817651169199</v>
      </c>
      <c r="V202" s="199">
        <f t="shared" ca="1" si="799"/>
        <v>0.11228597750423712</v>
      </c>
      <c r="W202" s="199">
        <f t="shared" ca="1" si="799"/>
        <v>0.11254461377232419</v>
      </c>
      <c r="X202" s="199">
        <f t="shared" ca="1" si="799"/>
        <v>0.11280408802224702</v>
      </c>
      <c r="Y202" s="199">
        <f t="shared" ca="1" si="799"/>
        <v>0.11306440296906781</v>
      </c>
      <c r="Z202" s="199">
        <f t="shared" ca="1" si="799"/>
        <v>0.11332556133664555</v>
      </c>
      <c r="AA202" s="199">
        <f t="shared" ca="1" si="799"/>
        <v>0.11358756585766462</v>
      </c>
      <c r="AB202" s="199">
        <f t="shared" ca="1" si="799"/>
        <v>0.11385041927366321</v>
      </c>
      <c r="AC202" s="199">
        <f t="shared" ca="1" si="799"/>
        <v>0.11411412433506211</v>
      </c>
      <c r="AD202" s="199">
        <f t="shared" ca="1" si="799"/>
        <v>0.11437868380119351</v>
      </c>
      <c r="AE202" s="199">
        <f t="shared" ca="1" si="799"/>
        <v>0.11464410044032981</v>
      </c>
      <c r="AF202" s="199">
        <f t="shared" ca="1" si="799"/>
        <v>0.11491037702971268</v>
      </c>
      <c r="AG202" s="199">
        <f t="shared" ca="1" si="799"/>
        <v>0.11517751635558193</v>
      </c>
      <c r="AH202" s="199">
        <f t="shared" ca="1" si="799"/>
        <v>0.11544552121320492</v>
      </c>
      <c r="AI202" s="199">
        <f t="shared" ca="1" si="799"/>
        <v>0.1157143944069056</v>
      </c>
      <c r="AJ202" s="199">
        <f t="shared" ca="1" si="799"/>
        <v>0.11598413875009399</v>
      </c>
      <c r="AK202" s="199">
        <f t="shared" ca="1" si="799"/>
        <v>0.11625475706529551</v>
      </c>
      <c r="AL202" s="199">
        <f t="shared" ca="1" si="799"/>
        <v>0.11652625218418057</v>
      </c>
      <c r="AM202" s="199">
        <f t="shared" ca="1" si="799"/>
        <v>0.11679862694759427</v>
      </c>
      <c r="AN202" s="199">
        <f t="shared" ca="1" si="799"/>
        <v>0.11707188420558594</v>
      </c>
      <c r="AO202" s="199">
        <f t="shared" ca="1" si="799"/>
        <v>0.11734602681743916</v>
      </c>
      <c r="AP202" s="199">
        <f t="shared" ca="1" si="799"/>
        <v>0.11762105765170154</v>
      </c>
      <c r="AQ202" s="199">
        <f t="shared" ca="1" si="799"/>
        <v>0.11789697958621485</v>
      </c>
      <c r="AR202" s="199">
        <f t="shared" ca="1" si="799"/>
        <v>0.11817379550814498</v>
      </c>
      <c r="AS202" s="199">
        <f t="shared" ca="1" si="799"/>
        <v>0.11845150831401231</v>
      </c>
      <c r="AT202" s="199">
        <f t="shared" ca="1" si="799"/>
        <v>0.11873012090972195</v>
      </c>
      <c r="AU202" s="199">
        <f t="shared" ca="1" si="799"/>
        <v>0.1190096362105941</v>
      </c>
      <c r="AV202" s="199">
        <f t="shared" ca="1" si="799"/>
        <v>0.11929005714139465</v>
      </c>
      <c r="AW202" s="199">
        <f t="shared" ca="1" si="799"/>
        <v>0.11957138663636568</v>
      </c>
      <c r="AX202" s="199">
        <f t="shared" ca="1" si="799"/>
        <v>0.1198536276392563</v>
      </c>
      <c r="AY202" s="199">
        <f t="shared" ca="1" si="799"/>
        <v>0.1201367831033533</v>
      </c>
      <c r="AZ202" s="199">
        <f t="shared" ca="1" si="799"/>
        <v>0.12042085599151213</v>
      </c>
      <c r="BA202" s="199">
        <f t="shared" ca="1" si="799"/>
        <v>0.12070584927618794</v>
      </c>
      <c r="BB202" s="199">
        <f t="shared" ca="1" si="799"/>
        <v>0.12099176593946658</v>
      </c>
      <c r="BC202" s="199">
        <f t="shared" ca="1" si="799"/>
        <v>0.12127860897309589</v>
      </c>
      <c r="BD202" s="199">
        <f t="shared" ca="1" si="799"/>
        <v>0.12156638137851702</v>
      </c>
      <c r="BE202" s="199">
        <f t="shared" ca="1" si="799"/>
        <v>0.12185508616689569</v>
      </c>
      <c r="BF202" s="199">
        <f t="shared" ca="1" si="799"/>
        <v>0.12214472635915392</v>
      </c>
      <c r="BG202" s="199">
        <f t="shared" ca="1" si="799"/>
        <v>0.12243530498600143</v>
      </c>
      <c r="BH202" s="199">
        <f t="shared" ca="1" si="799"/>
        <v>0.12272682508796749</v>
      </c>
      <c r="BI202" s="199">
        <f t="shared" ca="1" si="799"/>
        <v>0.12301928971543266</v>
      </c>
      <c r="BJ202" s="199">
        <f t="shared" ca="1" si="799"/>
        <v>0.12331270192866077</v>
      </c>
      <c r="BK202" s="199">
        <f t="shared" ca="1" si="799"/>
        <v>0.12360706479783089</v>
      </c>
      <c r="BL202" s="199">
        <f t="shared" ca="1" si="799"/>
        <v>0.12390238140306944</v>
      </c>
      <c r="BM202" s="199">
        <f t="shared" ca="1" si="799"/>
        <v>0.12419865483448254</v>
      </c>
      <c r="BN202" s="199">
        <f t="shared" ca="1" si="799"/>
        <v>0.12449588819218817</v>
      </c>
      <c r="BO202" s="199">
        <f t="shared" ca="1" si="799"/>
        <v>0.12479408458634873</v>
      </c>
      <c r="BP202" s="199">
        <f t="shared" ca="1" si="799"/>
        <v>0.12509324713720357</v>
      </c>
      <c r="BQ202" s="199">
        <f t="shared" ca="1" si="799"/>
        <v>0.12539337897510161</v>
      </c>
      <c r="BR202" s="199">
        <f t="shared" ca="1" si="799"/>
        <v>0.12569448324053406</v>
      </c>
      <c r="BS202" s="199">
        <f t="shared" ca="1" si="799"/>
        <v>0.1259965630841674</v>
      </c>
      <c r="BT202" s="199">
        <f t="shared" ca="1" si="799"/>
        <v>0.12629962166687622</v>
      </c>
      <c r="BU202" s="199">
        <f t="shared" ca="1" si="799"/>
        <v>0.12660366215977636</v>
      </c>
      <c r="BV202" s="199">
        <f t="shared" ca="1" si="799"/>
        <v>0.12690868774425806</v>
      </c>
      <c r="BW202" s="199">
        <f t="shared" ca="1" si="799"/>
        <v>0.12721470161201937</v>
      </c>
      <c r="BX202" s="199">
        <f t="shared" ca="1" si="799"/>
        <v>0.12752170696509924</v>
      </c>
      <c r="BY202" s="199">
        <f t="shared" ref="BY202:EJ202" ca="1" si="800">BY87*$B$17/1000000+$E$46</f>
        <v>0.12782970701591145</v>
      </c>
      <c r="BZ202" s="199">
        <f t="shared" ca="1" si="800"/>
        <v>0.12813870498727789</v>
      </c>
      <c r="CA202" s="199">
        <f t="shared" ca="1" si="800"/>
        <v>0.12844870411246243</v>
      </c>
      <c r="CB202" s="199">
        <f t="shared" ca="1" si="800"/>
        <v>0.12875970763520467</v>
      </c>
      <c r="CC202" s="199">
        <f t="shared" ca="1" si="800"/>
        <v>0.12907171880975399</v>
      </c>
      <c r="CD202" s="199">
        <f t="shared" ca="1" si="800"/>
        <v>0.12938474090090354</v>
      </c>
      <c r="CE202" s="199">
        <f t="shared" ca="1" si="800"/>
        <v>0.12969877718402434</v>
      </c>
      <c r="CF202" s="199">
        <f t="shared" ca="1" si="800"/>
        <v>0.13001383094509966</v>
      </c>
      <c r="CG202" s="199">
        <f t="shared" ca="1" si="800"/>
        <v>0.13032990548075946</v>
      </c>
      <c r="CH202" s="199">
        <f t="shared" ca="1" si="800"/>
        <v>0.13064700409831453</v>
      </c>
      <c r="CI202" s="199">
        <f t="shared" ca="1" si="800"/>
        <v>0.13096513011579164</v>
      </c>
      <c r="CJ202" s="199">
        <f t="shared" ca="1" si="800"/>
        <v>0.13128428686196772</v>
      </c>
      <c r="CK202" s="199">
        <f t="shared" ca="1" si="800"/>
        <v>0.13160447767640515</v>
      </c>
      <c r="CL202" s="199">
        <f t="shared" ca="1" si="800"/>
        <v>0.13192570590948635</v>
      </c>
      <c r="CM202" s="199">
        <f t="shared" ca="1" si="800"/>
        <v>0.13224797492244911</v>
      </c>
      <c r="CN202" s="199">
        <f t="shared" ca="1" si="800"/>
        <v>0.13257128808742147</v>
      </c>
      <c r="CO202" s="199">
        <f t="shared" ca="1" si="800"/>
        <v>0.1328956487874573</v>
      </c>
      <c r="CP202" s="199">
        <f t="shared" ca="1" si="800"/>
        <v>0.13322106041657156</v>
      </c>
      <c r="CQ202" s="199">
        <f t="shared" ca="1" si="800"/>
        <v>0.13354752637977577</v>
      </c>
      <c r="CR202" s="199">
        <f t="shared" ca="1" si="800"/>
        <v>0.13387505009311368</v>
      </c>
      <c r="CS202" s="199">
        <f t="shared" ca="1" si="800"/>
        <v>0.13420363498369714</v>
      </c>
      <c r="CT202" s="199">
        <f t="shared" ca="1" si="800"/>
        <v>0.13453328448974172</v>
      </c>
      <c r="CU202" s="199">
        <f t="shared" ca="1" si="800"/>
        <v>0.13486400206060284</v>
      </c>
      <c r="CV202" s="199">
        <f t="shared" ca="1" si="800"/>
        <v>0.13519579115681188</v>
      </c>
      <c r="CW202" s="199">
        <f t="shared" ca="1" si="800"/>
        <v>0.13552865525011235</v>
      </c>
      <c r="CX202" s="199">
        <f t="shared" ca="1" si="800"/>
        <v>0.13586259782349613</v>
      </c>
      <c r="CY202" s="199">
        <f t="shared" ca="1" si="800"/>
        <v>0.13619762237124011</v>
      </c>
      <c r="CZ202" s="199">
        <f t="shared" ca="1" si="800"/>
        <v>0.13653373239894254</v>
      </c>
      <c r="DA202" s="199">
        <f t="shared" ca="1" si="800"/>
        <v>0.13687093142355986</v>
      </c>
      <c r="DB202" s="199">
        <f t="shared" ca="1" si="800"/>
        <v>0.13720922297344348</v>
      </c>
      <c r="DC202" s="199">
        <f t="shared" ca="1" si="800"/>
        <v>0.13754861058837667</v>
      </c>
      <c r="DD202" s="199">
        <f t="shared" ca="1" si="800"/>
        <v>0.13788909781961151</v>
      </c>
      <c r="DE202" s="199">
        <f t="shared" ca="1" si="800"/>
        <v>0.13823068822990625</v>
      </c>
      <c r="DF202" s="199">
        <f t="shared" ca="1" si="800"/>
        <v>0.13857338539356243</v>
      </c>
      <c r="DG202" s="199">
        <f t="shared" ca="1" si="800"/>
        <v>0.13891719289646234</v>
      </c>
      <c r="DH202" s="199">
        <f t="shared" ca="1" si="800"/>
        <v>0.13926211433610652</v>
      </c>
      <c r="DI202" s="199">
        <f t="shared" ca="1" si="800"/>
        <v>0.13960815332165147</v>
      </c>
      <c r="DJ202" s="199">
        <f t="shared" ca="1" si="800"/>
        <v>0.13995531347394727</v>
      </c>
      <c r="DK202" s="199">
        <f t="shared" ca="1" si="800"/>
        <v>0.14030359842557566</v>
      </c>
      <c r="DL202" s="199">
        <f t="shared" ca="1" si="800"/>
        <v>0.14065301182088788</v>
      </c>
      <c r="DM202" s="199">
        <f t="shared" ca="1" si="800"/>
        <v>0.14100355731604286</v>
      </c>
      <c r="DN202" s="199">
        <f t="shared" ca="1" si="800"/>
        <v>0.14135523857904556</v>
      </c>
      <c r="DO202" s="199">
        <f t="shared" ca="1" si="800"/>
        <v>0.14170805928978525</v>
      </c>
      <c r="DP202" s="199">
        <f t="shared" ca="1" si="800"/>
        <v>0.14206202314007402</v>
      </c>
      <c r="DQ202" s="199">
        <f t="shared" ca="1" si="800"/>
        <v>0.14241713383368548</v>
      </c>
      <c r="DR202" s="199">
        <f t="shared" ca="1" si="800"/>
        <v>0.14277339508639342</v>
      </c>
      <c r="DS202" s="199">
        <f t="shared" ca="1" si="800"/>
        <v>0.14313081062601074</v>
      </c>
      <c r="DT202" s="199">
        <f t="shared" ca="1" si="800"/>
        <v>0.14348938419242857</v>
      </c>
      <c r="DU202" s="199">
        <f t="shared" ca="1" si="800"/>
        <v>0.14384911953765514</v>
      </c>
      <c r="DV202" s="199">
        <f t="shared" ca="1" si="800"/>
        <v>0.14421002042585529</v>
      </c>
      <c r="DW202" s="199">
        <f t="shared" ca="1" si="800"/>
        <v>0.14457209063338966</v>
      </c>
      <c r="DX202" s="199">
        <f t="shared" ca="1" si="800"/>
        <v>0.14493533394885449</v>
      </c>
      <c r="DY202" s="199">
        <f t="shared" ca="1" si="800"/>
        <v>0.14529975417312091</v>
      </c>
      <c r="DZ202" s="199">
        <f t="shared" ca="1" si="800"/>
        <v>0.1456653551193749</v>
      </c>
      <c r="EA202" s="199">
        <f t="shared" ca="1" si="800"/>
        <v>0.14603214061315717</v>
      </c>
      <c r="EB202" s="199">
        <f t="shared" ca="1" si="800"/>
        <v>0.14640011449240328</v>
      </c>
      <c r="EC202" s="199">
        <f t="shared" ca="1" si="800"/>
        <v>0.14676928060748362</v>
      </c>
      <c r="ED202" s="199">
        <f t="shared" ca="1" si="800"/>
        <v>0.14713964282124375</v>
      </c>
      <c r="EE202" s="199">
        <f t="shared" ca="1" si="800"/>
        <v>0.14751120500904497</v>
      </c>
      <c r="EF202" s="199">
        <f t="shared" ca="1" si="800"/>
        <v>0.14788397105880466</v>
      </c>
      <c r="EG202" s="199">
        <f t="shared" ca="1" si="800"/>
        <v>0.14825794487103711</v>
      </c>
      <c r="EH202" s="199">
        <f t="shared" ca="1" si="800"/>
        <v>0.14863313035889419</v>
      </c>
      <c r="EI202" s="199">
        <f t="shared" ca="1" si="800"/>
        <v>0.14900953144820653</v>
      </c>
      <c r="EJ202" s="199">
        <f t="shared" ca="1" si="800"/>
        <v>0.14938715207752434</v>
      </c>
      <c r="EK202" s="199">
        <f t="shared" ref="EK202:GV202" ca="1" si="801">EK87*$B$17/1000000+$E$46</f>
        <v>0.14976599619815884</v>
      </c>
      <c r="EL202" s="199">
        <f t="shared" ca="1" si="801"/>
        <v>0.15014606777422337</v>
      </c>
      <c r="EM202" s="199">
        <f t="shared" ca="1" si="801"/>
        <v>0.15052737078267509</v>
      </c>
      <c r="EN202" s="199">
        <f t="shared" ca="1" si="801"/>
        <v>0.15090990921335656</v>
      </c>
      <c r="EO202" s="199">
        <f t="shared" ca="1" si="801"/>
        <v>0.15129368706903726</v>
      </c>
      <c r="EP202" s="199">
        <f t="shared" ca="1" si="801"/>
        <v>0.15167870836545588</v>
      </c>
      <c r="EQ202" s="199">
        <f t="shared" ca="1" si="801"/>
        <v>0.15206497713136188</v>
      </c>
      <c r="ER202" s="199">
        <f t="shared" ca="1" si="801"/>
        <v>0.15245249740855799</v>
      </c>
      <c r="ES202" s="199">
        <f t="shared" ca="1" si="801"/>
        <v>0.15284127325194247</v>
      </c>
      <c r="ET202" s="199">
        <f t="shared" ca="1" si="801"/>
        <v>0.15323130872955121</v>
      </c>
      <c r="EU202" s="199">
        <f t="shared" ca="1" si="801"/>
        <v>0.1536226079226008</v>
      </c>
      <c r="EV202" s="199">
        <f t="shared" ca="1" si="801"/>
        <v>0.15401517492553085</v>
      </c>
      <c r="EW202" s="199">
        <f t="shared" ca="1" si="801"/>
        <v>0.15440901384604694</v>
      </c>
      <c r="EX202" s="199">
        <f t="shared" ca="1" si="801"/>
        <v>0.15480412880516364</v>
      </c>
      <c r="EY202" s="199">
        <f t="shared" ca="1" si="801"/>
        <v>0.1552005239372477</v>
      </c>
      <c r="EZ202" s="199">
        <f t="shared" ca="1" si="801"/>
        <v>0.15559820339006114</v>
      </c>
      <c r="FA202" s="199">
        <f t="shared" ca="1" si="801"/>
        <v>0.15599717132480467</v>
      </c>
      <c r="FB202" s="199">
        <f t="shared" ca="1" si="801"/>
        <v>0.15639743191616151</v>
      </c>
      <c r="FC202" s="199">
        <f t="shared" ca="1" si="801"/>
        <v>0.15679898935234057</v>
      </c>
      <c r="FD202" s="199">
        <f t="shared" ca="1" si="801"/>
        <v>0.15720184783512081</v>
      </c>
      <c r="FE202" s="199">
        <f t="shared" ca="1" si="801"/>
        <v>0.15760601157989484</v>
      </c>
      <c r="FF202" s="199">
        <f t="shared" ca="1" si="801"/>
        <v>0.1580114848157132</v>
      </c>
      <c r="FG202" s="199">
        <f t="shared" ca="1" si="801"/>
        <v>0.15841827178532847</v>
      </c>
      <c r="FH202" s="199">
        <f t="shared" ca="1" si="801"/>
        <v>0.15882637674523981</v>
      </c>
      <c r="FI202" s="199">
        <f t="shared" ca="1" si="801"/>
        <v>0.15923580396573755</v>
      </c>
      <c r="FJ202" s="199">
        <f t="shared" ca="1" si="801"/>
        <v>0.15964655773094755</v>
      </c>
      <c r="FK202" s="199">
        <f t="shared" ca="1" si="801"/>
        <v>0.16005864233887646</v>
      </c>
      <c r="FL202" s="199">
        <f t="shared" ca="1" si="801"/>
        <v>0.16047206210145626</v>
      </c>
      <c r="FM202" s="199">
        <f t="shared" ca="1" si="801"/>
        <v>0.16088682134458981</v>
      </c>
      <c r="FN202" s="199">
        <f t="shared" ca="1" si="801"/>
        <v>0.16130292440819571</v>
      </c>
      <c r="FO202" s="199">
        <f t="shared" ca="1" si="801"/>
        <v>0.16172037564625408</v>
      </c>
      <c r="FP202" s="199">
        <f t="shared" ca="1" si="801"/>
        <v>0.16213917942685174</v>
      </c>
      <c r="FQ202" s="199">
        <f t="shared" ca="1" si="801"/>
        <v>0.16255934013222828</v>
      </c>
      <c r="FR202" s="199">
        <f t="shared" ca="1" si="801"/>
        <v>0.16298086215882174</v>
      </c>
      <c r="FS202" s="199">
        <f t="shared" ca="1" si="801"/>
        <v>0.16340374991731454</v>
      </c>
      <c r="FT202" s="199">
        <f t="shared" ca="1" si="801"/>
        <v>0.16382800783267981</v>
      </c>
      <c r="FU202" s="199">
        <f t="shared" ca="1" si="801"/>
        <v>0.16425364034422746</v>
      </c>
      <c r="FV202" s="199">
        <f t="shared" ca="1" si="801"/>
        <v>0.16468065190565095</v>
      </c>
      <c r="FW202" s="199">
        <f t="shared" ca="1" si="801"/>
        <v>0.16510904698507362</v>
      </c>
      <c r="FX202" s="199">
        <f t="shared" ca="1" si="801"/>
        <v>0.16553883006509545</v>
      </c>
      <c r="FY202" s="199">
        <f t="shared" ca="1" si="801"/>
        <v>0.1659700056428402</v>
      </c>
      <c r="FZ202" s="199">
        <f t="shared" ca="1" si="801"/>
        <v>0.16640257823000226</v>
      </c>
      <c r="GA202" s="199">
        <f t="shared" ca="1" si="801"/>
        <v>0.16683655235289391</v>
      </c>
      <c r="GB202" s="199">
        <f t="shared" ca="1" si="801"/>
        <v>0.16727193255249267</v>
      </c>
      <c r="GC202" s="199">
        <f t="shared" ca="1" si="801"/>
        <v>0.16770872338448878</v>
      </c>
      <c r="GD202" s="199">
        <f t="shared" ca="1" si="801"/>
        <v>0.16814692941933312</v>
      </c>
      <c r="GE202" s="199">
        <f t="shared" ca="1" si="801"/>
        <v>0.16858655524228461</v>
      </c>
      <c r="GF202" s="199">
        <f t="shared" ca="1" si="801"/>
        <v>0.16902760545345857</v>
      </c>
      <c r="GG202" s="199">
        <f t="shared" ca="1" si="801"/>
        <v>0.16947008466787467</v>
      </c>
      <c r="GH202" s="199">
        <f t="shared" ca="1" si="801"/>
        <v>0.16991399751550518</v>
      </c>
      <c r="GI202" s="199">
        <f t="shared" ca="1" si="801"/>
        <v>0.17035934864132346</v>
      </c>
      <c r="GJ202" s="199">
        <f t="shared" ca="1" si="801"/>
        <v>0.17080614270535277</v>
      </c>
      <c r="GK202" s="199">
        <f t="shared" ca="1" si="801"/>
        <v>0.17125438438271462</v>
      </c>
      <c r="GL202" s="199">
        <f t="shared" ca="1" si="801"/>
        <v>0.17170407836367824</v>
      </c>
      <c r="GM202" s="199">
        <f t="shared" ca="1" si="801"/>
        <v>0.17215522935370897</v>
      </c>
      <c r="GN202" s="199">
        <f t="shared" ca="1" si="801"/>
        <v>0.17260784207351804</v>
      </c>
      <c r="GO202" s="199">
        <f t="shared" ca="1" si="801"/>
        <v>0.17306192125911174</v>
      </c>
      <c r="GP202" s="199">
        <f t="shared" ca="1" si="801"/>
        <v>0.17351747166184128</v>
      </c>
      <c r="GQ202" s="199">
        <f t="shared" ca="1" si="801"/>
        <v>0.17397449804845183</v>
      </c>
      <c r="GR202" s="199">
        <f t="shared" ca="1" si="801"/>
        <v>0.17443300520113308</v>
      </c>
      <c r="GS202" s="199">
        <f t="shared" ca="1" si="801"/>
        <v>0.17489299791756896</v>
      </c>
      <c r="GT202" s="199">
        <f t="shared" ca="1" si="801"/>
        <v>0.17535448101098799</v>
      </c>
      <c r="GU202" s="199">
        <f t="shared" ca="1" si="801"/>
        <v>0.17581745931021348</v>
      </c>
      <c r="GV202" s="199">
        <f t="shared" ca="1" si="801"/>
        <v>0.17628193765971401</v>
      </c>
      <c r="GW202" s="199">
        <f t="shared" ref="GW202:JH202" ca="1" si="802">GW87*$B$17/1000000+$E$46</f>
        <v>0.17674792091965452</v>
      </c>
      <c r="GX202" s="199">
        <f t="shared" ca="1" si="802"/>
        <v>0.17721541396594664</v>
      </c>
      <c r="GY202" s="199">
        <f t="shared" ca="1" si="802"/>
        <v>0.17768442169030008</v>
      </c>
      <c r="GZ202" s="199">
        <f t="shared" ca="1" si="802"/>
        <v>0.17815494900027368</v>
      </c>
      <c r="HA202" s="199">
        <f t="shared" ca="1" si="802"/>
        <v>0.17862700081932681</v>
      </c>
      <c r="HB202" s="199">
        <f t="shared" ca="1" si="802"/>
        <v>0.17910058208687069</v>
      </c>
      <c r="HC202" s="199">
        <f t="shared" ca="1" si="802"/>
        <v>0.1795756977583205</v>
      </c>
      <c r="HD202" s="199">
        <f t="shared" ca="1" si="802"/>
        <v>0.18005235280514681</v>
      </c>
      <c r="HE202" s="199">
        <f t="shared" ca="1" si="802"/>
        <v>0.18053055221492775</v>
      </c>
      <c r="HF202" s="199">
        <f t="shared" ca="1" si="802"/>
        <v>0.18101030099140125</v>
      </c>
      <c r="HG202" s="199">
        <f t="shared" ca="1" si="802"/>
        <v>0.18149160415451737</v>
      </c>
      <c r="HH202" s="199">
        <f t="shared" ca="1" si="802"/>
        <v>0.18197446674049084</v>
      </c>
      <c r="HI202" s="199">
        <f t="shared" ca="1" si="802"/>
        <v>0.18245889380185359</v>
      </c>
      <c r="HJ202" s="199">
        <f t="shared" ca="1" si="802"/>
        <v>0.18294489040750794</v>
      </c>
      <c r="HK202" s="199">
        <f t="shared" ca="1" si="802"/>
        <v>0.18343246164277938</v>
      </c>
      <c r="HL202" s="199">
        <f t="shared" ca="1" si="802"/>
        <v>0.18392161260946976</v>
      </c>
      <c r="HM202" s="199">
        <f t="shared" ca="1" si="802"/>
        <v>0.18441234842591103</v>
      </c>
      <c r="HN202" s="199">
        <f t="shared" ca="1" si="802"/>
        <v>0.18490467422701828</v>
      </c>
      <c r="HO202" s="199">
        <f t="shared" ca="1" si="802"/>
        <v>0.18539859516434387</v>
      </c>
      <c r="HP202" s="199">
        <f t="shared" ca="1" si="802"/>
        <v>0.18589411640613118</v>
      </c>
      <c r="HQ202" s="199">
        <f t="shared" ca="1" si="802"/>
        <v>0.18639124313736866</v>
      </c>
      <c r="HR202" s="199">
        <f t="shared" ca="1" si="802"/>
        <v>0.18688998055984418</v>
      </c>
      <c r="HS202" s="199">
        <f t="shared" ca="1" si="802"/>
        <v>0.18739033389219939</v>
      </c>
      <c r="HT202" s="199">
        <f t="shared" ca="1" si="802"/>
        <v>0.18789230836998427</v>
      </c>
      <c r="HU202" s="199">
        <f t="shared" ca="1" si="802"/>
        <v>0.18839590924571226</v>
      </c>
      <c r="HV202" s="199">
        <f t="shared" ca="1" si="802"/>
        <v>0.18890114178891459</v>
      </c>
      <c r="HW202" s="199">
        <f t="shared" ca="1" si="802"/>
        <v>0.18940801128619589</v>
      </c>
      <c r="HX202" s="199">
        <f t="shared" ca="1" si="802"/>
        <v>0.18991652304128959</v>
      </c>
      <c r="HY202" s="199">
        <f t="shared" ca="1" si="802"/>
        <v>0.19042668237511301</v>
      </c>
      <c r="HZ202" s="199">
        <f t="shared" ca="1" si="802"/>
        <v>0.1909384946258233</v>
      </c>
      <c r="IA202" s="199">
        <f t="shared" ca="1" si="802"/>
        <v>0.19145196514887336</v>
      </c>
      <c r="IB202" s="199">
        <f t="shared" ca="1" si="802"/>
        <v>0.19196709931706751</v>
      </c>
      <c r="IC202" s="199">
        <f t="shared" ca="1" si="802"/>
        <v>0.19248390252061826</v>
      </c>
      <c r="ID202" s="199">
        <f t="shared" ca="1" si="802"/>
        <v>0.19300238016720223</v>
      </c>
      <c r="IE202" s="199">
        <f t="shared" ca="1" si="802"/>
        <v>0.19352253768201694</v>
      </c>
      <c r="IF202" s="199">
        <f t="shared" ca="1" si="802"/>
        <v>0.19404438050783762</v>
      </c>
      <c r="IG202" s="199">
        <f t="shared" ca="1" si="802"/>
        <v>0.19456791410507407</v>
      </c>
      <c r="IH202" s="199">
        <f t="shared" ca="1" si="802"/>
        <v>0.19509314395182775</v>
      </c>
      <c r="II202" s="199">
        <f t="shared" ca="1" si="802"/>
        <v>0.19562007554394933</v>
      </c>
      <c r="IJ202" s="199">
        <f t="shared" ca="1" si="802"/>
        <v>0.19614871439509585</v>
      </c>
      <c r="IK202" s="199">
        <f t="shared" ca="1" si="802"/>
        <v>0.19667906603678886</v>
      </c>
      <c r="IL202" s="199">
        <f t="shared" ca="1" si="802"/>
        <v>0.19721113601847173</v>
      </c>
      <c r="IM202" s="199">
        <f t="shared" ca="1" si="802"/>
        <v>0.19774492990756831</v>
      </c>
      <c r="IN202" s="199">
        <f t="shared" ca="1" si="802"/>
        <v>0.19828045328954075</v>
      </c>
      <c r="IO202" s="199">
        <f t="shared" ca="1" si="802"/>
        <v>0.19881771176794816</v>
      </c>
      <c r="IP202" s="199">
        <f t="shared" ca="1" si="802"/>
        <v>0.19935671096450525</v>
      </c>
      <c r="IQ202" s="199">
        <f t="shared" ca="1" si="802"/>
        <v>0.19989745651914093</v>
      </c>
      <c r="IR202" s="199">
        <f t="shared" ca="1" si="802"/>
        <v>0.20043995409005766</v>
      </c>
      <c r="IS202" s="199">
        <f t="shared" ca="1" si="802"/>
        <v>0.20098420935379041</v>
      </c>
      <c r="IT202" s="199">
        <f t="shared" ca="1" si="802"/>
        <v>0.20153022800526604</v>
      </c>
      <c r="IU202" s="199">
        <f t="shared" ca="1" si="802"/>
        <v>0.20207801575786311</v>
      </c>
      <c r="IV202" s="199">
        <f t="shared" ca="1" si="802"/>
        <v>0.20262757834347156</v>
      </c>
      <c r="IW202" s="199">
        <f t="shared" ca="1" si="802"/>
        <v>0.20317892151255246</v>
      </c>
      <c r="IX202" s="199">
        <f t="shared" ca="1" si="802"/>
        <v>0.20373205103419861</v>
      </c>
      <c r="IY202" s="199">
        <f t="shared" ca="1" si="802"/>
        <v>0.20428697269619456</v>
      </c>
      <c r="IZ202" s="199">
        <f t="shared" ca="1" si="802"/>
        <v>0.20484369230507732</v>
      </c>
      <c r="JA202" s="199">
        <f t="shared" ca="1" si="802"/>
        <v>0.2054022156861971</v>
      </c>
      <c r="JB202" s="199">
        <f t="shared" ca="1" si="802"/>
        <v>0.20596254868377811</v>
      </c>
      <c r="JC202" s="199">
        <f t="shared" ca="1" si="802"/>
        <v>0.2065246971609801</v>
      </c>
      <c r="JD202" s="199">
        <f t="shared" ca="1" si="802"/>
        <v>0.20708866699995926</v>
      </c>
      <c r="JE202" s="199">
        <f t="shared" ca="1" si="802"/>
        <v>0.20765446410193011</v>
      </c>
      <c r="JF202" s="199">
        <f t="shared" ca="1" si="802"/>
        <v>0.20822209438722711</v>
      </c>
      <c r="JG202" s="199">
        <f t="shared" ca="1" si="802"/>
        <v>0.20879156379536634</v>
      </c>
      <c r="JH202" s="199">
        <f t="shared" ca="1" si="802"/>
        <v>0.20936287828510836</v>
      </c>
      <c r="JI202" s="199">
        <f t="shared" ref="JI202:LT202" ca="1" si="803">JI87*$B$17/1000000+$E$46</f>
        <v>0.2099360438345198</v>
      </c>
      <c r="JJ202" s="199">
        <f t="shared" ca="1" si="803"/>
        <v>0.21051106644103634</v>
      </c>
      <c r="JK202" s="199">
        <f t="shared" ca="1" si="803"/>
        <v>0.21108795212152537</v>
      </c>
      <c r="JL202" s="199">
        <f t="shared" ca="1" si="803"/>
        <v>0.21166670691234885</v>
      </c>
      <c r="JM202" s="199">
        <f t="shared" ca="1" si="803"/>
        <v>0.21224733686942671</v>
      </c>
      <c r="JN202" s="199">
        <f t="shared" ca="1" si="803"/>
        <v>0.21282984806829996</v>
      </c>
      <c r="JO202" s="199">
        <f t="shared" ca="1" si="803"/>
        <v>0.21341424660419439</v>
      </c>
      <c r="JP202" s="199">
        <f t="shared" ca="1" si="803"/>
        <v>0.21400053859208423</v>
      </c>
      <c r="JQ202" s="199">
        <f t="shared" ca="1" si="803"/>
        <v>0.21458873016675661</v>
      </c>
      <c r="JR202" s="199">
        <f t="shared" ca="1" si="803"/>
        <v>0.21517882748287487</v>
      </c>
      <c r="JS202" s="199">
        <f t="shared" ca="1" si="803"/>
        <v>0.21577083671504377</v>
      </c>
      <c r="JT202" s="199">
        <f t="shared" ca="1" si="803"/>
        <v>0.21636476405787375</v>
      </c>
      <c r="JU202" s="199">
        <f t="shared" ca="1" si="803"/>
        <v>0.21696061572604569</v>
      </c>
      <c r="JV202" s="199">
        <f t="shared" ca="1" si="803"/>
        <v>0.21755839795437631</v>
      </c>
      <c r="JW202" s="199">
        <f t="shared" ca="1" si="803"/>
        <v>0.21815811699788284</v>
      </c>
      <c r="JX202" s="199">
        <f t="shared" ca="1" si="803"/>
        <v>0.21875977913184896</v>
      </c>
      <c r="JY202" s="199">
        <f t="shared" ca="1" si="803"/>
        <v>0.21936339065189014</v>
      </c>
      <c r="JZ202" s="199">
        <f t="shared" ca="1" si="803"/>
        <v>0.21996895787401977</v>
      </c>
      <c r="KA202" s="199">
        <f t="shared" ca="1" si="803"/>
        <v>0.22057648713471512</v>
      </c>
      <c r="KB202" s="199">
        <f t="shared" ca="1" si="803"/>
        <v>0.22118598479098361</v>
      </c>
      <c r="KC202" s="199">
        <f t="shared" ca="1" si="803"/>
        <v>0.22179745722042937</v>
      </c>
      <c r="KD202" s="199">
        <f t="shared" ca="1" si="803"/>
        <v>0.22241091082131992</v>
      </c>
      <c r="KE202" s="199">
        <f t="shared" ca="1" si="803"/>
        <v>0.22302635201265342</v>
      </c>
      <c r="KF202" s="199">
        <f t="shared" ca="1" si="803"/>
        <v>0.22364378723422523</v>
      </c>
      <c r="KG202" s="199">
        <f t="shared" ca="1" si="803"/>
        <v>0.22426322294669604</v>
      </c>
      <c r="KH202" s="199">
        <f t="shared" ca="1" si="803"/>
        <v>0.22488466563165871</v>
      </c>
      <c r="KI202" s="199">
        <f t="shared" ca="1" si="803"/>
        <v>0.22550812179170676</v>
      </c>
      <c r="KJ202" s="199">
        <f t="shared" ca="1" si="803"/>
        <v>0.22613359795050203</v>
      </c>
      <c r="KK202" s="199">
        <f t="shared" ca="1" si="803"/>
        <v>0.22676110065284288</v>
      </c>
      <c r="KL202" s="199">
        <f t="shared" ca="1" si="803"/>
        <v>0.22739063646473312</v>
      </c>
      <c r="KM202" s="199">
        <f t="shared" ca="1" si="803"/>
        <v>0.22802221197345018</v>
      </c>
      <c r="KN202" s="199">
        <f t="shared" ca="1" si="803"/>
        <v>0.22865583378761445</v>
      </c>
      <c r="KO202" s="199">
        <f t="shared" ca="1" si="803"/>
        <v>0.22929150853725799</v>
      </c>
      <c r="KP202" s="199">
        <f t="shared" ca="1" si="803"/>
        <v>0.22992924287389443</v>
      </c>
      <c r="KQ202" s="199">
        <f t="shared" ca="1" si="803"/>
        <v>0.23056904347058832</v>
      </c>
      <c r="KR202" s="199">
        <f t="shared" ca="1" si="803"/>
        <v>0.23121091702202479</v>
      </c>
      <c r="KS202" s="199">
        <f t="shared" ca="1" si="803"/>
        <v>0.23185487024457985</v>
      </c>
      <c r="KT202" s="199">
        <f t="shared" ca="1" si="803"/>
        <v>0.23250090987639049</v>
      </c>
      <c r="KU202" s="199">
        <f t="shared" ca="1" si="803"/>
        <v>0.23314904267742542</v>
      </c>
      <c r="KV202" s="199">
        <f t="shared" ca="1" si="803"/>
        <v>0.23379927542955553</v>
      </c>
      <c r="KW202" s="199">
        <f t="shared" ca="1" si="803"/>
        <v>0.23445161493662497</v>
      </c>
      <c r="KX202" s="199">
        <f t="shared" ca="1" si="803"/>
        <v>0.23510606802452255</v>
      </c>
      <c r="KY202" s="199">
        <f t="shared" ca="1" si="803"/>
        <v>0.2357626415412527</v>
      </c>
      <c r="KZ202" s="199">
        <f t="shared" ca="1" si="803"/>
        <v>0.23642134235700762</v>
      </c>
      <c r="LA202" s="199">
        <f t="shared" ca="1" si="803"/>
        <v>0.23708217736423876</v>
      </c>
      <c r="LB202" s="199">
        <f t="shared" ca="1" si="803"/>
        <v>0.23774515347772923</v>
      </c>
      <c r="LC202" s="199">
        <f t="shared" ca="1" si="803"/>
        <v>0.23841027763466599</v>
      </c>
      <c r="LD202" s="199">
        <f t="shared" ca="1" si="803"/>
        <v>0.2390775567947126</v>
      </c>
      <c r="LE202" s="199">
        <f t="shared" ca="1" si="803"/>
        <v>0.23974699794008181</v>
      </c>
      <c r="LF202" s="199">
        <f t="shared" ca="1" si="803"/>
        <v>0.24041860807560878</v>
      </c>
      <c r="LG202" s="199">
        <f t="shared" ca="1" si="803"/>
        <v>0.24109239422882439</v>
      </c>
      <c r="LH202" s="199">
        <f t="shared" ca="1" si="803"/>
        <v>0.24176836345002872</v>
      </c>
      <c r="LI202" s="199">
        <f t="shared" ca="1" si="803"/>
        <v>0.24244652281236478</v>
      </c>
      <c r="LJ202" s="199">
        <f t="shared" ca="1" si="803"/>
        <v>0.24312687941189265</v>
      </c>
      <c r="LK202" s="199">
        <f t="shared" ca="1" si="803"/>
        <v>0.24380944036766355</v>
      </c>
      <c r="LL202" s="199">
        <f t="shared" ca="1" si="803"/>
        <v>0.24449421282179457</v>
      </c>
      <c r="LM202" s="199">
        <f t="shared" ca="1" si="803"/>
        <v>0.24518120393954318</v>
      </c>
      <c r="LN202" s="199">
        <f t="shared" ca="1" si="803"/>
        <v>0.24587042090938221</v>
      </c>
      <c r="LO202" s="199">
        <f t="shared" ca="1" si="803"/>
        <v>0.24656187094307536</v>
      </c>
      <c r="LP202" s="199">
        <f t="shared" ca="1" si="803"/>
        <v>0.24725556127575227</v>
      </c>
      <c r="LQ202" s="199">
        <f t="shared" ca="1" si="803"/>
        <v>0.24795149916598463</v>
      </c>
      <c r="LR202" s="199">
        <f t="shared" ca="1" si="803"/>
        <v>0.24864969189586156</v>
      </c>
      <c r="LS202" s="199">
        <f t="shared" ca="1" si="803"/>
        <v>0.24935014677106643</v>
      </c>
      <c r="LT202" s="199">
        <f t="shared" ca="1" si="803"/>
        <v>0.25005287112095304</v>
      </c>
      <c r="LU202" s="199">
        <f t="shared" ref="LU202:OF202" ca="1" si="804">LU87*$B$17/1000000+$E$46</f>
        <v>0.25075787229862212</v>
      </c>
      <c r="LV202" s="199">
        <f t="shared" ca="1" si="804"/>
        <v>0.25146515768099859</v>
      </c>
      <c r="LW202" s="199">
        <f t="shared" ca="1" si="804"/>
        <v>0.25217473466890866</v>
      </c>
      <c r="LX202" s="199">
        <f t="shared" ca="1" si="804"/>
        <v>0.25288661068715712</v>
      </c>
      <c r="LY202" s="199">
        <f t="shared" ca="1" si="804"/>
        <v>0.25360079318460516</v>
      </c>
      <c r="LZ202" s="199">
        <f t="shared" ca="1" si="804"/>
        <v>0.25431728963424832</v>
      </c>
      <c r="MA202" s="199">
        <f t="shared" ca="1" si="804"/>
        <v>0.25503610753329464</v>
      </c>
      <c r="MB202" s="199">
        <f t="shared" ca="1" si="804"/>
        <v>0.2557572544032431</v>
      </c>
      <c r="MC202" s="199">
        <f t="shared" ca="1" si="804"/>
        <v>0.25648073778996239</v>
      </c>
      <c r="MD202" s="199">
        <f t="shared" ca="1" si="804"/>
        <v>0.25720656526376984</v>
      </c>
      <c r="ME202" s="199">
        <f t="shared" ca="1" si="804"/>
        <v>0.25793474441951048</v>
      </c>
      <c r="MF202" s="199">
        <f t="shared" ca="1" si="804"/>
        <v>0.25866528287663682</v>
      </c>
      <c r="MG202" s="199">
        <f t="shared" ca="1" si="804"/>
        <v>0.25939818827928834</v>
      </c>
      <c r="MH202" s="199">
        <f t="shared" ca="1" si="804"/>
        <v>0.26013346829637152</v>
      </c>
      <c r="MI202" s="199">
        <f t="shared" ca="1" si="804"/>
        <v>0.26087113062164008</v>
      </c>
      <c r="MJ202" s="199">
        <f t="shared" ca="1" si="804"/>
        <v>0.26161118297377561</v>
      </c>
      <c r="MK202" s="199">
        <f t="shared" ca="1" si="804"/>
        <v>0.2623536330964682</v>
      </c>
      <c r="ML202" s="199">
        <f t="shared" ca="1" si="804"/>
        <v>0.2630984887584974</v>
      </c>
      <c r="MM202" s="199">
        <f t="shared" ca="1" si="804"/>
        <v>0.2638457577538138</v>
      </c>
      <c r="MN202" s="199">
        <f t="shared" ca="1" si="804"/>
        <v>0.26459544790162021</v>
      </c>
      <c r="MO202" s="199">
        <f t="shared" ca="1" si="804"/>
        <v>0.26534756704645385</v>
      </c>
      <c r="MP202" s="199">
        <f t="shared" ca="1" si="804"/>
        <v>0.26610212305826808</v>
      </c>
      <c r="MQ202" s="199">
        <f t="shared" ca="1" si="804"/>
        <v>0.26685912383251503</v>
      </c>
      <c r="MR202" s="199">
        <f t="shared" ca="1" si="804"/>
        <v>0.26761857729022814</v>
      </c>
      <c r="MS202" s="199">
        <f t="shared" ca="1" si="804"/>
        <v>0.26838049137810482</v>
      </c>
      <c r="MT202" s="199">
        <f t="shared" ca="1" si="804"/>
        <v>0.26914487406859006</v>
      </c>
      <c r="MU202" s="199">
        <f t="shared" ca="1" si="804"/>
        <v>0.26991173335995933</v>
      </c>
      <c r="MV202" s="199">
        <f t="shared" ca="1" si="804"/>
        <v>0.27068107727640267</v>
      </c>
      <c r="MW202" s="199">
        <f t="shared" ca="1" si="804"/>
        <v>0.27145291386810838</v>
      </c>
      <c r="MX202" s="199">
        <f t="shared" ca="1" si="804"/>
        <v>0.27222725121134761</v>
      </c>
      <c r="MY202" s="199">
        <f t="shared" ca="1" si="804"/>
        <v>0.27300409740855835</v>
      </c>
      <c r="MZ202" s="199">
        <f t="shared" ca="1" si="804"/>
        <v>0.27378346058843067</v>
      </c>
      <c r="NA202" s="199">
        <f t="shared" ca="1" si="804"/>
        <v>0.27456534890599166</v>
      </c>
      <c r="NB202" s="199">
        <f t="shared" ca="1" si="804"/>
        <v>0.27534977054269061</v>
      </c>
      <c r="NC202" s="199">
        <f t="shared" ca="1" si="804"/>
        <v>0.27613673370648462</v>
      </c>
      <c r="ND202" s="199">
        <f t="shared" ca="1" si="804"/>
        <v>0.27692624663192478</v>
      </c>
      <c r="NE202" s="199">
        <f t="shared" ca="1" si="804"/>
        <v>0.27771831758024201</v>
      </c>
      <c r="NF202" s="199">
        <f t="shared" ca="1" si="804"/>
        <v>0.27851295483943372</v>
      </c>
      <c r="NG202" s="199">
        <f t="shared" ca="1" si="804"/>
        <v>0.27931016672435038</v>
      </c>
      <c r="NH202" s="199">
        <f t="shared" ca="1" si="804"/>
        <v>0.28010996157678253</v>
      </c>
      <c r="NI202" s="199">
        <f t="shared" ca="1" si="804"/>
        <v>0.28091234776554835</v>
      </c>
      <c r="NJ202" s="199">
        <f t="shared" ca="1" si="804"/>
        <v>0.28171733368658064</v>
      </c>
      <c r="NK202" s="199">
        <f t="shared" ca="1" si="804"/>
        <v>0.2825249277630153</v>
      </c>
      <c r="NL202" s="199">
        <f t="shared" ca="1" si="804"/>
        <v>0.28333513844527919</v>
      </c>
      <c r="NM202" s="199">
        <f t="shared" ca="1" si="804"/>
        <v>0.28414797421117849</v>
      </c>
      <c r="NN202" s="199">
        <f t="shared" ca="1" si="804"/>
        <v>0.28496344356598746</v>
      </c>
      <c r="NO202" s="199">
        <f t="shared" ca="1" si="804"/>
        <v>0.28578155504253744</v>
      </c>
      <c r="NP202" s="199">
        <f t="shared" ca="1" si="804"/>
        <v>0.28660231720130636</v>
      </c>
      <c r="NQ202" s="199">
        <f t="shared" ca="1" si="804"/>
        <v>0.28742573863050785</v>
      </c>
      <c r="NR202" s="199">
        <f t="shared" ca="1" si="804"/>
        <v>0.28825182794618148</v>
      </c>
      <c r="NS202" s="199">
        <f t="shared" ca="1" si="804"/>
        <v>0.2890805937922829</v>
      </c>
      <c r="NT202" s="199">
        <f t="shared" ca="1" si="804"/>
        <v>0.28991204484077399</v>
      </c>
      <c r="NU202" s="199">
        <f t="shared" ca="1" si="804"/>
        <v>0.29074618979171379</v>
      </c>
      <c r="NV202" s="199">
        <f t="shared" ca="1" si="804"/>
        <v>0.2915830373733499</v>
      </c>
      <c r="NW202" s="199">
        <f t="shared" ca="1" si="804"/>
        <v>0.29242259634220896</v>
      </c>
      <c r="NX202" s="199">
        <f t="shared" ca="1" si="804"/>
        <v>0.29326487548318919</v>
      </c>
      <c r="NY202" s="199">
        <f t="shared" ca="1" si="804"/>
        <v>0.29410988360965157</v>
      </c>
      <c r="NZ202" s="199">
        <f t="shared" ca="1" si="804"/>
        <v>0.29495762956351262</v>
      </c>
      <c r="OA202" s="199">
        <f t="shared" ca="1" si="804"/>
        <v>0.29580812221533642</v>
      </c>
      <c r="OB202" s="199">
        <f t="shared" ca="1" si="804"/>
        <v>0.29666137046442798</v>
      </c>
      <c r="OC202" s="199">
        <f t="shared" ca="1" si="804"/>
        <v>0.29751738323892596</v>
      </c>
      <c r="OD202" s="199">
        <f t="shared" ca="1" si="804"/>
        <v>0.29837616949589596</v>
      </c>
      <c r="OE202" s="199">
        <f t="shared" ca="1" si="804"/>
        <v>0.29923773822142491</v>
      </c>
      <c r="OF202" s="199">
        <f t="shared" ca="1" si="804"/>
        <v>0.30010209843071439</v>
      </c>
      <c r="OG202" s="199">
        <f t="shared" ref="OG202:QR202" ca="1" si="805">OG87*$B$17/1000000+$E$46</f>
        <v>0.30096925916817518</v>
      </c>
      <c r="OH202" s="199">
        <f t="shared" ca="1" si="805"/>
        <v>0.3018392295075224</v>
      </c>
      <c r="OI202" s="199">
        <f t="shared" ca="1" si="805"/>
        <v>0.30271201855186947</v>
      </c>
      <c r="OJ202" s="199">
        <f t="shared" ca="1" si="805"/>
        <v>0.30358763543382428</v>
      </c>
      <c r="OK202" s="199">
        <f t="shared" ca="1" si="805"/>
        <v>0.30446608931558417</v>
      </c>
      <c r="OL202" s="199">
        <f t="shared" ca="1" si="805"/>
        <v>0.30534738938903216</v>
      </c>
      <c r="OM202" s="199">
        <f t="shared" ca="1" si="805"/>
        <v>0.30623154487583287</v>
      </c>
      <c r="ON202" s="199">
        <f t="shared" ca="1" si="805"/>
        <v>0.30711856502752921</v>
      </c>
      <c r="OO202" s="199">
        <f t="shared" ca="1" si="805"/>
        <v>0.30800845912563907</v>
      </c>
      <c r="OP202" s="199">
        <f t="shared" ca="1" si="805"/>
        <v>0.30890123648175238</v>
      </c>
      <c r="OQ202" s="199">
        <f t="shared" ca="1" si="805"/>
        <v>0.30979690643762886</v>
      </c>
      <c r="OR202" s="199">
        <f t="shared" ca="1" si="805"/>
        <v>0.31069547836529526</v>
      </c>
      <c r="OS202" s="199">
        <f t="shared" ca="1" si="805"/>
        <v>0.31159696166714401</v>
      </c>
      <c r="OT202" s="199">
        <f t="shared" ca="1" si="805"/>
        <v>0.31250136577603099</v>
      </c>
      <c r="OU202" s="199">
        <f t="shared" ca="1" si="805"/>
        <v>0.31340870015537475</v>
      </c>
      <c r="OV202" s="199">
        <f t="shared" ca="1" si="805"/>
        <v>0.31431897429925532</v>
      </c>
      <c r="OW202" s="199">
        <f t="shared" ca="1" si="805"/>
        <v>0.31523219773251349</v>
      </c>
      <c r="OX202" s="199">
        <f t="shared" ca="1" si="805"/>
        <v>0.3161483800108506</v>
      </c>
      <c r="OY202" s="199">
        <f t="shared" ca="1" si="805"/>
        <v>0.3170675307209283</v>
      </c>
      <c r="OZ202" s="199">
        <f t="shared" ca="1" si="805"/>
        <v>0.31798965948046942</v>
      </c>
      <c r="PA202" s="199">
        <f t="shared" ca="1" si="805"/>
        <v>0.31891477593835782</v>
      </c>
      <c r="PB202" s="199">
        <f t="shared" ca="1" si="805"/>
        <v>0.31984288977473996</v>
      </c>
      <c r="PC202" s="199">
        <f t="shared" ca="1" si="805"/>
        <v>0.32077401070112599</v>
      </c>
      <c r="PD202" s="199">
        <f t="shared" ca="1" si="805"/>
        <v>0.32170814846049134</v>
      </c>
      <c r="PE202" s="199">
        <f t="shared" ca="1" si="805"/>
        <v>0.32264531282737863</v>
      </c>
      <c r="PF202" s="199">
        <f t="shared" ca="1" si="805"/>
        <v>0.32358551360799997</v>
      </c>
      <c r="PG202" s="199">
        <f t="shared" ca="1" si="805"/>
        <v>0.32452876064033992</v>
      </c>
      <c r="PH202" s="199">
        <f t="shared" ca="1" si="805"/>
        <v>0.32547506379425772</v>
      </c>
      <c r="PI202" s="199">
        <f t="shared" ca="1" si="805"/>
        <v>0.32642443297159124</v>
      </c>
      <c r="PJ202" s="199">
        <f t="shared" ca="1" si="805"/>
        <v>0.32737687810626015</v>
      </c>
      <c r="PK202" s="199">
        <f t="shared" ca="1" si="805"/>
        <v>0.32833240916437029</v>
      </c>
      <c r="PL202" s="199">
        <f t="shared" ca="1" si="805"/>
        <v>0.32929103614431721</v>
      </c>
      <c r="PM202" s="199">
        <f t="shared" ca="1" si="805"/>
        <v>0.33025276907689183</v>
      </c>
      <c r="PN202" s="199">
        <f t="shared" ca="1" si="805"/>
        <v>0.33121761802538446</v>
      </c>
      <c r="PO202" s="199">
        <f t="shared" ca="1" si="805"/>
        <v>0.33218559308569068</v>
      </c>
      <c r="PP202" s="199">
        <f t="shared" ca="1" si="805"/>
        <v>0.33315670438641665</v>
      </c>
      <c r="PQ202" s="199">
        <f t="shared" ca="1" si="805"/>
        <v>0.33413096208898541</v>
      </c>
      <c r="PR202" s="199">
        <f t="shared" ca="1" si="805"/>
        <v>0.33510837638774288</v>
      </c>
      <c r="PS202" s="199">
        <f t="shared" ca="1" si="805"/>
        <v>0.33608895751006462</v>
      </c>
      <c r="PT202" s="199">
        <f t="shared" ca="1" si="805"/>
        <v>0.33707271571646302</v>
      </c>
      <c r="PU202" s="199">
        <f t="shared" ca="1" si="805"/>
        <v>0.33805966130069454</v>
      </c>
      <c r="PV202" s="199">
        <f t="shared" ca="1" si="805"/>
        <v>0.33904980458986744</v>
      </c>
      <c r="PW202" s="199">
        <f t="shared" ca="1" si="805"/>
        <v>0.3400431559445497</v>
      </c>
      <c r="PX202" s="199">
        <f t="shared" ca="1" si="805"/>
        <v>0.34103972575887759</v>
      </c>
      <c r="PY202" s="199">
        <f t="shared" ca="1" si="805"/>
        <v>0.34203952446066449</v>
      </c>
      <c r="PZ202" s="199">
        <f t="shared" ca="1" si="805"/>
        <v>0.34304256251150983</v>
      </c>
      <c r="QA202" s="199">
        <f t="shared" ca="1" si="805"/>
        <v>0.34404885040690875</v>
      </c>
      <c r="QB202" s="199">
        <f t="shared" ca="1" si="805"/>
        <v>0.34505839867636157</v>
      </c>
      <c r="QC202" s="199">
        <f t="shared" ca="1" si="805"/>
        <v>0.34607121788348444</v>
      </c>
      <c r="QD202" s="199">
        <f t="shared" ca="1" si="805"/>
        <v>0.34708731862611952</v>
      </c>
      <c r="QE202" s="199">
        <f t="shared" ca="1" si="805"/>
        <v>0.34810671153644596</v>
      </c>
      <c r="QF202" s="199">
        <f t="shared" ca="1" si="805"/>
        <v>0.34912940728109143</v>
      </c>
      <c r="QG202" s="199">
        <f t="shared" ca="1" si="805"/>
        <v>0.35015541656124299</v>
      </c>
      <c r="QH202" s="199">
        <f t="shared" ca="1" si="805"/>
        <v>0.35118475011276024</v>
      </c>
      <c r="QI202" s="199">
        <f t="shared" ca="1" si="805"/>
        <v>0.35221741870628631</v>
      </c>
      <c r="QJ202" s="199">
        <f t="shared" ca="1" si="805"/>
        <v>0.35325343314736174</v>
      </c>
      <c r="QK202" s="199">
        <f t="shared" ca="1" si="805"/>
        <v>0.35429280427653659</v>
      </c>
      <c r="QL202" s="199">
        <f t="shared" ca="1" si="805"/>
        <v>0.35533554296948472</v>
      </c>
      <c r="QM202" s="199">
        <f t="shared" ca="1" si="805"/>
        <v>0.3563816601371172</v>
      </c>
      <c r="QN202" s="199">
        <f t="shared" ca="1" si="805"/>
        <v>0.3574311667256958</v>
      </c>
      <c r="QO202" s="199">
        <f t="shared" ca="1" si="805"/>
        <v>0.35848407371694907</v>
      </c>
      <c r="QP202" s="199">
        <f t="shared" ca="1" si="805"/>
        <v>0.35954039212818584</v>
      </c>
      <c r="QQ202" s="199">
        <f t="shared" ca="1" si="805"/>
        <v>0.36060013301241112</v>
      </c>
      <c r="QR202" s="199">
        <f t="shared" ca="1" si="805"/>
        <v>0.36166330745844183</v>
      </c>
      <c r="QS202" s="199">
        <f t="shared" ref="QS202:RR202" ca="1" si="806">QS87*$B$17/1000000+$E$46</f>
        <v>0.36272992659102249</v>
      </c>
      <c r="QT202" s="199">
        <f t="shared" ca="1" si="806"/>
        <v>0.36380000157094189</v>
      </c>
      <c r="QU202" s="199">
        <f t="shared" ca="1" si="806"/>
        <v>0.36487354359514973</v>
      </c>
      <c r="QV202" s="199">
        <f t="shared" ca="1" si="806"/>
        <v>0.36595056389687403</v>
      </c>
      <c r="QW202" s="199">
        <f t="shared" ca="1" si="806"/>
        <v>0.36703107374573818</v>
      </c>
      <c r="QX202" s="199">
        <f t="shared" ca="1" si="806"/>
        <v>0.36811508444787944</v>
      </c>
      <c r="QY202" s="199">
        <f t="shared" ca="1" si="806"/>
        <v>0.36920260734606686</v>
      </c>
      <c r="QZ202" s="199">
        <f t="shared" ca="1" si="806"/>
        <v>0.37029365381981993</v>
      </c>
      <c r="RA202" s="199">
        <f t="shared" ca="1" si="806"/>
        <v>0.37138823528552817</v>
      </c>
      <c r="RB202" s="199">
        <f t="shared" ca="1" si="806"/>
        <v>0.37248636319656986</v>
      </c>
      <c r="RC202" s="199">
        <f t="shared" ca="1" si="806"/>
        <v>0.37358804904343229</v>
      </c>
      <c r="RD202" s="199">
        <f t="shared" ca="1" si="806"/>
        <v>0.37469330435383208</v>
      </c>
      <c r="RE202" s="199">
        <f t="shared" ca="1" si="806"/>
        <v>0.37580214069283574</v>
      </c>
      <c r="RF202" s="199">
        <f t="shared" ca="1" si="806"/>
        <v>0.37691456966298026</v>
      </c>
      <c r="RG202" s="199">
        <f t="shared" ca="1" si="806"/>
        <v>0.37803060290439516</v>
      </c>
      <c r="RH202" s="199">
        <f t="shared" ca="1" si="806"/>
        <v>0.37915025209492398</v>
      </c>
      <c r="RI202" s="199">
        <f t="shared" ca="1" si="806"/>
        <v>0.38027352895024641</v>
      </c>
      <c r="RJ202" s="199">
        <f t="shared" ca="1" si="806"/>
        <v>0.38140044522400091</v>
      </c>
      <c r="RK202" s="199">
        <f t="shared" ca="1" si="806"/>
        <v>0.38253101270790774</v>
      </c>
      <c r="RL202" s="199">
        <f t="shared" ca="1" si="806"/>
        <v>0.38366524323189261</v>
      </c>
      <c r="RM202" s="199">
        <f t="shared" ca="1" si="806"/>
        <v>0.38480314866420995</v>
      </c>
      <c r="RN202" s="199">
        <f t="shared" ca="1" si="806"/>
        <v>0.38594474091156722</v>
      </c>
      <c r="RO202" s="199">
        <f t="shared" ca="1" si="806"/>
        <v>0.38709003191925001</v>
      </c>
      <c r="RP202" s="199">
        <f t="shared" ca="1" si="806"/>
        <v>0.3882390336712464</v>
      </c>
      <c r="RQ202" s="199">
        <f t="shared" ca="1" si="806"/>
        <v>0.38939175819037269</v>
      </c>
      <c r="RR202" s="199">
        <f t="shared" ca="1" si="806"/>
        <v>0.39054821753839902</v>
      </c>
    </row>
    <row r="203" spans="1:486">
      <c r="D203" s="9" t="s">
        <v>358</v>
      </c>
      <c r="E203" s="199">
        <f t="shared" ref="E203:BP203" si="807">E91*$B$17/1000000+$E$46</f>
        <v>9.5661600000000013E-2</v>
      </c>
      <c r="F203" s="199">
        <f t="shared" ca="1" si="807"/>
        <v>9.573028175842567E-2</v>
      </c>
      <c r="G203" s="199">
        <f t="shared" ca="1" si="807"/>
        <v>9.5799186008735923E-2</v>
      </c>
      <c r="H203" s="199">
        <f t="shared" ca="1" si="807"/>
        <v>9.5868313471684591E-2</v>
      </c>
      <c r="I203" s="199">
        <f t="shared" ca="1" si="807"/>
        <v>9.5937664870360317E-2</v>
      </c>
      <c r="J203" s="199">
        <f t="shared" ca="1" si="807"/>
        <v>9.6007240930194179E-2</v>
      </c>
      <c r="K203" s="199">
        <f t="shared" ca="1" si="807"/>
        <v>9.6077042378967248E-2</v>
      </c>
      <c r="L203" s="199">
        <f t="shared" ca="1" si="807"/>
        <v>9.614706994681825E-2</v>
      </c>
      <c r="M203" s="199">
        <f t="shared" ca="1" si="807"/>
        <v>9.6217324366251106E-2</v>
      </c>
      <c r="N203" s="199">
        <f t="shared" ca="1" si="807"/>
        <v>9.6287806372142737E-2</v>
      </c>
      <c r="O203" s="199">
        <f t="shared" ca="1" si="807"/>
        <v>9.6358516701750579E-2</v>
      </c>
      <c r="P203" s="199">
        <f t="shared" ca="1" si="807"/>
        <v>9.642945609472045E-2</v>
      </c>
      <c r="Q203" s="199">
        <f t="shared" ca="1" si="807"/>
        <v>9.6500625293094208E-2</v>
      </c>
      <c r="R203" s="199">
        <f t="shared" ca="1" si="807"/>
        <v>9.6572025041317483E-2</v>
      </c>
      <c r="S203" s="199">
        <f t="shared" ca="1" si="807"/>
        <v>9.6643656086247587E-2</v>
      </c>
      <c r="T203" s="199">
        <f t="shared" ca="1" si="807"/>
        <v>9.6715519177161188E-2</v>
      </c>
      <c r="U203" s="199">
        <f t="shared" ca="1" si="807"/>
        <v>9.6787615065762236E-2</v>
      </c>
      <c r="V203" s="199">
        <f t="shared" ca="1" si="807"/>
        <v>9.6859944506189732E-2</v>
      </c>
      <c r="W203" s="199">
        <f t="shared" ca="1" si="807"/>
        <v>9.6932508255025779E-2</v>
      </c>
      <c r="X203" s="199">
        <f t="shared" ca="1" si="807"/>
        <v>9.7005307071303351E-2</v>
      </c>
      <c r="Y203" s="199">
        <f t="shared" ca="1" si="807"/>
        <v>9.7078341716514263E-2</v>
      </c>
      <c r="Z203" s="199">
        <f t="shared" ca="1" si="807"/>
        <v>9.7151612954617189E-2</v>
      </c>
      <c r="AA203" s="199">
        <f t="shared" ca="1" si="807"/>
        <v>9.7225121552045574E-2</v>
      </c>
      <c r="AB203" s="199">
        <f t="shared" ca="1" si="807"/>
        <v>9.7298868277715736E-2</v>
      </c>
      <c r="AC203" s="199">
        <f t="shared" ca="1" si="807"/>
        <v>9.7372853903034837E-2</v>
      </c>
      <c r="AD203" s="199">
        <f t="shared" ca="1" si="807"/>
        <v>9.7447079201909037E-2</v>
      </c>
      <c r="AE203" s="199">
        <f t="shared" ca="1" si="807"/>
        <v>9.7521544950751438E-2</v>
      </c>
      <c r="AF203" s="199">
        <f t="shared" ca="1" si="807"/>
        <v>9.7596251928490391E-2</v>
      </c>
      <c r="AG203" s="199">
        <f t="shared" ca="1" si="807"/>
        <v>9.7671200916577508E-2</v>
      </c>
      <c r="AH203" s="199">
        <f t="shared" ca="1" si="807"/>
        <v>9.7746392698995918E-2</v>
      </c>
      <c r="AI203" s="199">
        <f t="shared" ca="1" si="807"/>
        <v>9.7821828062268384E-2</v>
      </c>
      <c r="AJ203" s="199">
        <f t="shared" ca="1" si="807"/>
        <v>9.7897507795465619E-2</v>
      </c>
      <c r="AK203" s="199">
        <f t="shared" ca="1" si="807"/>
        <v>9.797343269021451E-2</v>
      </c>
      <c r="AL203" s="199">
        <f t="shared" ca="1" si="807"/>
        <v>9.804960354070634E-2</v>
      </c>
      <c r="AM203" s="199">
        <f t="shared" ca="1" si="807"/>
        <v>9.8126021143705167E-2</v>
      </c>
      <c r="AN203" s="199">
        <f t="shared" ca="1" si="807"/>
        <v>9.8202686298556149E-2</v>
      </c>
      <c r="AO203" s="199">
        <f t="shared" ca="1" si="807"/>
        <v>9.827959980719389E-2</v>
      </c>
      <c r="AP203" s="199">
        <f t="shared" ca="1" si="807"/>
        <v>9.8356762474150802E-2</v>
      </c>
      <c r="AQ203" s="199">
        <f t="shared" ca="1" si="807"/>
        <v>9.8434175106565575E-2</v>
      </c>
      <c r="AR203" s="199">
        <f t="shared" ca="1" si="807"/>
        <v>9.8511838514191596E-2</v>
      </c>
      <c r="AS203" s="199">
        <f t="shared" ca="1" si="807"/>
        <v>9.8589753509405395E-2</v>
      </c>
      <c r="AT203" s="199">
        <f t="shared" ca="1" si="807"/>
        <v>9.8667920907215184E-2</v>
      </c>
      <c r="AU203" s="199">
        <f t="shared" ca="1" si="807"/>
        <v>9.8746341525269343E-2</v>
      </c>
      <c r="AV203" s="199">
        <f t="shared" ca="1" si="807"/>
        <v>9.8825016183865008E-2</v>
      </c>
      <c r="AW203" s="199">
        <f t="shared" ca="1" si="807"/>
        <v>9.890394570595662E-2</v>
      </c>
      <c r="AX203" s="199">
        <f t="shared" ca="1" si="807"/>
        <v>9.8983130917164569E-2</v>
      </c>
      <c r="AY203" s="199">
        <f t="shared" ca="1" si="807"/>
        <v>9.9062572645783817E-2</v>
      </c>
      <c r="AZ203" s="199">
        <f t="shared" ca="1" si="807"/>
        <v>9.914227172279251E-2</v>
      </c>
      <c r="BA203" s="199">
        <f t="shared" ca="1" si="807"/>
        <v>9.9222228981860755E-2</v>
      </c>
      <c r="BB203" s="199">
        <f t="shared" ca="1" si="807"/>
        <v>9.9302445259359315E-2</v>
      </c>
      <c r="BC203" s="199">
        <f t="shared" ca="1" si="807"/>
        <v>9.9382921394368287E-2</v>
      </c>
      <c r="BD203" s="199">
        <f t="shared" ca="1" si="807"/>
        <v>9.9463658228685969E-2</v>
      </c>
      <c r="BE203" s="199">
        <f t="shared" ca="1" si="807"/>
        <v>9.9544656606837645E-2</v>
      </c>
      <c r="BF203" s="199">
        <f t="shared" ca="1" si="807"/>
        <v>9.962591737608438E-2</v>
      </c>
      <c r="BG203" s="199">
        <f t="shared" ca="1" si="807"/>
        <v>9.9707441386431922E-2</v>
      </c>
      <c r="BH203" s="199">
        <f t="shared" ca="1" si="807"/>
        <v>9.9789229490639592E-2</v>
      </c>
      <c r="BI203" s="199">
        <f t="shared" ca="1" si="807"/>
        <v>9.987128254422914E-2</v>
      </c>
      <c r="BJ203" s="199">
        <f t="shared" ca="1" si="807"/>
        <v>9.9953601405493822E-2</v>
      </c>
      <c r="BK203" s="199">
        <f t="shared" ca="1" si="807"/>
        <v>0.10003618693550724</v>
      </c>
      <c r="BL203" s="199">
        <f t="shared" ca="1" si="807"/>
        <v>0.1001190399981324</v>
      </c>
      <c r="BM203" s="199">
        <f t="shared" ca="1" si="807"/>
        <v>0.10020216146003089</v>
      </c>
      <c r="BN203" s="199">
        <f t="shared" ca="1" si="807"/>
        <v>0.1002855521906716</v>
      </c>
      <c r="BO203" s="199">
        <f t="shared" ca="1" si="807"/>
        <v>0.10036921306234019</v>
      </c>
      <c r="BP203" s="199">
        <f t="shared" ca="1" si="807"/>
        <v>0.10045314495014804</v>
      </c>
      <c r="BQ203" s="199">
        <f t="shared" ref="BQ203:EB203" ca="1" si="808">BQ91*$B$17/1000000+$E$46</f>
        <v>0.10053734873204136</v>
      </c>
      <c r="BR203" s="199">
        <f t="shared" ca="1" si="808"/>
        <v>0.10062182528881047</v>
      </c>
      <c r="BS203" s="199">
        <f t="shared" ca="1" si="808"/>
        <v>0.10070657550409898</v>
      </c>
      <c r="BT203" s="199">
        <f t="shared" ca="1" si="808"/>
        <v>0.10079160026441297</v>
      </c>
      <c r="BU203" s="199">
        <f t="shared" ca="1" si="808"/>
        <v>0.10087690045913045</v>
      </c>
      <c r="BV203" s="199">
        <f t="shared" ca="1" si="808"/>
        <v>0.10096247698051038</v>
      </c>
      <c r="BW203" s="199">
        <f t="shared" ca="1" si="808"/>
        <v>0.10104833072370227</v>
      </c>
      <c r="BX203" s="199">
        <f t="shared" ca="1" si="808"/>
        <v>0.10113446258675539</v>
      </c>
      <c r="BY203" s="199">
        <f t="shared" ca="1" si="808"/>
        <v>0.10122087347062822</v>
      </c>
      <c r="BZ203" s="199">
        <f t="shared" ca="1" si="808"/>
        <v>0.10130756427919783</v>
      </c>
      <c r="CA203" s="199">
        <f t="shared" ca="1" si="808"/>
        <v>0.1013945359192694</v>
      </c>
      <c r="CB203" s="199">
        <f t="shared" ca="1" si="808"/>
        <v>0.10148178930058564</v>
      </c>
      <c r="CC203" s="199">
        <f t="shared" ca="1" si="808"/>
        <v>0.10156932533583639</v>
      </c>
      <c r="CD203" s="199">
        <f t="shared" ca="1" si="808"/>
        <v>0.10165714494066803</v>
      </c>
      <c r="CE203" s="199">
        <f t="shared" ca="1" si="808"/>
        <v>0.10174524903369322</v>
      </c>
      <c r="CF203" s="199">
        <f t="shared" ca="1" si="808"/>
        <v>0.10183363853650039</v>
      </c>
      <c r="CG203" s="199">
        <f t="shared" ca="1" si="808"/>
        <v>0.10192231437366339</v>
      </c>
      <c r="CH203" s="199">
        <f t="shared" ca="1" si="808"/>
        <v>0.10201127747275128</v>
      </c>
      <c r="CI203" s="199">
        <f t="shared" ca="1" si="808"/>
        <v>0.10210052876433785</v>
      </c>
      <c r="CJ203" s="199">
        <f t="shared" ca="1" si="808"/>
        <v>0.10219006918201154</v>
      </c>
      <c r="CK203" s="199">
        <f t="shared" ca="1" si="808"/>
        <v>0.10227989966238499</v>
      </c>
      <c r="CL203" s="199">
        <f t="shared" ca="1" si="808"/>
        <v>0.10237002114510506</v>
      </c>
      <c r="CM203" s="199">
        <f t="shared" ca="1" si="808"/>
        <v>0.10246043457286257</v>
      </c>
      <c r="CN203" s="199">
        <f t="shared" ca="1" si="808"/>
        <v>0.10255114089140206</v>
      </c>
      <c r="CO203" s="199">
        <f t="shared" ca="1" si="808"/>
        <v>0.10264214104953186</v>
      </c>
      <c r="CP203" s="199">
        <f t="shared" ca="1" si="808"/>
        <v>0.10273343599913387</v>
      </c>
      <c r="CQ203" s="199">
        <f t="shared" ca="1" si="808"/>
        <v>0.1028250266951736</v>
      </c>
      <c r="CR203" s="199">
        <f t="shared" ca="1" si="808"/>
        <v>0.10291691409571015</v>
      </c>
      <c r="CS203" s="199">
        <f t="shared" ca="1" si="808"/>
        <v>0.10300909916190618</v>
      </c>
      <c r="CT203" s="199">
        <f t="shared" ca="1" si="808"/>
        <v>0.103101582858038</v>
      </c>
      <c r="CU203" s="199">
        <f t="shared" ca="1" si="808"/>
        <v>0.10319436615150568</v>
      </c>
      <c r="CV203" s="199">
        <f t="shared" ca="1" si="808"/>
        <v>0.10328745001284315</v>
      </c>
      <c r="CW203" s="199">
        <f t="shared" ca="1" si="808"/>
        <v>0.1033808354157283</v>
      </c>
      <c r="CX203" s="199">
        <f t="shared" ca="1" si="808"/>
        <v>0.10347452333699327</v>
      </c>
      <c r="CY203" s="199">
        <f t="shared" ca="1" si="808"/>
        <v>0.10356851475663459</v>
      </c>
      <c r="CZ203" s="199">
        <f t="shared" ca="1" si="808"/>
        <v>0.10366281065782341</v>
      </c>
      <c r="DA203" s="199">
        <f t="shared" ca="1" si="808"/>
        <v>0.10375741202691591</v>
      </c>
      <c r="DB203" s="199">
        <f t="shared" ca="1" si="808"/>
        <v>0.10385231985346342</v>
      </c>
      <c r="DC203" s="199">
        <f t="shared" ca="1" si="808"/>
        <v>0.10394753513022298</v>
      </c>
      <c r="DD203" s="199">
        <f t="shared" ca="1" si="808"/>
        <v>0.10404305885316757</v>
      </c>
      <c r="DE203" s="199">
        <f t="shared" ca="1" si="808"/>
        <v>0.10413889202149665</v>
      </c>
      <c r="DF203" s="199">
        <f t="shared" ca="1" si="808"/>
        <v>0.10423503563764647</v>
      </c>
      <c r="DG203" s="199">
        <f t="shared" ca="1" si="808"/>
        <v>0.10433149070730068</v>
      </c>
      <c r="DH203" s="199">
        <f t="shared" ca="1" si="808"/>
        <v>0.10442825823940076</v>
      </c>
      <c r="DI203" s="199">
        <f t="shared" ca="1" si="808"/>
        <v>0.10452533924615669</v>
      </c>
      <c r="DJ203" s="199">
        <f t="shared" ca="1" si="808"/>
        <v>0.1046227347430574</v>
      </c>
      <c r="DK203" s="199">
        <f t="shared" ca="1" si="808"/>
        <v>0.10472044574888149</v>
      </c>
      <c r="DL203" s="199">
        <f t="shared" ca="1" si="808"/>
        <v>0.10481847328570787</v>
      </c>
      <c r="DM203" s="199">
        <f t="shared" ca="1" si="808"/>
        <v>0.10491681837892633</v>
      </c>
      <c r="DN203" s="199">
        <f t="shared" ca="1" si="808"/>
        <v>0.10501548205724853</v>
      </c>
      <c r="DO203" s="199">
        <f t="shared" ca="1" si="808"/>
        <v>0.10511446535271848</v>
      </c>
      <c r="DP203" s="199">
        <f t="shared" ca="1" si="808"/>
        <v>0.10521376930072351</v>
      </c>
      <c r="DQ203" s="199">
        <f t="shared" ca="1" si="808"/>
        <v>0.10531339494000504</v>
      </c>
      <c r="DR203" s="199">
        <f t="shared" ca="1" si="808"/>
        <v>0.1054133433126694</v>
      </c>
      <c r="DS203" s="199">
        <f t="shared" ca="1" si="808"/>
        <v>0.10551361546419889</v>
      </c>
      <c r="DT203" s="199">
        <f t="shared" ca="1" si="808"/>
        <v>0.10561421244346252</v>
      </c>
      <c r="DU203" s="199">
        <f t="shared" ca="1" si="808"/>
        <v>0.1057151353027271</v>
      </c>
      <c r="DV203" s="199">
        <f t="shared" ca="1" si="808"/>
        <v>0.10581638509766821</v>
      </c>
      <c r="DW203" s="199">
        <f t="shared" ca="1" si="808"/>
        <v>0.10591796288738123</v>
      </c>
      <c r="DX203" s="199">
        <f t="shared" ca="1" si="808"/>
        <v>0.10601986973439255</v>
      </c>
      <c r="DY203" s="199">
        <f t="shared" ca="1" si="808"/>
        <v>0.1061221067046704</v>
      </c>
      <c r="DZ203" s="199">
        <f t="shared" ca="1" si="808"/>
        <v>0.10622467486763629</v>
      </c>
      <c r="EA203" s="199">
        <f t="shared" ca="1" si="808"/>
        <v>0.10632757529617608</v>
      </c>
      <c r="EB203" s="199">
        <f t="shared" ca="1" si="808"/>
        <v>0.10643080906665112</v>
      </c>
      <c r="EC203" s="199">
        <f t="shared" ref="EC203:GN203" ca="1" si="809">EC91*$B$17/1000000+$E$46</f>
        <v>0.10653437725890967</v>
      </c>
      <c r="ED203" s="199">
        <f t="shared" ca="1" si="809"/>
        <v>0.10663828095629808</v>
      </c>
      <c r="EE203" s="199">
        <f t="shared" ca="1" si="809"/>
        <v>0.10674252124567217</v>
      </c>
      <c r="EF203" s="199">
        <f t="shared" ca="1" si="809"/>
        <v>0.10684709921740859</v>
      </c>
      <c r="EG203" s="199">
        <f t="shared" ca="1" si="809"/>
        <v>0.10695201596541619</v>
      </c>
      <c r="EH203" s="199">
        <f t="shared" ca="1" si="809"/>
        <v>0.10705727258714756</v>
      </c>
      <c r="EI203" s="199">
        <f t="shared" ca="1" si="809"/>
        <v>0.10716287018361037</v>
      </c>
      <c r="EJ203" s="199">
        <f t="shared" ca="1" si="809"/>
        <v>0.10726880985937902</v>
      </c>
      <c r="EK203" s="199">
        <f t="shared" ca="1" si="809"/>
        <v>0.10737509272260612</v>
      </c>
      <c r="EL203" s="199">
        <f t="shared" ca="1" si="809"/>
        <v>0.10748171988503406</v>
      </c>
      <c r="EM203" s="199">
        <f t="shared" ca="1" si="809"/>
        <v>0.10758869246200674</v>
      </c>
      <c r="EN203" s="199">
        <f t="shared" ca="1" si="809"/>
        <v>0.10769601157248113</v>
      </c>
      <c r="EO203" s="199">
        <f t="shared" ca="1" si="809"/>
        <v>0.10780367833903902</v>
      </c>
      <c r="EP203" s="199">
        <f t="shared" ca="1" si="809"/>
        <v>0.10791169388789877</v>
      </c>
      <c r="EQ203" s="199">
        <f t="shared" ca="1" si="809"/>
        <v>0.1080200593489271</v>
      </c>
      <c r="ER203" s="199">
        <f t="shared" ca="1" si="809"/>
        <v>0.10812877585565084</v>
      </c>
      <c r="ES203" s="199">
        <f t="shared" ca="1" si="809"/>
        <v>0.10823784454526889</v>
      </c>
      <c r="ET203" s="199">
        <f t="shared" ca="1" si="809"/>
        <v>0.108347266558664</v>
      </c>
      <c r="EU203" s="199">
        <f t="shared" ca="1" si="809"/>
        <v>0.10845704304041483</v>
      </c>
      <c r="EV203" s="199">
        <f t="shared" ca="1" si="809"/>
        <v>0.10856717513880781</v>
      </c>
      <c r="EW203" s="199">
        <f t="shared" ca="1" si="809"/>
        <v>0.10867766400584924</v>
      </c>
      <c r="EX203" s="199">
        <f t="shared" ca="1" si="809"/>
        <v>0.10878851079727728</v>
      </c>
      <c r="EY203" s="199">
        <f t="shared" ca="1" si="809"/>
        <v>0.108899716672574</v>
      </c>
      <c r="EZ203" s="199">
        <f t="shared" ca="1" si="809"/>
        <v>0.1090112827949777</v>
      </c>
      <c r="FA203" s="199">
        <f t="shared" ca="1" si="809"/>
        <v>0.10912321033149483</v>
      </c>
      <c r="FB203" s="199">
        <f t="shared" ca="1" si="809"/>
        <v>0.10923550045291236</v>
      </c>
      <c r="FC203" s="199">
        <f t="shared" ca="1" si="809"/>
        <v>0.10934815433380995</v>
      </c>
      <c r="FD203" s="199">
        <f t="shared" ca="1" si="809"/>
        <v>0.10946117315257232</v>
      </c>
      <c r="FE203" s="199">
        <f t="shared" ca="1" si="809"/>
        <v>0.10957455809140146</v>
      </c>
      <c r="FF203" s="199">
        <f t="shared" ca="1" si="809"/>
        <v>0.1096883103363291</v>
      </c>
      <c r="FG203" s="199">
        <f t="shared" ca="1" si="809"/>
        <v>0.10980243107722903</v>
      </c>
      <c r="FH203" s="199">
        <f t="shared" ca="1" si="809"/>
        <v>0.10991692150782967</v>
      </c>
      <c r="FI203" s="199">
        <f t="shared" ca="1" si="809"/>
        <v>0.11003178282572634</v>
      </c>
      <c r="FJ203" s="199">
        <f t="shared" ca="1" si="809"/>
        <v>0.11014701623239409</v>
      </c>
      <c r="FK203" s="199">
        <f t="shared" ca="1" si="809"/>
        <v>0.11026262293319998</v>
      </c>
      <c r="FL203" s="199">
        <f t="shared" ca="1" si="809"/>
        <v>0.11037860413741586</v>
      </c>
      <c r="FM203" s="199">
        <f t="shared" ca="1" si="809"/>
        <v>0.11049496105823094</v>
      </c>
      <c r="FN203" s="199">
        <f t="shared" ca="1" si="809"/>
        <v>0.11061169491276454</v>
      </c>
      <c r="FO203" s="199">
        <f t="shared" ca="1" si="809"/>
        <v>0.1107288069220788</v>
      </c>
      <c r="FP203" s="199">
        <f t="shared" ca="1" si="809"/>
        <v>0.11084629831119137</v>
      </c>
      <c r="FQ203" s="199">
        <f t="shared" ca="1" si="809"/>
        <v>0.11096417030908841</v>
      </c>
      <c r="FR203" s="199">
        <f t="shared" ca="1" si="809"/>
        <v>0.1110824241487372</v>
      </c>
      <c r="FS203" s="199">
        <f t="shared" ca="1" si="809"/>
        <v>0.1112010610670993</v>
      </c>
      <c r="FT203" s="199">
        <f t="shared" ca="1" si="809"/>
        <v>0.11132008230514329</v>
      </c>
      <c r="FU203" s="199">
        <f t="shared" ca="1" si="809"/>
        <v>0.11143948910785781</v>
      </c>
      <c r="FV203" s="199">
        <f t="shared" ca="1" si="809"/>
        <v>0.1115592827242646</v>
      </c>
      <c r="FW203" s="199">
        <f t="shared" ca="1" si="809"/>
        <v>0.11167946440743161</v>
      </c>
      <c r="FX203" s="199">
        <f t="shared" ca="1" si="809"/>
        <v>0.11180003541448598</v>
      </c>
      <c r="FY203" s="199">
        <f t="shared" ca="1" si="809"/>
        <v>0.1119209970066273</v>
      </c>
      <c r="FZ203" s="199">
        <f t="shared" ca="1" si="809"/>
        <v>0.11204235044914078</v>
      </c>
      <c r="GA203" s="199">
        <f t="shared" ca="1" si="809"/>
        <v>0.11216409701141045</v>
      </c>
      <c r="GB203" s="199">
        <f t="shared" ca="1" si="809"/>
        <v>0.11228623796693246</v>
      </c>
      <c r="GC203" s="199">
        <f t="shared" ca="1" si="809"/>
        <v>0.11240877459332842</v>
      </c>
      <c r="GD203" s="199">
        <f t="shared" ca="1" si="809"/>
        <v>0.11253170817235875</v>
      </c>
      <c r="GE203" s="199">
        <f t="shared" ca="1" si="809"/>
        <v>0.11265503998993602</v>
      </c>
      <c r="GF203" s="199">
        <f t="shared" ca="1" si="809"/>
        <v>0.11277877133613855</v>
      </c>
      <c r="GG203" s="199">
        <f t="shared" ca="1" si="809"/>
        <v>0.11290290350522375</v>
      </c>
      <c r="GH203" s="199">
        <f t="shared" ca="1" si="809"/>
        <v>0.11302743779564178</v>
      </c>
      <c r="GI203" s="199">
        <f t="shared" ca="1" si="809"/>
        <v>0.11315237551004906</v>
      </c>
      <c r="GJ203" s="199">
        <f t="shared" ca="1" si="809"/>
        <v>0.11327771795532188</v>
      </c>
      <c r="GK203" s="199">
        <f t="shared" ca="1" si="809"/>
        <v>0.11340346644257016</v>
      </c>
      <c r="GL203" s="199">
        <f t="shared" ca="1" si="809"/>
        <v>0.11352962228715108</v>
      </c>
      <c r="GM203" s="199">
        <f t="shared" ca="1" si="809"/>
        <v>0.11365618680868285</v>
      </c>
      <c r="GN203" s="199">
        <f t="shared" ca="1" si="809"/>
        <v>0.11378316133105859</v>
      </c>
      <c r="GO203" s="199">
        <f t="shared" ref="GO203:IZ203" ca="1" si="810">GO91*$B$17/1000000+$E$46</f>
        <v>0.11391054718246005</v>
      </c>
      <c r="GP203" s="199">
        <f t="shared" ca="1" si="810"/>
        <v>0.11403834569537162</v>
      </c>
      <c r="GQ203" s="199">
        <f t="shared" ca="1" si="810"/>
        <v>0.1141665582065942</v>
      </c>
      <c r="GR203" s="199">
        <f t="shared" ca="1" si="810"/>
        <v>0.11429518605725926</v>
      </c>
      <c r="GS203" s="199">
        <f t="shared" ca="1" si="810"/>
        <v>0.11442423059284271</v>
      </c>
      <c r="GT203" s="199">
        <f t="shared" ca="1" si="810"/>
        <v>0.11455369316317916</v>
      </c>
      <c r="GU203" s="199">
        <f t="shared" ca="1" si="810"/>
        <v>0.11468357512247591</v>
      </c>
      <c r="GV203" s="199">
        <f t="shared" ca="1" si="810"/>
        <v>0.11481387782932724</v>
      </c>
      <c r="GW203" s="199">
        <f t="shared" ca="1" si="810"/>
        <v>0.1149446026467284</v>
      </c>
      <c r="GX203" s="199">
        <f t="shared" ca="1" si="810"/>
        <v>0.11507575094209015</v>
      </c>
      <c r="GY203" s="199">
        <f t="shared" ca="1" si="810"/>
        <v>0.11520732408725287</v>
      </c>
      <c r="GZ203" s="199">
        <f t="shared" ca="1" si="810"/>
        <v>0.11533932345850093</v>
      </c>
      <c r="HA203" s="199">
        <f t="shared" ca="1" si="810"/>
        <v>0.11547175043657718</v>
      </c>
      <c r="HB203" s="199">
        <f t="shared" ca="1" si="810"/>
        <v>0.1156046064066973</v>
      </c>
      <c r="HC203" s="199">
        <f t="shared" ca="1" si="810"/>
        <v>0.11573789275856433</v>
      </c>
      <c r="HD203" s="199">
        <f t="shared" ca="1" si="810"/>
        <v>0.11587161088638318</v>
      </c>
      <c r="HE203" s="199">
        <f t="shared" ca="1" si="810"/>
        <v>0.11600576218887525</v>
      </c>
      <c r="HF203" s="199">
        <f t="shared" ca="1" si="810"/>
        <v>0.11614034806929309</v>
      </c>
      <c r="HG203" s="199">
        <f t="shared" ca="1" si="810"/>
        <v>0.11627536993543493</v>
      </c>
      <c r="HH203" s="199">
        <f t="shared" ca="1" si="810"/>
        <v>0.11641082919965959</v>
      </c>
      <c r="HI203" s="199">
        <f t="shared" ca="1" si="810"/>
        <v>0.11654672727890111</v>
      </c>
      <c r="HJ203" s="199">
        <f t="shared" ca="1" si="810"/>
        <v>0.11668306559468371</v>
      </c>
      <c r="HK203" s="199">
        <f t="shared" ca="1" si="810"/>
        <v>0.11681984557313653</v>
      </c>
      <c r="HL203" s="199">
        <f t="shared" ca="1" si="810"/>
        <v>0.11695706864500859</v>
      </c>
      <c r="HM203" s="199">
        <f t="shared" ca="1" si="810"/>
        <v>0.11709473624568378</v>
      </c>
      <c r="HN203" s="199">
        <f t="shared" ca="1" si="810"/>
        <v>0.1172328498151959</v>
      </c>
      <c r="HO203" s="199">
        <f t="shared" ca="1" si="810"/>
        <v>0.11737141079824363</v>
      </c>
      <c r="HP203" s="199">
        <f t="shared" ca="1" si="810"/>
        <v>0.11751042064420569</v>
      </c>
      <c r="HQ203" s="199">
        <f t="shared" ca="1" si="810"/>
        <v>0.11764988080715608</v>
      </c>
      <c r="HR203" s="199">
        <f t="shared" ca="1" si="810"/>
        <v>0.11778979274587913</v>
      </c>
      <c r="HS203" s="199">
        <f t="shared" ca="1" si="810"/>
        <v>0.11793015792388488</v>
      </c>
      <c r="HT203" s="199">
        <f t="shared" ca="1" si="810"/>
        <v>0.11807097780942435</v>
      </c>
      <c r="HU203" s="199">
        <f t="shared" ca="1" si="810"/>
        <v>0.11821225387550492</v>
      </c>
      <c r="HV203" s="199">
        <f t="shared" ca="1" si="810"/>
        <v>0.11835398759990573</v>
      </c>
      <c r="HW203" s="199">
        <f t="shared" ca="1" si="810"/>
        <v>0.11849618046519304</v>
      </c>
      <c r="HX203" s="199">
        <f t="shared" ca="1" si="810"/>
        <v>0.11863883395873596</v>
      </c>
      <c r="HY203" s="199">
        <f t="shared" ca="1" si="810"/>
        <v>0.11878194957272177</v>
      </c>
      <c r="HZ203" s="199">
        <f t="shared" ca="1" si="810"/>
        <v>0.11892552880417168</v>
      </c>
      <c r="IA203" s="199">
        <f t="shared" ca="1" si="810"/>
        <v>0.11906957315495641</v>
      </c>
      <c r="IB203" s="199">
        <f t="shared" ca="1" si="810"/>
        <v>0.11921408413181198</v>
      </c>
      <c r="IC203" s="199">
        <f t="shared" ca="1" si="810"/>
        <v>0.11935906324635537</v>
      </c>
      <c r="ID203" s="199">
        <f t="shared" ca="1" si="810"/>
        <v>0.11950451201510041</v>
      </c>
      <c r="IE203" s="199">
        <f t="shared" ca="1" si="810"/>
        <v>0.11965043195947363</v>
      </c>
      <c r="IF203" s="199">
        <f t="shared" ca="1" si="810"/>
        <v>0.11979682460583013</v>
      </c>
      <c r="IG203" s="199">
        <f t="shared" ca="1" si="810"/>
        <v>0.11994369148546961</v>
      </c>
      <c r="IH203" s="199">
        <f t="shared" ca="1" si="810"/>
        <v>0.12009103413465234</v>
      </c>
      <c r="II203" s="199">
        <f t="shared" ca="1" si="810"/>
        <v>0.12023885409461525</v>
      </c>
      <c r="IJ203" s="199">
        <f t="shared" ca="1" si="810"/>
        <v>0.12038715291158802</v>
      </c>
      <c r="IK203" s="199">
        <f t="shared" ca="1" si="810"/>
        <v>0.12053593213680935</v>
      </c>
      <c r="IL203" s="199">
        <f t="shared" ca="1" si="810"/>
        <v>0.12068519332654304</v>
      </c>
      <c r="IM203" s="199">
        <f t="shared" ca="1" si="810"/>
        <v>0.12083493804209439</v>
      </c>
      <c r="IN203" s="199">
        <f t="shared" ca="1" si="810"/>
        <v>0.12098516784982646</v>
      </c>
      <c r="IO203" s="199">
        <f t="shared" ca="1" si="810"/>
        <v>0.12113588432117653</v>
      </c>
      <c r="IP203" s="199">
        <f t="shared" ca="1" si="810"/>
        <v>0.12128708903267242</v>
      </c>
      <c r="IQ203" s="199">
        <f t="shared" ca="1" si="810"/>
        <v>0.12143878356594912</v>
      </c>
      <c r="IR203" s="199">
        <f t="shared" ca="1" si="810"/>
        <v>0.1215909695077652</v>
      </c>
      <c r="IS203" s="199">
        <f t="shared" ca="1" si="810"/>
        <v>0.12174364845001956</v>
      </c>
      <c r="IT203" s="199">
        <f t="shared" ca="1" si="810"/>
        <v>0.12189682198976788</v>
      </c>
      <c r="IU203" s="199">
        <f t="shared" ca="1" si="810"/>
        <v>0.12205049172923955</v>
      </c>
      <c r="IV203" s="199">
        <f t="shared" ca="1" si="810"/>
        <v>0.12220465927585429</v>
      </c>
      <c r="IW203" s="199">
        <f t="shared" ca="1" si="810"/>
        <v>0.12235932624223889</v>
      </c>
      <c r="IX203" s="199">
        <f t="shared" ca="1" si="810"/>
        <v>0.12251449424624432</v>
      </c>
      <c r="IY203" s="199">
        <f t="shared" ca="1" si="810"/>
        <v>0.12267016491096246</v>
      </c>
      <c r="IZ203" s="199">
        <f t="shared" ca="1" si="810"/>
        <v>0.12282633986474313</v>
      </c>
      <c r="JA203" s="199">
        <f t="shared" ref="JA203:LL203" ca="1" si="811">JA91*$B$17/1000000+$E$46</f>
        <v>0.12298302074121115</v>
      </c>
      <c r="JB203" s="199">
        <f t="shared" ca="1" si="811"/>
        <v>0.12314020917928334</v>
      </c>
      <c r="JC203" s="199">
        <f t="shared" ca="1" si="811"/>
        <v>0.1232979068231858</v>
      </c>
      <c r="JD203" s="199">
        <f t="shared" ca="1" si="811"/>
        <v>0.123456115322471</v>
      </c>
      <c r="JE203" s="199">
        <f t="shared" ca="1" si="811"/>
        <v>0.1236148363320351</v>
      </c>
      <c r="JF203" s="199">
        <f t="shared" ca="1" si="811"/>
        <v>0.12377407151213519</v>
      </c>
      <c r="JG203" s="199">
        <f t="shared" ca="1" si="811"/>
        <v>0.12393382252840672</v>
      </c>
      <c r="JH203" s="199">
        <f t="shared" ca="1" si="811"/>
        <v>0.12409409105188092</v>
      </c>
      <c r="JI203" s="199">
        <f t="shared" ca="1" si="811"/>
        <v>0.12425487875900219</v>
      </c>
      <c r="JJ203" s="199">
        <f t="shared" ca="1" si="811"/>
        <v>0.12441618733164583</v>
      </c>
      <c r="JK203" s="199">
        <f t="shared" ca="1" si="811"/>
        <v>0.1245780184571354</v>
      </c>
      <c r="JL203" s="199">
        <f t="shared" ca="1" si="811"/>
        <v>0.12474037382826049</v>
      </c>
      <c r="JM203" s="199">
        <f t="shared" ca="1" si="811"/>
        <v>0.12490325514329449</v>
      </c>
      <c r="JN203" s="199">
        <f t="shared" ca="1" si="811"/>
        <v>0.12506666410601219</v>
      </c>
      <c r="JO203" s="199">
        <f t="shared" ca="1" si="811"/>
        <v>0.1252306024257078</v>
      </c>
      <c r="JP203" s="199">
        <f t="shared" ca="1" si="811"/>
        <v>0.1253950718172126</v>
      </c>
      <c r="JQ203" s="199">
        <f t="shared" ca="1" si="811"/>
        <v>0.12556007400091307</v>
      </c>
      <c r="JR203" s="199">
        <f t="shared" ca="1" si="811"/>
        <v>0.12572561070276878</v>
      </c>
      <c r="JS203" s="199">
        <f t="shared" ca="1" si="811"/>
        <v>0.12589168365433054</v>
      </c>
      <c r="JT203" s="199">
        <f t="shared" ca="1" si="811"/>
        <v>0.12605829459275839</v>
      </c>
      <c r="JU203" s="199">
        <f t="shared" ca="1" si="811"/>
        <v>0.12622544526083984</v>
      </c>
      <c r="JV203" s="199">
        <f t="shared" ca="1" si="811"/>
        <v>0.12639313740700819</v>
      </c>
      <c r="JW203" s="199">
        <f t="shared" ca="1" si="811"/>
        <v>0.12656137278536053</v>
      </c>
      <c r="JX203" s="199">
        <f t="shared" ca="1" si="811"/>
        <v>0.12673015315567643</v>
      </c>
      <c r="JY203" s="199">
        <f t="shared" ca="1" si="811"/>
        <v>0.12689948028343617</v>
      </c>
      <c r="JZ203" s="199">
        <f t="shared" ca="1" si="811"/>
        <v>0.1270693559398392</v>
      </c>
      <c r="KA203" s="199">
        <f t="shared" ca="1" si="811"/>
        <v>0.12723978190182272</v>
      </c>
      <c r="KB203" s="199">
        <f t="shared" ca="1" si="811"/>
        <v>0.12741075995208029</v>
      </c>
      <c r="KC203" s="199">
        <f t="shared" ca="1" si="811"/>
        <v>0.12758229187908032</v>
      </c>
      <c r="KD203" s="199">
        <f t="shared" ca="1" si="811"/>
        <v>0.12775437947708504</v>
      </c>
      <c r="KE203" s="199">
        <f t="shared" ca="1" si="811"/>
        <v>0.127927024546169</v>
      </c>
      <c r="KF203" s="199">
        <f t="shared" ca="1" si="811"/>
        <v>0.12810022889223815</v>
      </c>
      <c r="KG203" s="199">
        <f t="shared" ca="1" si="811"/>
        <v>0.12827399432704845</v>
      </c>
      <c r="KH203" s="199">
        <f t="shared" ca="1" si="811"/>
        <v>0.12844832266822509</v>
      </c>
      <c r="KI203" s="199">
        <f t="shared" ca="1" si="811"/>
        <v>0.12862321573928132</v>
      </c>
      <c r="KJ203" s="199">
        <f t="shared" ca="1" si="811"/>
        <v>0.12879867536963763</v>
      </c>
      <c r="KK203" s="199">
        <f t="shared" ca="1" si="811"/>
        <v>0.12897470339464087</v>
      </c>
      <c r="KL203" s="199">
        <f t="shared" ca="1" si="811"/>
        <v>0.12915130165558331</v>
      </c>
      <c r="KM203" s="199">
        <f t="shared" ca="1" si="811"/>
        <v>0.12932847199972214</v>
      </c>
      <c r="KN203" s="199">
        <f t="shared" ca="1" si="811"/>
        <v>0.12950621628029862</v>
      </c>
      <c r="KO203" s="199">
        <f t="shared" ca="1" si="811"/>
        <v>0.12968453635655752</v>
      </c>
      <c r="KP203" s="199">
        <f t="shared" ca="1" si="811"/>
        <v>0.12986343409376652</v>
      </c>
      <c r="KQ203" s="199">
        <f t="shared" ca="1" si="811"/>
        <v>0.13004291136323581</v>
      </c>
      <c r="KR203" s="199">
        <f t="shared" ca="1" si="811"/>
        <v>0.13022297004233763</v>
      </c>
      <c r="KS203" s="199">
        <f t="shared" ca="1" si="811"/>
        <v>0.13040361201452585</v>
      </c>
      <c r="KT203" s="199">
        <f t="shared" ca="1" si="811"/>
        <v>0.1305848391693557</v>
      </c>
      <c r="KU203" s="199">
        <f t="shared" ca="1" si="811"/>
        <v>0.13076665340250365</v>
      </c>
      <c r="KV203" s="199">
        <f t="shared" ca="1" si="811"/>
        <v>0.13094905661578701</v>
      </c>
      <c r="KW203" s="199">
        <f t="shared" ca="1" si="811"/>
        <v>0.13113205071718403</v>
      </c>
      <c r="KX203" s="199">
        <f t="shared" ca="1" si="811"/>
        <v>0.1313156376208538</v>
      </c>
      <c r="KY203" s="199">
        <f t="shared" ca="1" si="811"/>
        <v>0.13149981924715617</v>
      </c>
      <c r="KZ203" s="199">
        <f t="shared" ca="1" si="811"/>
        <v>0.13168459752267203</v>
      </c>
      <c r="LA203" s="199">
        <f t="shared" ca="1" si="811"/>
        <v>0.13186997438022327</v>
      </c>
      <c r="LB203" s="199">
        <f t="shared" ca="1" si="811"/>
        <v>0.13205595175889309</v>
      </c>
      <c r="LC203" s="199">
        <f t="shared" ca="1" si="811"/>
        <v>0.13224253160404631</v>
      </c>
      <c r="LD203" s="199">
        <f t="shared" ca="1" si="811"/>
        <v>0.1324297158673497</v>
      </c>
      <c r="LE203" s="199">
        <f t="shared" ca="1" si="811"/>
        <v>0.13261750650679227</v>
      </c>
      <c r="LF203" s="199">
        <f t="shared" ca="1" si="811"/>
        <v>0.13280590548670601</v>
      </c>
      <c r="LG203" s="199">
        <f t="shared" ca="1" si="811"/>
        <v>0.13299491477778613</v>
      </c>
      <c r="LH203" s="199">
        <f t="shared" ca="1" si="811"/>
        <v>0.13318453635711197</v>
      </c>
      <c r="LI203" s="199">
        <f t="shared" ca="1" si="811"/>
        <v>0.13337477220816746</v>
      </c>
      <c r="LJ203" s="199">
        <f t="shared" ca="1" si="811"/>
        <v>0.133565624320862</v>
      </c>
      <c r="LK203" s="199">
        <f t="shared" ca="1" si="811"/>
        <v>0.13375709469155123</v>
      </c>
      <c r="LL203" s="199">
        <f t="shared" ca="1" si="811"/>
        <v>0.13394918532305772</v>
      </c>
      <c r="LM203" s="199">
        <f t="shared" ref="LM203:NX203" ca="1" si="812">LM91*$B$17/1000000+$E$46</f>
        <v>0.13414189822469241</v>
      </c>
      <c r="LN203" s="199">
        <f t="shared" ca="1" si="812"/>
        <v>0.13433523541227513</v>
      </c>
      <c r="LO203" s="199">
        <f t="shared" ca="1" si="812"/>
        <v>0.1345291989081559</v>
      </c>
      <c r="LP203" s="199">
        <f t="shared" ca="1" si="812"/>
        <v>0.13472379074123611</v>
      </c>
      <c r="LQ203" s="199">
        <f t="shared" ca="1" si="812"/>
        <v>0.13491901294698966</v>
      </c>
      <c r="LR203" s="199">
        <f t="shared" ca="1" si="812"/>
        <v>0.13511486756748431</v>
      </c>
      <c r="LS203" s="199">
        <f t="shared" ca="1" si="812"/>
        <v>0.13531135665140301</v>
      </c>
      <c r="LT203" s="199">
        <f t="shared" ca="1" si="812"/>
        <v>0.13550848225406537</v>
      </c>
      <c r="LU203" s="199">
        <f t="shared" ca="1" si="812"/>
        <v>0.13570624643744902</v>
      </c>
      <c r="LV203" s="199">
        <f t="shared" ca="1" si="812"/>
        <v>0.13590465127021145</v>
      </c>
      <c r="LW203" s="199">
        <f t="shared" ca="1" si="812"/>
        <v>0.13610369882771134</v>
      </c>
      <c r="LX203" s="199">
        <f t="shared" ca="1" si="812"/>
        <v>0.13630339119203053</v>
      </c>
      <c r="LY203" s="199">
        <f t="shared" ca="1" si="812"/>
        <v>0.1365037304519956</v>
      </c>
      <c r="LZ203" s="199">
        <f t="shared" ca="1" si="812"/>
        <v>0.13670471870319978</v>
      </c>
      <c r="MA203" s="199">
        <f t="shared" ca="1" si="812"/>
        <v>0.13690635804802503</v>
      </c>
      <c r="MB203" s="199">
        <f t="shared" ca="1" si="812"/>
        <v>0.13710865059566374</v>
      </c>
      <c r="MC203" s="199">
        <f t="shared" ca="1" si="812"/>
        <v>0.13731159846214108</v>
      </c>
      <c r="MD203" s="199">
        <f t="shared" ca="1" si="812"/>
        <v>0.13751520377033682</v>
      </c>
      <c r="ME203" s="199">
        <f t="shared" ca="1" si="812"/>
        <v>0.137719468650008</v>
      </c>
      <c r="MF203" s="199">
        <f t="shared" ca="1" si="812"/>
        <v>0.13792439523781061</v>
      </c>
      <c r="MG203" s="199">
        <f t="shared" ca="1" si="812"/>
        <v>0.13812998567732243</v>
      </c>
      <c r="MH203" s="199">
        <f t="shared" ca="1" si="812"/>
        <v>0.13833624211906531</v>
      </c>
      <c r="MI203" s="199">
        <f t="shared" ca="1" si="812"/>
        <v>0.13854316672052752</v>
      </c>
      <c r="MJ203" s="199">
        <f t="shared" ca="1" si="812"/>
        <v>0.13875076164618647</v>
      </c>
      <c r="MK203" s="199">
        <f t="shared" ca="1" si="812"/>
        <v>0.13895902906753135</v>
      </c>
      <c r="ML203" s="199">
        <f t="shared" ca="1" si="812"/>
        <v>0.13916797116308577</v>
      </c>
      <c r="MM203" s="199">
        <f t="shared" ca="1" si="812"/>
        <v>0.13937759011843054</v>
      </c>
      <c r="MN203" s="199">
        <f t="shared" ca="1" si="812"/>
        <v>0.13958788812622669</v>
      </c>
      <c r="MO203" s="199">
        <f t="shared" ca="1" si="812"/>
        <v>0.13979886738623815</v>
      </c>
      <c r="MP203" s="199">
        <f t="shared" ca="1" si="812"/>
        <v>0.14001053010535502</v>
      </c>
      <c r="MQ203" s="199">
        <f t="shared" ca="1" si="812"/>
        <v>0.14022287849761644</v>
      </c>
      <c r="MR203" s="199">
        <f t="shared" ca="1" si="812"/>
        <v>0.14043591478423398</v>
      </c>
      <c r="MS203" s="199">
        <f t="shared" ca="1" si="812"/>
        <v>0.14064964119361456</v>
      </c>
      <c r="MT203" s="199">
        <f t="shared" ca="1" si="812"/>
        <v>0.14086405996138401</v>
      </c>
      <c r="MU203" s="199">
        <f t="shared" ca="1" si="812"/>
        <v>0.14107917333041048</v>
      </c>
      <c r="MV203" s="199">
        <f t="shared" ca="1" si="812"/>
        <v>0.14129498355082765</v>
      </c>
      <c r="MW203" s="199">
        <f t="shared" ca="1" si="812"/>
        <v>0.14151149288005851</v>
      </c>
      <c r="MX203" s="199">
        <f t="shared" ca="1" si="812"/>
        <v>0.1417287035828389</v>
      </c>
      <c r="MY203" s="199">
        <f t="shared" ca="1" si="812"/>
        <v>0.14194661793124111</v>
      </c>
      <c r="MZ203" s="199">
        <f t="shared" ca="1" si="812"/>
        <v>0.14216523820469779</v>
      </c>
      <c r="NA203" s="199">
        <f t="shared" ca="1" si="812"/>
        <v>0.14238456669002564</v>
      </c>
      <c r="NB203" s="199">
        <f t="shared" ca="1" si="812"/>
        <v>0.1426046056814495</v>
      </c>
      <c r="NC203" s="199">
        <f t="shared" ca="1" si="812"/>
        <v>0.14282535748062625</v>
      </c>
      <c r="ND203" s="199">
        <f t="shared" ca="1" si="812"/>
        <v>0.14304682439666888</v>
      </c>
      <c r="NE203" s="199">
        <f t="shared" ca="1" si="812"/>
        <v>0.14326900874617057</v>
      </c>
      <c r="NF203" s="199">
        <f t="shared" ca="1" si="812"/>
        <v>0.14349191285322918</v>
      </c>
      <c r="NG203" s="199">
        <f t="shared" ca="1" si="812"/>
        <v>0.14371553904947132</v>
      </c>
      <c r="NH203" s="199">
        <f t="shared" ca="1" si="812"/>
        <v>0.14393988967407678</v>
      </c>
      <c r="NI203" s="199">
        <f t="shared" ca="1" si="812"/>
        <v>0.14416496707380308</v>
      </c>
      <c r="NJ203" s="199">
        <f t="shared" ca="1" si="812"/>
        <v>0.14439077360300992</v>
      </c>
      <c r="NK203" s="199">
        <f t="shared" ca="1" si="812"/>
        <v>0.14461731162368391</v>
      </c>
      <c r="NL203" s="199">
        <f t="shared" ca="1" si="812"/>
        <v>0.14484458350546323</v>
      </c>
      <c r="NM203" s="199">
        <f t="shared" ca="1" si="812"/>
        <v>0.14507259162566233</v>
      </c>
      <c r="NN203" s="199">
        <f t="shared" ca="1" si="812"/>
        <v>0.14530133836929693</v>
      </c>
      <c r="NO203" s="199">
        <f t="shared" ca="1" si="812"/>
        <v>0.145530826129109</v>
      </c>
      <c r="NP203" s="199">
        <f t="shared" ca="1" si="812"/>
        <v>0.14576105730559152</v>
      </c>
      <c r="NQ203" s="199">
        <f t="shared" ca="1" si="812"/>
        <v>0.14599203430701393</v>
      </c>
      <c r="NR203" s="199">
        <f t="shared" ca="1" si="812"/>
        <v>0.14622375954944708</v>
      </c>
      <c r="NS203" s="199">
        <f t="shared" ca="1" si="812"/>
        <v>0.14645623545678865</v>
      </c>
      <c r="NT203" s="199">
        <f t="shared" ca="1" si="812"/>
        <v>0.14668946446078837</v>
      </c>
      <c r="NU203" s="199">
        <f t="shared" ca="1" si="812"/>
        <v>0.14692344900107357</v>
      </c>
      <c r="NV203" s="199">
        <f t="shared" ca="1" si="812"/>
        <v>0.14715819152517473</v>
      </c>
      <c r="NW203" s="199">
        <f t="shared" ca="1" si="812"/>
        <v>0.14739369448855083</v>
      </c>
      <c r="NX203" s="199">
        <f t="shared" ca="1" si="812"/>
        <v>0.14762996035461537</v>
      </c>
      <c r="NY203" s="199">
        <f t="shared" ref="NY203:QJ203" ca="1" si="813">NY91*$B$17/1000000+$E$46</f>
        <v>0.14786699159476191</v>
      </c>
      <c r="NZ203" s="199">
        <f t="shared" ca="1" si="813"/>
        <v>0.14810479068839005</v>
      </c>
      <c r="OA203" s="199">
        <f t="shared" ca="1" si="813"/>
        <v>0.14834336012293126</v>
      </c>
      <c r="OB203" s="199">
        <f t="shared" ca="1" si="813"/>
        <v>0.14858270239387494</v>
      </c>
      <c r="OC203" s="199">
        <f t="shared" ca="1" si="813"/>
        <v>0.14882282000479458</v>
      </c>
      <c r="OD203" s="199">
        <f t="shared" ca="1" si="813"/>
        <v>0.14906371546737385</v>
      </c>
      <c r="OE203" s="199">
        <f t="shared" ca="1" si="813"/>
        <v>0.14930539130143294</v>
      </c>
      <c r="OF203" s="199">
        <f t="shared" ca="1" si="813"/>
        <v>0.14954785003495491</v>
      </c>
      <c r="OG203" s="199">
        <f t="shared" ca="1" si="813"/>
        <v>0.14979109420411213</v>
      </c>
      <c r="OH203" s="199">
        <f t="shared" ca="1" si="813"/>
        <v>0.15003512635329275</v>
      </c>
      <c r="OI203" s="199">
        <f t="shared" ca="1" si="813"/>
        <v>0.15027994903512742</v>
      </c>
      <c r="OJ203" s="199">
        <f t="shared" ca="1" si="813"/>
        <v>0.15052556481051593</v>
      </c>
      <c r="OK203" s="199">
        <f t="shared" ca="1" si="813"/>
        <v>0.15077197624865396</v>
      </c>
      <c r="OL203" s="199">
        <f t="shared" ca="1" si="813"/>
        <v>0.1510191859270601</v>
      </c>
      <c r="OM203" s="199">
        <f t="shared" ca="1" si="813"/>
        <v>0.15126719643160258</v>
      </c>
      <c r="ON203" s="199">
        <f t="shared" ca="1" si="813"/>
        <v>0.15151601035652656</v>
      </c>
      <c r="OO203" s="199">
        <f t="shared" ca="1" si="813"/>
        <v>0.15176563030448109</v>
      </c>
      <c r="OP203" s="199">
        <f t="shared" ca="1" si="813"/>
        <v>0.1520160588865464</v>
      </c>
      <c r="OQ203" s="199">
        <f t="shared" ca="1" si="813"/>
        <v>0.1522672987222613</v>
      </c>
      <c r="OR203" s="199">
        <f t="shared" ca="1" si="813"/>
        <v>0.15251935243965037</v>
      </c>
      <c r="OS203" s="199">
        <f t="shared" ca="1" si="813"/>
        <v>0.15277222267525165</v>
      </c>
      <c r="OT203" s="199">
        <f t="shared" ca="1" si="813"/>
        <v>0.15302591207414412</v>
      </c>
      <c r="OU203" s="199">
        <f t="shared" ca="1" si="813"/>
        <v>0.15328042328997538</v>
      </c>
      <c r="OV203" s="199">
        <f t="shared" ca="1" si="813"/>
        <v>0.15353575898498947</v>
      </c>
      <c r="OW203" s="199">
        <f t="shared" ca="1" si="813"/>
        <v>0.15379192183005463</v>
      </c>
      <c r="OX203" s="199">
        <f t="shared" ca="1" si="813"/>
        <v>0.15404891450469127</v>
      </c>
      <c r="OY203" s="199">
        <f t="shared" ca="1" si="813"/>
        <v>0.15430673969709996</v>
      </c>
      <c r="OZ203" s="199">
        <f t="shared" ca="1" si="813"/>
        <v>0.15456540010418968</v>
      </c>
      <c r="PA203" s="199">
        <f t="shared" ca="1" si="813"/>
        <v>0.15482489843160591</v>
      </c>
      <c r="PB203" s="199">
        <f t="shared" ca="1" si="813"/>
        <v>0.15508523739375885</v>
      </c>
      <c r="PC203" s="199">
        <f t="shared" ca="1" si="813"/>
        <v>0.15534641971385216</v>
      </c>
      <c r="PD203" s="199">
        <f t="shared" ca="1" si="813"/>
        <v>0.15560844812391103</v>
      </c>
      <c r="PE203" s="199">
        <f t="shared" ca="1" si="813"/>
        <v>0.15587132536481096</v>
      </c>
      <c r="PF203" s="199">
        <f t="shared" ca="1" si="813"/>
        <v>0.15613505418630652</v>
      </c>
      <c r="PG203" s="199">
        <f t="shared" ca="1" si="813"/>
        <v>0.15639963734705981</v>
      </c>
      <c r="PH203" s="199">
        <f t="shared" ca="1" si="813"/>
        <v>0.15666507761466966</v>
      </c>
      <c r="PI203" s="199">
        <f t="shared" ca="1" si="813"/>
        <v>0.15693137776570043</v>
      </c>
      <c r="PJ203" s="199">
        <f t="shared" ca="1" si="813"/>
        <v>0.15719854058571098</v>
      </c>
      <c r="PK203" s="199">
        <f t="shared" ca="1" si="813"/>
        <v>0.1574665688692839</v>
      </c>
      <c r="PL203" s="199">
        <f t="shared" ca="1" si="813"/>
        <v>0.15773546542005479</v>
      </c>
      <c r="PM203" s="199">
        <f t="shared" ca="1" si="813"/>
        <v>0.15800523305074138</v>
      </c>
      <c r="PN203" s="199">
        <f t="shared" ca="1" si="813"/>
        <v>0.15827587458317327</v>
      </c>
      <c r="PO203" s="199">
        <f t="shared" ca="1" si="813"/>
        <v>0.15854739284832103</v>
      </c>
      <c r="PP203" s="199">
        <f t="shared" ca="1" si="813"/>
        <v>0.15881979068632629</v>
      </c>
      <c r="PQ203" s="199">
        <f t="shared" ca="1" si="813"/>
        <v>0.15909307094653113</v>
      </c>
      <c r="PR203" s="199">
        <f t="shared" ca="1" si="813"/>
        <v>0.15936723648750784</v>
      </c>
      <c r="PS203" s="199">
        <f t="shared" ca="1" si="813"/>
        <v>0.15964229017708909</v>
      </c>
      <c r="PT203" s="199">
        <f t="shared" ca="1" si="813"/>
        <v>0.1599182348923977</v>
      </c>
      <c r="PU203" s="199">
        <f t="shared" ca="1" si="813"/>
        <v>0.16019507351987694</v>
      </c>
      <c r="PV203" s="199">
        <f t="shared" ca="1" si="813"/>
        <v>0.1604728089553204</v>
      </c>
      <c r="PW203" s="199">
        <f t="shared" ca="1" si="813"/>
        <v>0.16075144410390274</v>
      </c>
      <c r="PX203" s="199">
        <f t="shared" ca="1" si="813"/>
        <v>0.16103098188020953</v>
      </c>
      <c r="PY203" s="199">
        <f t="shared" ca="1" si="813"/>
        <v>0.16131142520826824</v>
      </c>
      <c r="PZ203" s="199">
        <f t="shared" ca="1" si="813"/>
        <v>0.16159277702157848</v>
      </c>
      <c r="QA203" s="199">
        <f t="shared" ca="1" si="813"/>
        <v>0.16187504026314298</v>
      </c>
      <c r="QB203" s="199">
        <f t="shared" ca="1" si="813"/>
        <v>0.16215821788549806</v>
      </c>
      <c r="QC203" s="199">
        <f t="shared" ca="1" si="813"/>
        <v>0.16244231285074467</v>
      </c>
      <c r="QD203" s="199">
        <f t="shared" ca="1" si="813"/>
        <v>0.16272732813057955</v>
      </c>
      <c r="QE203" s="199">
        <f t="shared" ca="1" si="813"/>
        <v>0.16301326670632588</v>
      </c>
      <c r="QF203" s="199">
        <f t="shared" ca="1" si="813"/>
        <v>0.16330013156896483</v>
      </c>
      <c r="QG203" s="199">
        <f t="shared" ca="1" si="813"/>
        <v>0.16358792571916692</v>
      </c>
      <c r="QH203" s="199">
        <f t="shared" ca="1" si="813"/>
        <v>0.16387665216732294</v>
      </c>
      <c r="QI203" s="199">
        <f t="shared" ca="1" si="813"/>
        <v>0.16416631393357589</v>
      </c>
      <c r="QJ203" s="199">
        <f t="shared" ca="1" si="813"/>
        <v>0.16445691404785229</v>
      </c>
      <c r="QK203" s="199">
        <f t="shared" ref="QK203:RR203" ca="1" si="814">QK91*$B$17/1000000+$E$46</f>
        <v>0.16474845554989409</v>
      </c>
      <c r="QL203" s="199">
        <f t="shared" ca="1" si="814"/>
        <v>0.16504094148929044</v>
      </c>
      <c r="QM203" s="199">
        <f t="shared" ca="1" si="814"/>
        <v>0.16533437492550923</v>
      </c>
      <c r="QN203" s="199">
        <f t="shared" ca="1" si="814"/>
        <v>0.16562875892792966</v>
      </c>
      <c r="QO203" s="199">
        <f t="shared" ca="1" si="814"/>
        <v>0.16592409657587398</v>
      </c>
      <c r="QP203" s="199">
        <f t="shared" ca="1" si="814"/>
        <v>0.16622039095863966</v>
      </c>
      <c r="QQ203" s="199">
        <f t="shared" ca="1" si="814"/>
        <v>0.16651764517553208</v>
      </c>
      <c r="QR203" s="199">
        <f t="shared" ca="1" si="814"/>
        <v>0.16681586233589646</v>
      </c>
      <c r="QS203" s="199">
        <f t="shared" ca="1" si="814"/>
        <v>0.1671150455591508</v>
      </c>
      <c r="QT203" s="199">
        <f t="shared" ca="1" si="814"/>
        <v>0.16741519797481808</v>
      </c>
      <c r="QU203" s="199">
        <f t="shared" ca="1" si="814"/>
        <v>0.16771632272255965</v>
      </c>
      <c r="QV203" s="199">
        <f t="shared" ca="1" si="814"/>
        <v>0.16801842295220726</v>
      </c>
      <c r="QW203" s="199">
        <f t="shared" ca="1" si="814"/>
        <v>0.16832150182379668</v>
      </c>
      <c r="QX203" s="199">
        <f t="shared" ca="1" si="814"/>
        <v>0.1686255625076003</v>
      </c>
      <c r="QY203" s="199">
        <f t="shared" ca="1" si="814"/>
        <v>0.16893060818416084</v>
      </c>
      <c r="QZ203" s="199">
        <f t="shared" ca="1" si="814"/>
        <v>0.1692366420443237</v>
      </c>
      <c r="RA203" s="199">
        <f t="shared" ca="1" si="814"/>
        <v>0.16954366728927145</v>
      </c>
      <c r="RB203" s="199">
        <f t="shared" ca="1" si="814"/>
        <v>0.16985168713055648</v>
      </c>
      <c r="RC203" s="199">
        <f t="shared" ca="1" si="814"/>
        <v>0.1701607047901349</v>
      </c>
      <c r="RD203" s="199">
        <f t="shared" ca="1" si="814"/>
        <v>0.17047072350040027</v>
      </c>
      <c r="RE203" s="199">
        <f t="shared" ca="1" si="814"/>
        <v>0.17078174650421735</v>
      </c>
      <c r="RF203" s="199">
        <f t="shared" ca="1" si="814"/>
        <v>0.17109377705495599</v>
      </c>
      <c r="RG203" s="199">
        <f t="shared" ca="1" si="814"/>
        <v>0.17140681841652533</v>
      </c>
      <c r="RH203" s="199">
        <f t="shared" ca="1" si="814"/>
        <v>0.17172087386340767</v>
      </c>
      <c r="RI203" s="199">
        <f t="shared" ca="1" si="814"/>
        <v>0.17203594668069294</v>
      </c>
      <c r="RJ203" s="199">
        <f t="shared" ca="1" si="814"/>
        <v>0.17235204016411304</v>
      </c>
      <c r="RK203" s="199">
        <f t="shared" ca="1" si="814"/>
        <v>0.17266915762007617</v>
      </c>
      <c r="RL203" s="199">
        <f t="shared" ca="1" si="814"/>
        <v>0.17298730236570148</v>
      </c>
      <c r="RM203" s="199">
        <f t="shared" ca="1" si="814"/>
        <v>0.17330647772885399</v>
      </c>
      <c r="RN203" s="199">
        <f t="shared" ca="1" si="814"/>
        <v>0.17362668704817896</v>
      </c>
      <c r="RO203" s="199">
        <f t="shared" ca="1" si="814"/>
        <v>0.17394793367313727</v>
      </c>
      <c r="RP203" s="199">
        <f t="shared" ca="1" si="814"/>
        <v>0.17427022096404016</v>
      </c>
      <c r="RQ203" s="199">
        <f t="shared" ca="1" si="814"/>
        <v>0.17459355229208451</v>
      </c>
      <c r="RR203" s="199">
        <f t="shared" ca="1" si="814"/>
        <v>0.17491793103938796</v>
      </c>
    </row>
    <row r="204" spans="1:486" ht="15" thickBot="1">
      <c r="D204" s="9" t="s">
        <v>359</v>
      </c>
      <c r="E204" s="200">
        <f>SUMPRODUCT($D$50:$D$54,$H$26:$H$30)/SUM($H$26:$H$31)*(1+$C$4)^E121</f>
        <v>0.13041437928067065</v>
      </c>
      <c r="F204" s="200">
        <f t="shared" ref="F204:L204" si="815">SUMPRODUCT($D$50:$D$54,$H$26:$H$30)/SUM($H$26:$H$31)*(1+$C$4)^F121</f>
        <v>0.13041437928067065</v>
      </c>
      <c r="G204" s="200">
        <f t="shared" si="815"/>
        <v>0.13041437928067065</v>
      </c>
      <c r="H204" s="200">
        <f t="shared" si="815"/>
        <v>0.13041437928067065</v>
      </c>
      <c r="I204" s="200">
        <f t="shared" si="815"/>
        <v>0.13041437928067065</v>
      </c>
      <c r="J204" s="200">
        <f t="shared" si="815"/>
        <v>0.13041437928067065</v>
      </c>
      <c r="K204" s="200">
        <f t="shared" si="815"/>
        <v>0.13041437928067065</v>
      </c>
      <c r="L204" s="200">
        <f t="shared" si="815"/>
        <v>0.13041437928067065</v>
      </c>
      <c r="M204" s="200">
        <f t="shared" ref="M204:BX204" si="816">SUMPRODUCT($D$50:$D$54,$H$26:$H$30)/SUM($H$26:$H$31)*(1+$C$4)^M121</f>
        <v>0.13041437928067065</v>
      </c>
      <c r="N204" s="200">
        <f t="shared" si="816"/>
        <v>0.13041437928067065</v>
      </c>
      <c r="O204" s="200">
        <f t="shared" si="816"/>
        <v>0.13041437928067065</v>
      </c>
      <c r="P204" s="200">
        <f t="shared" si="816"/>
        <v>0.13041437928067065</v>
      </c>
      <c r="Q204" s="200">
        <f t="shared" si="816"/>
        <v>0.13041437928067065</v>
      </c>
      <c r="R204" s="200">
        <f t="shared" si="816"/>
        <v>0.13041437928067065</v>
      </c>
      <c r="S204" s="200">
        <f t="shared" si="816"/>
        <v>0.13041437928067065</v>
      </c>
      <c r="T204" s="200">
        <f t="shared" si="816"/>
        <v>0.13041437928067065</v>
      </c>
      <c r="U204" s="200">
        <f t="shared" si="816"/>
        <v>0.13041437928067065</v>
      </c>
      <c r="V204" s="200">
        <f t="shared" si="816"/>
        <v>0.13041437928067065</v>
      </c>
      <c r="W204" s="200">
        <f t="shared" si="816"/>
        <v>0.13041437928067065</v>
      </c>
      <c r="X204" s="200">
        <f t="shared" si="816"/>
        <v>0.13041437928067065</v>
      </c>
      <c r="Y204" s="200">
        <f t="shared" si="816"/>
        <v>0.13041437928067065</v>
      </c>
      <c r="Z204" s="200">
        <f t="shared" si="816"/>
        <v>0.13041437928067065</v>
      </c>
      <c r="AA204" s="200">
        <f t="shared" si="816"/>
        <v>0.13041437928067065</v>
      </c>
      <c r="AB204" s="200">
        <f t="shared" si="816"/>
        <v>0.13041437928067065</v>
      </c>
      <c r="AC204" s="200">
        <f t="shared" si="816"/>
        <v>0.13041437928067065</v>
      </c>
      <c r="AD204" s="200">
        <f t="shared" si="816"/>
        <v>0.13041437928067065</v>
      </c>
      <c r="AE204" s="200">
        <f t="shared" si="816"/>
        <v>0.13041437928067065</v>
      </c>
      <c r="AF204" s="200">
        <f t="shared" si="816"/>
        <v>0.13041437928067065</v>
      </c>
      <c r="AG204" s="200">
        <f t="shared" si="816"/>
        <v>0.13041437928067065</v>
      </c>
      <c r="AH204" s="200">
        <f t="shared" si="816"/>
        <v>0.13041437928067065</v>
      </c>
      <c r="AI204" s="200">
        <f t="shared" si="816"/>
        <v>0.13041437928067065</v>
      </c>
      <c r="AJ204" s="200">
        <f t="shared" si="816"/>
        <v>0.13041437928067065</v>
      </c>
      <c r="AK204" s="200">
        <f t="shared" si="816"/>
        <v>0.13041437928067065</v>
      </c>
      <c r="AL204" s="200">
        <f t="shared" si="816"/>
        <v>0.13041437928067065</v>
      </c>
      <c r="AM204" s="200">
        <f t="shared" si="816"/>
        <v>0.13041437928067065</v>
      </c>
      <c r="AN204" s="200">
        <f t="shared" si="816"/>
        <v>0.13041437928067065</v>
      </c>
      <c r="AO204" s="200">
        <f t="shared" si="816"/>
        <v>0.13041437928067065</v>
      </c>
      <c r="AP204" s="200">
        <f t="shared" si="816"/>
        <v>0.13041437928067065</v>
      </c>
      <c r="AQ204" s="200">
        <f t="shared" si="816"/>
        <v>0.13041437928067065</v>
      </c>
      <c r="AR204" s="200">
        <f t="shared" si="816"/>
        <v>0.13041437928067065</v>
      </c>
      <c r="AS204" s="200">
        <f t="shared" si="816"/>
        <v>0.13041437928067065</v>
      </c>
      <c r="AT204" s="200">
        <f t="shared" si="816"/>
        <v>0.13041437928067065</v>
      </c>
      <c r="AU204" s="200">
        <f t="shared" si="816"/>
        <v>0.13041437928067065</v>
      </c>
      <c r="AV204" s="200">
        <f t="shared" si="816"/>
        <v>0.13041437928067065</v>
      </c>
      <c r="AW204" s="200">
        <f t="shared" si="816"/>
        <v>0.13041437928067065</v>
      </c>
      <c r="AX204" s="200">
        <f t="shared" si="816"/>
        <v>0.13041437928067065</v>
      </c>
      <c r="AY204" s="200">
        <f t="shared" si="816"/>
        <v>0.13041437928067065</v>
      </c>
      <c r="AZ204" s="200">
        <f t="shared" si="816"/>
        <v>0.13041437928067065</v>
      </c>
      <c r="BA204" s="200">
        <f t="shared" si="816"/>
        <v>0.13041437928067065</v>
      </c>
      <c r="BB204" s="200">
        <f t="shared" si="816"/>
        <v>0.13041437928067065</v>
      </c>
      <c r="BC204" s="200">
        <f t="shared" si="816"/>
        <v>0.13041437928067065</v>
      </c>
      <c r="BD204" s="200">
        <f t="shared" si="816"/>
        <v>0.13041437928067065</v>
      </c>
      <c r="BE204" s="200">
        <f t="shared" si="816"/>
        <v>0.13041437928067065</v>
      </c>
      <c r="BF204" s="200">
        <f t="shared" si="816"/>
        <v>0.13041437928067065</v>
      </c>
      <c r="BG204" s="200">
        <f t="shared" si="816"/>
        <v>0.13041437928067065</v>
      </c>
      <c r="BH204" s="200">
        <f t="shared" si="816"/>
        <v>0.13041437928067065</v>
      </c>
      <c r="BI204" s="200">
        <f t="shared" si="816"/>
        <v>0.13041437928067065</v>
      </c>
      <c r="BJ204" s="200">
        <f t="shared" si="816"/>
        <v>0.13041437928067065</v>
      </c>
      <c r="BK204" s="200">
        <f t="shared" si="816"/>
        <v>0.13041437928067065</v>
      </c>
      <c r="BL204" s="200">
        <f t="shared" si="816"/>
        <v>0.13041437928067065</v>
      </c>
      <c r="BM204" s="200">
        <f t="shared" si="816"/>
        <v>0.13041437928067065</v>
      </c>
      <c r="BN204" s="200">
        <f t="shared" si="816"/>
        <v>0.13041437928067065</v>
      </c>
      <c r="BO204" s="200">
        <f t="shared" si="816"/>
        <v>0.13041437928067065</v>
      </c>
      <c r="BP204" s="200">
        <f t="shared" si="816"/>
        <v>0.13041437928067065</v>
      </c>
      <c r="BQ204" s="200">
        <f t="shared" si="816"/>
        <v>0.13041437928067065</v>
      </c>
      <c r="BR204" s="200">
        <f t="shared" si="816"/>
        <v>0.13041437928067065</v>
      </c>
      <c r="BS204" s="200">
        <f t="shared" si="816"/>
        <v>0.13041437928067065</v>
      </c>
      <c r="BT204" s="200">
        <f t="shared" si="816"/>
        <v>0.13041437928067065</v>
      </c>
      <c r="BU204" s="200">
        <f t="shared" si="816"/>
        <v>0.13041437928067065</v>
      </c>
      <c r="BV204" s="200">
        <f t="shared" si="816"/>
        <v>0.13041437928067065</v>
      </c>
      <c r="BW204" s="200">
        <f t="shared" si="816"/>
        <v>0.13041437928067065</v>
      </c>
      <c r="BX204" s="200">
        <f t="shared" si="816"/>
        <v>0.13041437928067065</v>
      </c>
      <c r="BY204" s="200">
        <f t="shared" ref="BY204:EJ204" si="817">SUMPRODUCT($D$50:$D$54,$H$26:$H$30)/SUM($H$26:$H$31)*(1+$C$4)^BY121</f>
        <v>0.13041437928067065</v>
      </c>
      <c r="BZ204" s="200">
        <f t="shared" si="817"/>
        <v>0.13041437928067065</v>
      </c>
      <c r="CA204" s="200">
        <f t="shared" si="817"/>
        <v>0.13041437928067065</v>
      </c>
      <c r="CB204" s="200">
        <f t="shared" si="817"/>
        <v>0.13041437928067065</v>
      </c>
      <c r="CC204" s="200">
        <f t="shared" si="817"/>
        <v>0.13041437928067065</v>
      </c>
      <c r="CD204" s="200">
        <f t="shared" si="817"/>
        <v>0.13041437928067065</v>
      </c>
      <c r="CE204" s="200">
        <f t="shared" si="817"/>
        <v>0.13041437928067065</v>
      </c>
      <c r="CF204" s="200">
        <f t="shared" si="817"/>
        <v>0.13041437928067065</v>
      </c>
      <c r="CG204" s="200">
        <f t="shared" si="817"/>
        <v>0.13041437928067065</v>
      </c>
      <c r="CH204" s="200">
        <f t="shared" si="817"/>
        <v>0.13041437928067065</v>
      </c>
      <c r="CI204" s="200">
        <f t="shared" si="817"/>
        <v>0.13041437928067065</v>
      </c>
      <c r="CJ204" s="200">
        <f t="shared" si="817"/>
        <v>0.13041437928067065</v>
      </c>
      <c r="CK204" s="200">
        <f t="shared" si="817"/>
        <v>0.13041437928067065</v>
      </c>
      <c r="CL204" s="200">
        <f t="shared" si="817"/>
        <v>0.13041437928067065</v>
      </c>
      <c r="CM204" s="200">
        <f t="shared" si="817"/>
        <v>0.13041437928067065</v>
      </c>
      <c r="CN204" s="200">
        <f t="shared" si="817"/>
        <v>0.13041437928067065</v>
      </c>
      <c r="CO204" s="200">
        <f t="shared" si="817"/>
        <v>0.13041437928067065</v>
      </c>
      <c r="CP204" s="200">
        <f t="shared" si="817"/>
        <v>0.13041437928067065</v>
      </c>
      <c r="CQ204" s="200">
        <f t="shared" si="817"/>
        <v>0.13041437928067065</v>
      </c>
      <c r="CR204" s="200">
        <f t="shared" si="817"/>
        <v>0.13041437928067065</v>
      </c>
      <c r="CS204" s="200">
        <f t="shared" si="817"/>
        <v>0.13041437928067065</v>
      </c>
      <c r="CT204" s="200">
        <f t="shared" si="817"/>
        <v>0.13041437928067065</v>
      </c>
      <c r="CU204" s="200">
        <f t="shared" si="817"/>
        <v>0.13041437928067065</v>
      </c>
      <c r="CV204" s="200">
        <f t="shared" si="817"/>
        <v>0.13041437928067065</v>
      </c>
      <c r="CW204" s="200">
        <f t="shared" si="817"/>
        <v>0.13041437928067065</v>
      </c>
      <c r="CX204" s="200">
        <f t="shared" si="817"/>
        <v>0.13041437928067065</v>
      </c>
      <c r="CY204" s="200">
        <f t="shared" si="817"/>
        <v>0.13041437928067065</v>
      </c>
      <c r="CZ204" s="200">
        <f t="shared" si="817"/>
        <v>0.13041437928067065</v>
      </c>
      <c r="DA204" s="200">
        <f t="shared" si="817"/>
        <v>0.13041437928067065</v>
      </c>
      <c r="DB204" s="200">
        <f t="shared" si="817"/>
        <v>0.13041437928067065</v>
      </c>
      <c r="DC204" s="200">
        <f t="shared" si="817"/>
        <v>0.13041437928067065</v>
      </c>
      <c r="DD204" s="200">
        <f t="shared" si="817"/>
        <v>0.13041437928067065</v>
      </c>
      <c r="DE204" s="200">
        <f t="shared" si="817"/>
        <v>0.13041437928067065</v>
      </c>
      <c r="DF204" s="200">
        <f t="shared" si="817"/>
        <v>0.13041437928067065</v>
      </c>
      <c r="DG204" s="200">
        <f t="shared" si="817"/>
        <v>0.13041437928067065</v>
      </c>
      <c r="DH204" s="200">
        <f t="shared" si="817"/>
        <v>0.13041437928067065</v>
      </c>
      <c r="DI204" s="200">
        <f t="shared" si="817"/>
        <v>0.13041437928067065</v>
      </c>
      <c r="DJ204" s="200">
        <f t="shared" si="817"/>
        <v>0.13041437928067065</v>
      </c>
      <c r="DK204" s="200">
        <f t="shared" si="817"/>
        <v>0.13041437928067065</v>
      </c>
      <c r="DL204" s="200">
        <f t="shared" si="817"/>
        <v>0.13041437928067065</v>
      </c>
      <c r="DM204" s="200">
        <f t="shared" si="817"/>
        <v>0.13041437928067065</v>
      </c>
      <c r="DN204" s="200">
        <f t="shared" si="817"/>
        <v>0.13041437928067065</v>
      </c>
      <c r="DO204" s="200">
        <f t="shared" si="817"/>
        <v>0.13041437928067065</v>
      </c>
      <c r="DP204" s="200">
        <f t="shared" si="817"/>
        <v>0.13041437928067065</v>
      </c>
      <c r="DQ204" s="200">
        <f t="shared" si="817"/>
        <v>0.13041437928067065</v>
      </c>
      <c r="DR204" s="200">
        <f t="shared" si="817"/>
        <v>0.13041437928067065</v>
      </c>
      <c r="DS204" s="200">
        <f t="shared" si="817"/>
        <v>0.13041437928067065</v>
      </c>
      <c r="DT204" s="200">
        <f t="shared" si="817"/>
        <v>0.13041437928067065</v>
      </c>
      <c r="DU204" s="200">
        <f t="shared" si="817"/>
        <v>0.13041437928067065</v>
      </c>
      <c r="DV204" s="200">
        <f t="shared" si="817"/>
        <v>0.13041437928067065</v>
      </c>
      <c r="DW204" s="200">
        <f t="shared" si="817"/>
        <v>0.13041437928067065</v>
      </c>
      <c r="DX204" s="200">
        <f t="shared" si="817"/>
        <v>0.13041437928067065</v>
      </c>
      <c r="DY204" s="200">
        <f t="shared" si="817"/>
        <v>0.13041437928067065</v>
      </c>
      <c r="DZ204" s="200">
        <f t="shared" si="817"/>
        <v>0.13041437928067065</v>
      </c>
      <c r="EA204" s="200">
        <f t="shared" si="817"/>
        <v>0.13041437928067065</v>
      </c>
      <c r="EB204" s="200">
        <f t="shared" si="817"/>
        <v>0.13041437928067065</v>
      </c>
      <c r="EC204" s="200">
        <f t="shared" si="817"/>
        <v>0.13041437928067065</v>
      </c>
      <c r="ED204" s="200">
        <f t="shared" si="817"/>
        <v>0.13041437928067065</v>
      </c>
      <c r="EE204" s="200">
        <f t="shared" si="817"/>
        <v>0.13041437928067065</v>
      </c>
      <c r="EF204" s="200">
        <f t="shared" si="817"/>
        <v>0.13041437928067065</v>
      </c>
      <c r="EG204" s="200">
        <f t="shared" si="817"/>
        <v>0.13041437928067065</v>
      </c>
      <c r="EH204" s="200">
        <f t="shared" si="817"/>
        <v>0.13041437928067065</v>
      </c>
      <c r="EI204" s="200">
        <f t="shared" si="817"/>
        <v>0.13041437928067065</v>
      </c>
      <c r="EJ204" s="200">
        <f t="shared" si="817"/>
        <v>0.13041437928067065</v>
      </c>
      <c r="EK204" s="200">
        <f t="shared" ref="EK204:GV204" si="818">SUMPRODUCT($D$50:$D$54,$H$26:$H$30)/SUM($H$26:$H$31)*(1+$C$4)^EK121</f>
        <v>0.13041437928067065</v>
      </c>
      <c r="EL204" s="200">
        <f t="shared" si="818"/>
        <v>0.13041437928067065</v>
      </c>
      <c r="EM204" s="200">
        <f t="shared" si="818"/>
        <v>0.13041437928067065</v>
      </c>
      <c r="EN204" s="200">
        <f t="shared" si="818"/>
        <v>0.13041437928067065</v>
      </c>
      <c r="EO204" s="200">
        <f t="shared" si="818"/>
        <v>0.13041437928067065</v>
      </c>
      <c r="EP204" s="200">
        <f t="shared" si="818"/>
        <v>0.13041437928067065</v>
      </c>
      <c r="EQ204" s="200">
        <f t="shared" si="818"/>
        <v>0.13041437928067065</v>
      </c>
      <c r="ER204" s="200">
        <f t="shared" si="818"/>
        <v>0.13041437928067065</v>
      </c>
      <c r="ES204" s="200">
        <f t="shared" si="818"/>
        <v>0.13041437928067065</v>
      </c>
      <c r="ET204" s="200">
        <f t="shared" si="818"/>
        <v>0.13041437928067065</v>
      </c>
      <c r="EU204" s="200">
        <f t="shared" si="818"/>
        <v>0.13041437928067065</v>
      </c>
      <c r="EV204" s="200">
        <f t="shared" si="818"/>
        <v>0.13041437928067065</v>
      </c>
      <c r="EW204" s="200">
        <f t="shared" si="818"/>
        <v>0.13041437928067065</v>
      </c>
      <c r="EX204" s="200">
        <f t="shared" si="818"/>
        <v>0.13041437928067065</v>
      </c>
      <c r="EY204" s="200">
        <f t="shared" si="818"/>
        <v>0.13041437928067065</v>
      </c>
      <c r="EZ204" s="200">
        <f t="shared" si="818"/>
        <v>0.13041437928067065</v>
      </c>
      <c r="FA204" s="200">
        <f t="shared" si="818"/>
        <v>0.13041437928067065</v>
      </c>
      <c r="FB204" s="200">
        <f t="shared" si="818"/>
        <v>0.13041437928067065</v>
      </c>
      <c r="FC204" s="200">
        <f t="shared" si="818"/>
        <v>0.13041437928067065</v>
      </c>
      <c r="FD204" s="200">
        <f t="shared" si="818"/>
        <v>0.13041437928067065</v>
      </c>
      <c r="FE204" s="200">
        <f t="shared" si="818"/>
        <v>0.13041437928067065</v>
      </c>
      <c r="FF204" s="200">
        <f t="shared" si="818"/>
        <v>0.13041437928067065</v>
      </c>
      <c r="FG204" s="200">
        <f t="shared" si="818"/>
        <v>0.13041437928067065</v>
      </c>
      <c r="FH204" s="200">
        <f t="shared" si="818"/>
        <v>0.13041437928067065</v>
      </c>
      <c r="FI204" s="200">
        <f t="shared" si="818"/>
        <v>0.13041437928067065</v>
      </c>
      <c r="FJ204" s="200">
        <f t="shared" si="818"/>
        <v>0.13041437928067065</v>
      </c>
      <c r="FK204" s="200">
        <f t="shared" si="818"/>
        <v>0.13041437928067065</v>
      </c>
      <c r="FL204" s="200">
        <f t="shared" si="818"/>
        <v>0.13041437928067065</v>
      </c>
      <c r="FM204" s="200">
        <f t="shared" si="818"/>
        <v>0.13041437928067065</v>
      </c>
      <c r="FN204" s="200">
        <f t="shared" si="818"/>
        <v>0.13041437928067065</v>
      </c>
      <c r="FO204" s="200">
        <f t="shared" si="818"/>
        <v>0.13041437928067065</v>
      </c>
      <c r="FP204" s="200">
        <f t="shared" si="818"/>
        <v>0.13041437928067065</v>
      </c>
      <c r="FQ204" s="200">
        <f t="shared" si="818"/>
        <v>0.13041437928067065</v>
      </c>
      <c r="FR204" s="200">
        <f t="shared" si="818"/>
        <v>0.13041437928067065</v>
      </c>
      <c r="FS204" s="200">
        <f t="shared" si="818"/>
        <v>0.13041437928067065</v>
      </c>
      <c r="FT204" s="200">
        <f t="shared" si="818"/>
        <v>0.13041437928067065</v>
      </c>
      <c r="FU204" s="200">
        <f t="shared" si="818"/>
        <v>0.13041437928067065</v>
      </c>
      <c r="FV204" s="200">
        <f t="shared" si="818"/>
        <v>0.13041437928067065</v>
      </c>
      <c r="FW204" s="200">
        <f t="shared" si="818"/>
        <v>0.13041437928067065</v>
      </c>
      <c r="FX204" s="200">
        <f t="shared" si="818"/>
        <v>0.13041437928067065</v>
      </c>
      <c r="FY204" s="200">
        <f t="shared" si="818"/>
        <v>0.13041437928067065</v>
      </c>
      <c r="FZ204" s="200">
        <f t="shared" si="818"/>
        <v>0.13041437928067065</v>
      </c>
      <c r="GA204" s="200">
        <f t="shared" si="818"/>
        <v>0.13041437928067065</v>
      </c>
      <c r="GB204" s="200">
        <f t="shared" si="818"/>
        <v>0.13041437928067065</v>
      </c>
      <c r="GC204" s="200">
        <f t="shared" si="818"/>
        <v>0.13041437928067065</v>
      </c>
      <c r="GD204" s="200">
        <f t="shared" si="818"/>
        <v>0.13041437928067065</v>
      </c>
      <c r="GE204" s="200">
        <f t="shared" si="818"/>
        <v>0.13041437928067065</v>
      </c>
      <c r="GF204" s="200">
        <f t="shared" si="818"/>
        <v>0.13041437928067065</v>
      </c>
      <c r="GG204" s="200">
        <f t="shared" si="818"/>
        <v>0.13041437928067065</v>
      </c>
      <c r="GH204" s="200">
        <f t="shared" si="818"/>
        <v>0.13041437928067065</v>
      </c>
      <c r="GI204" s="200">
        <f t="shared" si="818"/>
        <v>0.13041437928067065</v>
      </c>
      <c r="GJ204" s="200">
        <f t="shared" si="818"/>
        <v>0.13041437928067065</v>
      </c>
      <c r="GK204" s="200">
        <f t="shared" si="818"/>
        <v>0.13041437928067065</v>
      </c>
      <c r="GL204" s="200">
        <f t="shared" si="818"/>
        <v>0.13041437928067065</v>
      </c>
      <c r="GM204" s="200">
        <f t="shared" si="818"/>
        <v>0.13041437928067065</v>
      </c>
      <c r="GN204" s="200">
        <f t="shared" si="818"/>
        <v>0.13041437928067065</v>
      </c>
      <c r="GO204" s="200">
        <f t="shared" si="818"/>
        <v>0.13041437928067065</v>
      </c>
      <c r="GP204" s="200">
        <f t="shared" si="818"/>
        <v>0.13041437928067065</v>
      </c>
      <c r="GQ204" s="200">
        <f t="shared" si="818"/>
        <v>0.13041437928067065</v>
      </c>
      <c r="GR204" s="200">
        <f t="shared" si="818"/>
        <v>0.13041437928067065</v>
      </c>
      <c r="GS204" s="200">
        <f t="shared" si="818"/>
        <v>0.13041437928067065</v>
      </c>
      <c r="GT204" s="200">
        <f t="shared" si="818"/>
        <v>0.13041437928067065</v>
      </c>
      <c r="GU204" s="200">
        <f t="shared" si="818"/>
        <v>0.13041437928067065</v>
      </c>
      <c r="GV204" s="200">
        <f t="shared" si="818"/>
        <v>0.13041437928067065</v>
      </c>
      <c r="GW204" s="200">
        <f t="shared" ref="GW204:JH204" si="819">SUMPRODUCT($D$50:$D$54,$H$26:$H$30)/SUM($H$26:$H$31)*(1+$C$4)^GW121</f>
        <v>0.13041437928067065</v>
      </c>
      <c r="GX204" s="200">
        <f t="shared" si="819"/>
        <v>0.13041437928067065</v>
      </c>
      <c r="GY204" s="200">
        <f t="shared" si="819"/>
        <v>0.13041437928067065</v>
      </c>
      <c r="GZ204" s="200">
        <f t="shared" si="819"/>
        <v>0.13041437928067065</v>
      </c>
      <c r="HA204" s="200">
        <f t="shared" si="819"/>
        <v>0.13041437928067065</v>
      </c>
      <c r="HB204" s="200">
        <f t="shared" si="819"/>
        <v>0.13041437928067065</v>
      </c>
      <c r="HC204" s="200">
        <f t="shared" si="819"/>
        <v>0.13041437928067065</v>
      </c>
      <c r="HD204" s="200">
        <f t="shared" si="819"/>
        <v>0.13041437928067065</v>
      </c>
      <c r="HE204" s="200">
        <f t="shared" si="819"/>
        <v>0.13041437928067065</v>
      </c>
      <c r="HF204" s="200">
        <f t="shared" si="819"/>
        <v>0.13041437928067065</v>
      </c>
      <c r="HG204" s="200">
        <f t="shared" si="819"/>
        <v>0.13041437928067065</v>
      </c>
      <c r="HH204" s="200">
        <f t="shared" si="819"/>
        <v>0.13041437928067065</v>
      </c>
      <c r="HI204" s="200">
        <f t="shared" si="819"/>
        <v>0.13041437928067065</v>
      </c>
      <c r="HJ204" s="200">
        <f t="shared" si="819"/>
        <v>0.13041437928067065</v>
      </c>
      <c r="HK204" s="200">
        <f t="shared" si="819"/>
        <v>0.13041437928067065</v>
      </c>
      <c r="HL204" s="200">
        <f t="shared" si="819"/>
        <v>0.13041437928067065</v>
      </c>
      <c r="HM204" s="200">
        <f t="shared" si="819"/>
        <v>0.13041437928067065</v>
      </c>
      <c r="HN204" s="200">
        <f t="shared" si="819"/>
        <v>0.13041437928067065</v>
      </c>
      <c r="HO204" s="200">
        <f t="shared" si="819"/>
        <v>0.13041437928067065</v>
      </c>
      <c r="HP204" s="200">
        <f t="shared" si="819"/>
        <v>0.13041437928067065</v>
      </c>
      <c r="HQ204" s="200">
        <f t="shared" si="819"/>
        <v>0.13041437928067065</v>
      </c>
      <c r="HR204" s="200">
        <f t="shared" si="819"/>
        <v>0.13041437928067065</v>
      </c>
      <c r="HS204" s="200">
        <f t="shared" si="819"/>
        <v>0.13041437928067065</v>
      </c>
      <c r="HT204" s="200">
        <f t="shared" si="819"/>
        <v>0.13041437928067065</v>
      </c>
      <c r="HU204" s="200">
        <f t="shared" si="819"/>
        <v>0.13041437928067065</v>
      </c>
      <c r="HV204" s="200">
        <f t="shared" si="819"/>
        <v>0.13041437928067065</v>
      </c>
      <c r="HW204" s="200">
        <f t="shared" si="819"/>
        <v>0.13041437928067065</v>
      </c>
      <c r="HX204" s="200">
        <f t="shared" si="819"/>
        <v>0.13041437928067065</v>
      </c>
      <c r="HY204" s="200">
        <f t="shared" si="819"/>
        <v>0.13041437928067065</v>
      </c>
      <c r="HZ204" s="200">
        <f t="shared" si="819"/>
        <v>0.13041437928067065</v>
      </c>
      <c r="IA204" s="200">
        <f t="shared" si="819"/>
        <v>0.13041437928067065</v>
      </c>
      <c r="IB204" s="200">
        <f t="shared" si="819"/>
        <v>0.13041437928067065</v>
      </c>
      <c r="IC204" s="200">
        <f t="shared" si="819"/>
        <v>0.13041437928067065</v>
      </c>
      <c r="ID204" s="200">
        <f t="shared" si="819"/>
        <v>0.13041437928067065</v>
      </c>
      <c r="IE204" s="200">
        <f t="shared" si="819"/>
        <v>0.13041437928067065</v>
      </c>
      <c r="IF204" s="200">
        <f t="shared" si="819"/>
        <v>0.13041437928067065</v>
      </c>
      <c r="IG204" s="200">
        <f t="shared" si="819"/>
        <v>0.13041437928067065</v>
      </c>
      <c r="IH204" s="200">
        <f t="shared" si="819"/>
        <v>0.13041437928067065</v>
      </c>
      <c r="II204" s="200">
        <f t="shared" si="819"/>
        <v>0.13041437928067065</v>
      </c>
      <c r="IJ204" s="200">
        <f t="shared" si="819"/>
        <v>0.13041437928067065</v>
      </c>
      <c r="IK204" s="200">
        <f t="shared" si="819"/>
        <v>0.13041437928067065</v>
      </c>
      <c r="IL204" s="200">
        <f t="shared" si="819"/>
        <v>0.13041437928067065</v>
      </c>
      <c r="IM204" s="200">
        <f t="shared" si="819"/>
        <v>0.13041437928067065</v>
      </c>
      <c r="IN204" s="200">
        <f t="shared" si="819"/>
        <v>0.13041437928067065</v>
      </c>
      <c r="IO204" s="200">
        <f t="shared" si="819"/>
        <v>0.13041437928067065</v>
      </c>
      <c r="IP204" s="200">
        <f t="shared" si="819"/>
        <v>0.13041437928067065</v>
      </c>
      <c r="IQ204" s="200">
        <f t="shared" si="819"/>
        <v>0.13041437928067065</v>
      </c>
      <c r="IR204" s="200">
        <f t="shared" si="819"/>
        <v>0.13041437928067065</v>
      </c>
      <c r="IS204" s="200">
        <f t="shared" si="819"/>
        <v>0.13041437928067065</v>
      </c>
      <c r="IT204" s="200">
        <f t="shared" si="819"/>
        <v>0.13041437928067065</v>
      </c>
      <c r="IU204" s="200">
        <f t="shared" si="819"/>
        <v>0.13041437928067065</v>
      </c>
      <c r="IV204" s="200">
        <f t="shared" si="819"/>
        <v>0.13041437928067065</v>
      </c>
      <c r="IW204" s="200">
        <f t="shared" si="819"/>
        <v>0.13041437928067065</v>
      </c>
      <c r="IX204" s="200">
        <f t="shared" si="819"/>
        <v>0.13041437928067065</v>
      </c>
      <c r="IY204" s="200">
        <f t="shared" si="819"/>
        <v>0.13041437928067065</v>
      </c>
      <c r="IZ204" s="200">
        <f t="shared" si="819"/>
        <v>0.13041437928067065</v>
      </c>
      <c r="JA204" s="200">
        <f t="shared" si="819"/>
        <v>0.13041437928067065</v>
      </c>
      <c r="JB204" s="200">
        <f t="shared" si="819"/>
        <v>0.13041437928067065</v>
      </c>
      <c r="JC204" s="200">
        <f t="shared" si="819"/>
        <v>0.13041437928067065</v>
      </c>
      <c r="JD204" s="200">
        <f t="shared" si="819"/>
        <v>0.13041437928067065</v>
      </c>
      <c r="JE204" s="200">
        <f t="shared" si="819"/>
        <v>0.13041437928067065</v>
      </c>
      <c r="JF204" s="200">
        <f t="shared" si="819"/>
        <v>0.13041437928067065</v>
      </c>
      <c r="JG204" s="200">
        <f t="shared" si="819"/>
        <v>0.13041437928067065</v>
      </c>
      <c r="JH204" s="200">
        <f t="shared" si="819"/>
        <v>0.13041437928067065</v>
      </c>
      <c r="JI204" s="200">
        <f t="shared" ref="JI204:LT204" si="820">SUMPRODUCT($D$50:$D$54,$H$26:$H$30)/SUM($H$26:$H$31)*(1+$C$4)^JI121</f>
        <v>0.13041437928067065</v>
      </c>
      <c r="JJ204" s="200">
        <f t="shared" si="820"/>
        <v>0.13041437928067065</v>
      </c>
      <c r="JK204" s="200">
        <f t="shared" si="820"/>
        <v>0.13041437928067065</v>
      </c>
      <c r="JL204" s="200">
        <f t="shared" si="820"/>
        <v>0.13041437928067065</v>
      </c>
      <c r="JM204" s="200">
        <f t="shared" si="820"/>
        <v>0.13041437928067065</v>
      </c>
      <c r="JN204" s="200">
        <f t="shared" si="820"/>
        <v>0.13041437928067065</v>
      </c>
      <c r="JO204" s="200">
        <f t="shared" si="820"/>
        <v>0.13041437928067065</v>
      </c>
      <c r="JP204" s="200">
        <f t="shared" si="820"/>
        <v>0.13041437928067065</v>
      </c>
      <c r="JQ204" s="200">
        <f t="shared" si="820"/>
        <v>0.13041437928067065</v>
      </c>
      <c r="JR204" s="200">
        <f t="shared" si="820"/>
        <v>0.13041437928067065</v>
      </c>
      <c r="JS204" s="200">
        <f t="shared" si="820"/>
        <v>0.13041437928067065</v>
      </c>
      <c r="JT204" s="200">
        <f t="shared" si="820"/>
        <v>0.13041437928067065</v>
      </c>
      <c r="JU204" s="200">
        <f t="shared" si="820"/>
        <v>0.13041437928067065</v>
      </c>
      <c r="JV204" s="200">
        <f t="shared" si="820"/>
        <v>0.13041437928067065</v>
      </c>
      <c r="JW204" s="200">
        <f t="shared" si="820"/>
        <v>0.13041437928067065</v>
      </c>
      <c r="JX204" s="200">
        <f t="shared" si="820"/>
        <v>0.13041437928067065</v>
      </c>
      <c r="JY204" s="200">
        <f t="shared" si="820"/>
        <v>0.13041437928067065</v>
      </c>
      <c r="JZ204" s="200">
        <f t="shared" si="820"/>
        <v>0.13041437928067065</v>
      </c>
      <c r="KA204" s="200">
        <f t="shared" si="820"/>
        <v>0.13041437928067065</v>
      </c>
      <c r="KB204" s="200">
        <f t="shared" si="820"/>
        <v>0.13041437928067065</v>
      </c>
      <c r="KC204" s="200">
        <f t="shared" si="820"/>
        <v>0.13041437928067065</v>
      </c>
      <c r="KD204" s="200">
        <f t="shared" si="820"/>
        <v>0.13041437928067065</v>
      </c>
      <c r="KE204" s="200">
        <f t="shared" si="820"/>
        <v>0.13041437928067065</v>
      </c>
      <c r="KF204" s="200">
        <f t="shared" si="820"/>
        <v>0.13041437928067065</v>
      </c>
      <c r="KG204" s="200">
        <f t="shared" si="820"/>
        <v>0.13041437928067065</v>
      </c>
      <c r="KH204" s="200">
        <f t="shared" si="820"/>
        <v>0.13041437928067065</v>
      </c>
      <c r="KI204" s="200">
        <f t="shared" si="820"/>
        <v>0.13041437928067065</v>
      </c>
      <c r="KJ204" s="200">
        <f t="shared" si="820"/>
        <v>0.13041437928067065</v>
      </c>
      <c r="KK204" s="200">
        <f t="shared" si="820"/>
        <v>0.13041437928067065</v>
      </c>
      <c r="KL204" s="200">
        <f t="shared" si="820"/>
        <v>0.13041437928067065</v>
      </c>
      <c r="KM204" s="200">
        <f t="shared" si="820"/>
        <v>0.13041437928067065</v>
      </c>
      <c r="KN204" s="200">
        <f t="shared" si="820"/>
        <v>0.13041437928067065</v>
      </c>
      <c r="KO204" s="200">
        <f t="shared" si="820"/>
        <v>0.13041437928067065</v>
      </c>
      <c r="KP204" s="200">
        <f t="shared" si="820"/>
        <v>0.13041437928067065</v>
      </c>
      <c r="KQ204" s="200">
        <f t="shared" si="820"/>
        <v>0.13041437928067065</v>
      </c>
      <c r="KR204" s="200">
        <f t="shared" si="820"/>
        <v>0.13041437928067065</v>
      </c>
      <c r="KS204" s="200">
        <f t="shared" si="820"/>
        <v>0.13041437928067065</v>
      </c>
      <c r="KT204" s="200">
        <f t="shared" si="820"/>
        <v>0.13041437928067065</v>
      </c>
      <c r="KU204" s="200">
        <f t="shared" si="820"/>
        <v>0.13041437928067065</v>
      </c>
      <c r="KV204" s="200">
        <f t="shared" si="820"/>
        <v>0.13041437928067065</v>
      </c>
      <c r="KW204" s="200">
        <f t="shared" si="820"/>
        <v>0.13041437928067065</v>
      </c>
      <c r="KX204" s="200">
        <f t="shared" si="820"/>
        <v>0.13041437928067065</v>
      </c>
      <c r="KY204" s="200">
        <f t="shared" si="820"/>
        <v>0.13041437928067065</v>
      </c>
      <c r="KZ204" s="200">
        <f t="shared" si="820"/>
        <v>0.13041437928067065</v>
      </c>
      <c r="LA204" s="200">
        <f t="shared" si="820"/>
        <v>0.13041437928067065</v>
      </c>
      <c r="LB204" s="200">
        <f t="shared" si="820"/>
        <v>0.13041437928067065</v>
      </c>
      <c r="LC204" s="200">
        <f t="shared" si="820"/>
        <v>0.13041437928067065</v>
      </c>
      <c r="LD204" s="200">
        <f t="shared" si="820"/>
        <v>0.13041437928067065</v>
      </c>
      <c r="LE204" s="200">
        <f t="shared" si="820"/>
        <v>0.13041437928067065</v>
      </c>
      <c r="LF204" s="200">
        <f t="shared" si="820"/>
        <v>0.13041437928067065</v>
      </c>
      <c r="LG204" s="200">
        <f t="shared" si="820"/>
        <v>0.13041437928067065</v>
      </c>
      <c r="LH204" s="200">
        <f t="shared" si="820"/>
        <v>0.13041437928067065</v>
      </c>
      <c r="LI204" s="200">
        <f t="shared" si="820"/>
        <v>0.13041437928067065</v>
      </c>
      <c r="LJ204" s="200">
        <f t="shared" si="820"/>
        <v>0.13041437928067065</v>
      </c>
      <c r="LK204" s="200">
        <f t="shared" si="820"/>
        <v>0.13041437928067065</v>
      </c>
      <c r="LL204" s="200">
        <f t="shared" si="820"/>
        <v>0.13041437928067065</v>
      </c>
      <c r="LM204" s="200">
        <f t="shared" si="820"/>
        <v>0.13041437928067065</v>
      </c>
      <c r="LN204" s="200">
        <f t="shared" si="820"/>
        <v>0.13041437928067065</v>
      </c>
      <c r="LO204" s="200">
        <f t="shared" si="820"/>
        <v>0.13041437928067065</v>
      </c>
      <c r="LP204" s="200">
        <f t="shared" si="820"/>
        <v>0.13041437928067065</v>
      </c>
      <c r="LQ204" s="200">
        <f t="shared" si="820"/>
        <v>0.13041437928067065</v>
      </c>
      <c r="LR204" s="200">
        <f t="shared" si="820"/>
        <v>0.13041437928067065</v>
      </c>
      <c r="LS204" s="200">
        <f t="shared" si="820"/>
        <v>0.13041437928067065</v>
      </c>
      <c r="LT204" s="200">
        <f t="shared" si="820"/>
        <v>0.13041437928067065</v>
      </c>
      <c r="LU204" s="200">
        <f t="shared" ref="LU204:OF204" si="821">SUMPRODUCT($D$50:$D$54,$H$26:$H$30)/SUM($H$26:$H$31)*(1+$C$4)^LU121</f>
        <v>0.13041437928067065</v>
      </c>
      <c r="LV204" s="200">
        <f t="shared" si="821"/>
        <v>0.13041437928067065</v>
      </c>
      <c r="LW204" s="200">
        <f t="shared" si="821"/>
        <v>0.13041437928067065</v>
      </c>
      <c r="LX204" s="200">
        <f t="shared" si="821"/>
        <v>0.13041437928067065</v>
      </c>
      <c r="LY204" s="200">
        <f t="shared" si="821"/>
        <v>0.13041437928067065</v>
      </c>
      <c r="LZ204" s="200">
        <f t="shared" si="821"/>
        <v>0.13041437928067065</v>
      </c>
      <c r="MA204" s="200">
        <f t="shared" si="821"/>
        <v>0.13041437928067065</v>
      </c>
      <c r="MB204" s="200">
        <f t="shared" si="821"/>
        <v>0.13041437928067065</v>
      </c>
      <c r="MC204" s="200">
        <f t="shared" si="821"/>
        <v>0.13041437928067065</v>
      </c>
      <c r="MD204" s="200">
        <f t="shared" si="821"/>
        <v>0.13041437928067065</v>
      </c>
      <c r="ME204" s="200">
        <f t="shared" si="821"/>
        <v>0.13041437928067065</v>
      </c>
      <c r="MF204" s="200">
        <f t="shared" si="821"/>
        <v>0.13041437928067065</v>
      </c>
      <c r="MG204" s="200">
        <f t="shared" si="821"/>
        <v>0.13041437928067065</v>
      </c>
      <c r="MH204" s="200">
        <f t="shared" si="821"/>
        <v>0.13041437928067065</v>
      </c>
      <c r="MI204" s="200">
        <f t="shared" si="821"/>
        <v>0.13041437928067065</v>
      </c>
      <c r="MJ204" s="200">
        <f t="shared" si="821"/>
        <v>0.13041437928067065</v>
      </c>
      <c r="MK204" s="200">
        <f t="shared" si="821"/>
        <v>0.13041437928067065</v>
      </c>
      <c r="ML204" s="200">
        <f t="shared" si="821"/>
        <v>0.13041437928067065</v>
      </c>
      <c r="MM204" s="200">
        <f t="shared" si="821"/>
        <v>0.13041437928067065</v>
      </c>
      <c r="MN204" s="200">
        <f t="shared" si="821"/>
        <v>0.13041437928067065</v>
      </c>
      <c r="MO204" s="200">
        <f t="shared" si="821"/>
        <v>0.13041437928067065</v>
      </c>
      <c r="MP204" s="200">
        <f t="shared" si="821"/>
        <v>0.13041437928067065</v>
      </c>
      <c r="MQ204" s="200">
        <f t="shared" si="821"/>
        <v>0.13041437928067065</v>
      </c>
      <c r="MR204" s="200">
        <f t="shared" si="821"/>
        <v>0.13041437928067065</v>
      </c>
      <c r="MS204" s="200">
        <f t="shared" si="821"/>
        <v>0.13041437928067065</v>
      </c>
      <c r="MT204" s="200">
        <f t="shared" si="821"/>
        <v>0.13041437928067065</v>
      </c>
      <c r="MU204" s="200">
        <f t="shared" si="821"/>
        <v>0.13041437928067065</v>
      </c>
      <c r="MV204" s="200">
        <f t="shared" si="821"/>
        <v>0.13041437928067065</v>
      </c>
      <c r="MW204" s="200">
        <f t="shared" si="821"/>
        <v>0.13041437928067065</v>
      </c>
      <c r="MX204" s="200">
        <f t="shared" si="821"/>
        <v>0.13041437928067065</v>
      </c>
      <c r="MY204" s="200">
        <f t="shared" si="821"/>
        <v>0.13041437928067065</v>
      </c>
      <c r="MZ204" s="200">
        <f t="shared" si="821"/>
        <v>0.13041437928067065</v>
      </c>
      <c r="NA204" s="200">
        <f t="shared" si="821"/>
        <v>0.13041437928067065</v>
      </c>
      <c r="NB204" s="200">
        <f t="shared" si="821"/>
        <v>0.13041437928067065</v>
      </c>
      <c r="NC204" s="200">
        <f t="shared" si="821"/>
        <v>0.13041437928067065</v>
      </c>
      <c r="ND204" s="200">
        <f t="shared" si="821"/>
        <v>0.13041437928067065</v>
      </c>
      <c r="NE204" s="200">
        <f t="shared" si="821"/>
        <v>0.13041437928067065</v>
      </c>
      <c r="NF204" s="200">
        <f t="shared" si="821"/>
        <v>0.13041437928067065</v>
      </c>
      <c r="NG204" s="200">
        <f t="shared" si="821"/>
        <v>0.13041437928067065</v>
      </c>
      <c r="NH204" s="200">
        <f t="shared" si="821"/>
        <v>0.13041437928067065</v>
      </c>
      <c r="NI204" s="200">
        <f t="shared" si="821"/>
        <v>0.13041437928067065</v>
      </c>
      <c r="NJ204" s="200">
        <f t="shared" si="821"/>
        <v>0.13041437928067065</v>
      </c>
      <c r="NK204" s="200">
        <f t="shared" si="821"/>
        <v>0.13041437928067065</v>
      </c>
      <c r="NL204" s="200">
        <f t="shared" si="821"/>
        <v>0.13041437928067065</v>
      </c>
      <c r="NM204" s="200">
        <f t="shared" si="821"/>
        <v>0.13041437928067065</v>
      </c>
      <c r="NN204" s="200">
        <f t="shared" si="821"/>
        <v>0.13041437928067065</v>
      </c>
      <c r="NO204" s="200">
        <f t="shared" si="821"/>
        <v>0.13041437928067065</v>
      </c>
      <c r="NP204" s="200">
        <f t="shared" si="821"/>
        <v>0.13041437928067065</v>
      </c>
      <c r="NQ204" s="200">
        <f t="shared" si="821"/>
        <v>0.13041437928067065</v>
      </c>
      <c r="NR204" s="200">
        <f t="shared" si="821"/>
        <v>0.13041437928067065</v>
      </c>
      <c r="NS204" s="200">
        <f t="shared" si="821"/>
        <v>0.13041437928067065</v>
      </c>
      <c r="NT204" s="200">
        <f t="shared" si="821"/>
        <v>0.13041437928067065</v>
      </c>
      <c r="NU204" s="200">
        <f t="shared" si="821"/>
        <v>0.13041437928067065</v>
      </c>
      <c r="NV204" s="200">
        <f t="shared" si="821"/>
        <v>0.13041437928067065</v>
      </c>
      <c r="NW204" s="200">
        <f t="shared" si="821"/>
        <v>0.13041437928067065</v>
      </c>
      <c r="NX204" s="200">
        <f t="shared" si="821"/>
        <v>0.13041437928067065</v>
      </c>
      <c r="NY204" s="200">
        <f t="shared" si="821"/>
        <v>0.13041437928067065</v>
      </c>
      <c r="NZ204" s="200">
        <f t="shared" si="821"/>
        <v>0.13041437928067065</v>
      </c>
      <c r="OA204" s="200">
        <f t="shared" si="821"/>
        <v>0.13041437928067065</v>
      </c>
      <c r="OB204" s="200">
        <f t="shared" si="821"/>
        <v>0.13041437928067065</v>
      </c>
      <c r="OC204" s="200">
        <f t="shared" si="821"/>
        <v>0.13041437928067065</v>
      </c>
      <c r="OD204" s="200">
        <f t="shared" si="821"/>
        <v>0.13041437928067065</v>
      </c>
      <c r="OE204" s="200">
        <f t="shared" si="821"/>
        <v>0.13041437928067065</v>
      </c>
      <c r="OF204" s="200">
        <f t="shared" si="821"/>
        <v>0.13041437928067065</v>
      </c>
      <c r="OG204" s="200">
        <f t="shared" ref="OG204:QR204" si="822">SUMPRODUCT($D$50:$D$54,$H$26:$H$30)/SUM($H$26:$H$31)*(1+$C$4)^OG121</f>
        <v>0.13041437928067065</v>
      </c>
      <c r="OH204" s="200">
        <f t="shared" si="822"/>
        <v>0.13041437928067065</v>
      </c>
      <c r="OI204" s="200">
        <f t="shared" si="822"/>
        <v>0.13041437928067065</v>
      </c>
      <c r="OJ204" s="200">
        <f t="shared" si="822"/>
        <v>0.13041437928067065</v>
      </c>
      <c r="OK204" s="200">
        <f t="shared" si="822"/>
        <v>0.13041437928067065</v>
      </c>
      <c r="OL204" s="200">
        <f t="shared" si="822"/>
        <v>0.13041437928067065</v>
      </c>
      <c r="OM204" s="200">
        <f t="shared" si="822"/>
        <v>0.13041437928067065</v>
      </c>
      <c r="ON204" s="200">
        <f t="shared" si="822"/>
        <v>0.13041437928067065</v>
      </c>
      <c r="OO204" s="200">
        <f t="shared" si="822"/>
        <v>0.13041437928067065</v>
      </c>
      <c r="OP204" s="200">
        <f t="shared" si="822"/>
        <v>0.13041437928067065</v>
      </c>
      <c r="OQ204" s="200">
        <f t="shared" si="822"/>
        <v>0.13041437928067065</v>
      </c>
      <c r="OR204" s="200">
        <f t="shared" si="822"/>
        <v>0.13041437928067065</v>
      </c>
      <c r="OS204" s="200">
        <f t="shared" si="822"/>
        <v>0.13041437928067065</v>
      </c>
      <c r="OT204" s="200">
        <f t="shared" si="822"/>
        <v>0.13041437928067065</v>
      </c>
      <c r="OU204" s="200">
        <f t="shared" si="822"/>
        <v>0.13041437928067065</v>
      </c>
      <c r="OV204" s="200">
        <f t="shared" si="822"/>
        <v>0.13041437928067065</v>
      </c>
      <c r="OW204" s="200">
        <f t="shared" si="822"/>
        <v>0.13041437928067065</v>
      </c>
      <c r="OX204" s="200">
        <f t="shared" si="822"/>
        <v>0.13041437928067065</v>
      </c>
      <c r="OY204" s="200">
        <f t="shared" si="822"/>
        <v>0.13041437928067065</v>
      </c>
      <c r="OZ204" s="200">
        <f t="shared" si="822"/>
        <v>0.13041437928067065</v>
      </c>
      <c r="PA204" s="200">
        <f t="shared" si="822"/>
        <v>0.13041437928067065</v>
      </c>
      <c r="PB204" s="200">
        <f t="shared" si="822"/>
        <v>0.13041437928067065</v>
      </c>
      <c r="PC204" s="200">
        <f t="shared" si="822"/>
        <v>0.13041437928067065</v>
      </c>
      <c r="PD204" s="200">
        <f t="shared" si="822"/>
        <v>0.13041437928067065</v>
      </c>
      <c r="PE204" s="200">
        <f t="shared" si="822"/>
        <v>0.13041437928067065</v>
      </c>
      <c r="PF204" s="200">
        <f t="shared" si="822"/>
        <v>0.13041437928067065</v>
      </c>
      <c r="PG204" s="200">
        <f t="shared" si="822"/>
        <v>0.13041437928067065</v>
      </c>
      <c r="PH204" s="200">
        <f t="shared" si="822"/>
        <v>0.13041437928067065</v>
      </c>
      <c r="PI204" s="200">
        <f t="shared" si="822"/>
        <v>0.13041437928067065</v>
      </c>
      <c r="PJ204" s="200">
        <f t="shared" si="822"/>
        <v>0.13041437928067065</v>
      </c>
      <c r="PK204" s="200">
        <f t="shared" si="822"/>
        <v>0.13041437928067065</v>
      </c>
      <c r="PL204" s="200">
        <f t="shared" si="822"/>
        <v>0.13041437928067065</v>
      </c>
      <c r="PM204" s="200">
        <f t="shared" si="822"/>
        <v>0.13041437928067065</v>
      </c>
      <c r="PN204" s="200">
        <f t="shared" si="822"/>
        <v>0.13041437928067065</v>
      </c>
      <c r="PO204" s="200">
        <f t="shared" si="822"/>
        <v>0.13041437928067065</v>
      </c>
      <c r="PP204" s="200">
        <f t="shared" si="822"/>
        <v>0.13041437928067065</v>
      </c>
      <c r="PQ204" s="200">
        <f t="shared" si="822"/>
        <v>0.13041437928067065</v>
      </c>
      <c r="PR204" s="200">
        <f t="shared" si="822"/>
        <v>0.13041437928067065</v>
      </c>
      <c r="PS204" s="200">
        <f t="shared" si="822"/>
        <v>0.13041437928067065</v>
      </c>
      <c r="PT204" s="200">
        <f t="shared" si="822"/>
        <v>0.13041437928067065</v>
      </c>
      <c r="PU204" s="200">
        <f t="shared" si="822"/>
        <v>0.13041437928067065</v>
      </c>
      <c r="PV204" s="200">
        <f t="shared" si="822"/>
        <v>0.13041437928067065</v>
      </c>
      <c r="PW204" s="200">
        <f t="shared" si="822"/>
        <v>0.13041437928067065</v>
      </c>
      <c r="PX204" s="200">
        <f t="shared" si="822"/>
        <v>0.13041437928067065</v>
      </c>
      <c r="PY204" s="200">
        <f t="shared" si="822"/>
        <v>0.13041437928067065</v>
      </c>
      <c r="PZ204" s="200">
        <f t="shared" si="822"/>
        <v>0.13041437928067065</v>
      </c>
      <c r="QA204" s="200">
        <f t="shared" si="822"/>
        <v>0.13041437928067065</v>
      </c>
      <c r="QB204" s="200">
        <f t="shared" si="822"/>
        <v>0.13041437928067065</v>
      </c>
      <c r="QC204" s="200">
        <f t="shared" si="822"/>
        <v>0.13041437928067065</v>
      </c>
      <c r="QD204" s="200">
        <f t="shared" si="822"/>
        <v>0.13041437928067065</v>
      </c>
      <c r="QE204" s="200">
        <f t="shared" si="822"/>
        <v>0.13041437928067065</v>
      </c>
      <c r="QF204" s="200">
        <f t="shared" si="822"/>
        <v>0.13041437928067065</v>
      </c>
      <c r="QG204" s="200">
        <f t="shared" si="822"/>
        <v>0.13041437928067065</v>
      </c>
      <c r="QH204" s="200">
        <f t="shared" si="822"/>
        <v>0.13041437928067065</v>
      </c>
      <c r="QI204" s="200">
        <f t="shared" si="822"/>
        <v>0.13041437928067065</v>
      </c>
      <c r="QJ204" s="200">
        <f t="shared" si="822"/>
        <v>0.13041437928067065</v>
      </c>
      <c r="QK204" s="200">
        <f t="shared" si="822"/>
        <v>0.13041437928067065</v>
      </c>
      <c r="QL204" s="200">
        <f t="shared" si="822"/>
        <v>0.13041437928067065</v>
      </c>
      <c r="QM204" s="200">
        <f t="shared" si="822"/>
        <v>0.13041437928067065</v>
      </c>
      <c r="QN204" s="200">
        <f t="shared" si="822"/>
        <v>0.13041437928067065</v>
      </c>
      <c r="QO204" s="200">
        <f t="shared" si="822"/>
        <v>0.13041437928067065</v>
      </c>
      <c r="QP204" s="200">
        <f t="shared" si="822"/>
        <v>0.13041437928067065</v>
      </c>
      <c r="QQ204" s="200">
        <f t="shared" si="822"/>
        <v>0.13041437928067065</v>
      </c>
      <c r="QR204" s="200">
        <f t="shared" si="822"/>
        <v>0.13041437928067065</v>
      </c>
      <c r="QS204" s="200">
        <f t="shared" ref="QS204:RR204" si="823">SUMPRODUCT($D$50:$D$54,$H$26:$H$30)/SUM($H$26:$H$31)*(1+$C$4)^QS121</f>
        <v>0.13041437928067065</v>
      </c>
      <c r="QT204" s="200">
        <f t="shared" si="823"/>
        <v>0.13041437928067065</v>
      </c>
      <c r="QU204" s="200">
        <f t="shared" si="823"/>
        <v>0.13041437928067065</v>
      </c>
      <c r="QV204" s="200">
        <f t="shared" si="823"/>
        <v>0.13041437928067065</v>
      </c>
      <c r="QW204" s="200">
        <f t="shared" si="823"/>
        <v>0.13041437928067065</v>
      </c>
      <c r="QX204" s="200">
        <f t="shared" si="823"/>
        <v>0.13041437928067065</v>
      </c>
      <c r="QY204" s="200">
        <f t="shared" si="823"/>
        <v>0.13041437928067065</v>
      </c>
      <c r="QZ204" s="200">
        <f t="shared" si="823"/>
        <v>0.13041437928067065</v>
      </c>
      <c r="RA204" s="200">
        <f t="shared" si="823"/>
        <v>0.13041437928067065</v>
      </c>
      <c r="RB204" s="200">
        <f t="shared" si="823"/>
        <v>0.13041437928067065</v>
      </c>
      <c r="RC204" s="200">
        <f t="shared" si="823"/>
        <v>0.13041437928067065</v>
      </c>
      <c r="RD204" s="200">
        <f t="shared" si="823"/>
        <v>0.13041437928067065</v>
      </c>
      <c r="RE204" s="200">
        <f t="shared" si="823"/>
        <v>0.13041437928067065</v>
      </c>
      <c r="RF204" s="200">
        <f t="shared" si="823"/>
        <v>0.13041437928067065</v>
      </c>
      <c r="RG204" s="200">
        <f t="shared" si="823"/>
        <v>0.13041437928067065</v>
      </c>
      <c r="RH204" s="200">
        <f t="shared" si="823"/>
        <v>0.13041437928067065</v>
      </c>
      <c r="RI204" s="200">
        <f t="shared" si="823"/>
        <v>0.13041437928067065</v>
      </c>
      <c r="RJ204" s="200">
        <f t="shared" si="823"/>
        <v>0.13041437928067065</v>
      </c>
      <c r="RK204" s="200">
        <f t="shared" si="823"/>
        <v>0.13041437928067065</v>
      </c>
      <c r="RL204" s="200">
        <f t="shared" si="823"/>
        <v>0.13041437928067065</v>
      </c>
      <c r="RM204" s="200">
        <f t="shared" si="823"/>
        <v>0.13041437928067065</v>
      </c>
      <c r="RN204" s="200">
        <f t="shared" si="823"/>
        <v>0.13041437928067065</v>
      </c>
      <c r="RO204" s="200">
        <f t="shared" si="823"/>
        <v>0.13041437928067065</v>
      </c>
      <c r="RP204" s="200">
        <f t="shared" si="823"/>
        <v>0.13041437928067065</v>
      </c>
      <c r="RQ204" s="200">
        <f t="shared" si="823"/>
        <v>0.13041437928067065</v>
      </c>
      <c r="RR204" s="200">
        <f t="shared" si="823"/>
        <v>0.13041437928067065</v>
      </c>
    </row>
    <row r="205" spans="1:486">
      <c r="A205" s="283" t="s">
        <v>362</v>
      </c>
      <c r="B205" s="284"/>
      <c r="C205" s="285"/>
      <c r="D205" s="9" t="s">
        <v>360</v>
      </c>
      <c r="E205" s="200">
        <f>0.14*SUM($H$26:$H$30)/SUM($H$26:$H$31)*(1+$C$4)^E121</f>
        <v>0.11049808847669318</v>
      </c>
      <c r="F205" s="200">
        <f t="shared" ref="F205:L205" si="824">0.14*SUM($H$26:$H$30)/SUM($H$26:$H$31)*(1+$C$4)^F121</f>
        <v>0.11049808847669318</v>
      </c>
      <c r="G205" s="200">
        <f t="shared" si="824"/>
        <v>0.11049808847669318</v>
      </c>
      <c r="H205" s="200">
        <f t="shared" si="824"/>
        <v>0.11049808847669318</v>
      </c>
      <c r="I205" s="200">
        <f t="shared" si="824"/>
        <v>0.11049808847669318</v>
      </c>
      <c r="J205" s="200">
        <f t="shared" si="824"/>
        <v>0.11049808847669318</v>
      </c>
      <c r="K205" s="200">
        <f t="shared" si="824"/>
        <v>0.11049808847669318</v>
      </c>
      <c r="L205" s="200">
        <f t="shared" si="824"/>
        <v>0.11049808847669318</v>
      </c>
      <c r="M205" s="200">
        <f t="shared" ref="M205:BX205" si="825">0.14*SUM($H$26:$H$30)/SUM($H$26:$H$31)*(1+$C$4)^M121</f>
        <v>0.11049808847669318</v>
      </c>
      <c r="N205" s="200">
        <f t="shared" si="825"/>
        <v>0.11049808847669318</v>
      </c>
      <c r="O205" s="200">
        <f t="shared" si="825"/>
        <v>0.11049808847669318</v>
      </c>
      <c r="P205" s="200">
        <f t="shared" si="825"/>
        <v>0.11049808847669318</v>
      </c>
      <c r="Q205" s="200">
        <f t="shared" si="825"/>
        <v>0.11049808847669318</v>
      </c>
      <c r="R205" s="200">
        <f t="shared" si="825"/>
        <v>0.11049808847669318</v>
      </c>
      <c r="S205" s="200">
        <f t="shared" si="825"/>
        <v>0.11049808847669318</v>
      </c>
      <c r="T205" s="200">
        <f t="shared" si="825"/>
        <v>0.11049808847669318</v>
      </c>
      <c r="U205" s="200">
        <f t="shared" si="825"/>
        <v>0.11049808847669318</v>
      </c>
      <c r="V205" s="200">
        <f t="shared" si="825"/>
        <v>0.11049808847669318</v>
      </c>
      <c r="W205" s="200">
        <f t="shared" si="825"/>
        <v>0.11049808847669318</v>
      </c>
      <c r="X205" s="200">
        <f t="shared" si="825"/>
        <v>0.11049808847669318</v>
      </c>
      <c r="Y205" s="200">
        <f t="shared" si="825"/>
        <v>0.11049808847669318</v>
      </c>
      <c r="Z205" s="200">
        <f t="shared" si="825"/>
        <v>0.11049808847669318</v>
      </c>
      <c r="AA205" s="200">
        <f t="shared" si="825"/>
        <v>0.11049808847669318</v>
      </c>
      <c r="AB205" s="200">
        <f t="shared" si="825"/>
        <v>0.11049808847669318</v>
      </c>
      <c r="AC205" s="200">
        <f t="shared" si="825"/>
        <v>0.11049808847669318</v>
      </c>
      <c r="AD205" s="200">
        <f t="shared" si="825"/>
        <v>0.11049808847669318</v>
      </c>
      <c r="AE205" s="200">
        <f t="shared" si="825"/>
        <v>0.11049808847669318</v>
      </c>
      <c r="AF205" s="200">
        <f t="shared" si="825"/>
        <v>0.11049808847669318</v>
      </c>
      <c r="AG205" s="200">
        <f t="shared" si="825"/>
        <v>0.11049808847669318</v>
      </c>
      <c r="AH205" s="200">
        <f t="shared" si="825"/>
        <v>0.11049808847669318</v>
      </c>
      <c r="AI205" s="200">
        <f t="shared" si="825"/>
        <v>0.11049808847669318</v>
      </c>
      <c r="AJ205" s="200">
        <f t="shared" si="825"/>
        <v>0.11049808847669318</v>
      </c>
      <c r="AK205" s="200">
        <f t="shared" si="825"/>
        <v>0.11049808847669318</v>
      </c>
      <c r="AL205" s="200">
        <f t="shared" si="825"/>
        <v>0.11049808847669318</v>
      </c>
      <c r="AM205" s="200">
        <f t="shared" si="825"/>
        <v>0.11049808847669318</v>
      </c>
      <c r="AN205" s="200">
        <f t="shared" si="825"/>
        <v>0.11049808847669318</v>
      </c>
      <c r="AO205" s="200">
        <f t="shared" si="825"/>
        <v>0.11049808847669318</v>
      </c>
      <c r="AP205" s="200">
        <f t="shared" si="825"/>
        <v>0.11049808847669318</v>
      </c>
      <c r="AQ205" s="200">
        <f t="shared" si="825"/>
        <v>0.11049808847669318</v>
      </c>
      <c r="AR205" s="200">
        <f t="shared" si="825"/>
        <v>0.11049808847669318</v>
      </c>
      <c r="AS205" s="200">
        <f t="shared" si="825"/>
        <v>0.11049808847669318</v>
      </c>
      <c r="AT205" s="200">
        <f t="shared" si="825"/>
        <v>0.11049808847669318</v>
      </c>
      <c r="AU205" s="200">
        <f t="shared" si="825"/>
        <v>0.11049808847669318</v>
      </c>
      <c r="AV205" s="200">
        <f t="shared" si="825"/>
        <v>0.11049808847669318</v>
      </c>
      <c r="AW205" s="200">
        <f t="shared" si="825"/>
        <v>0.11049808847669318</v>
      </c>
      <c r="AX205" s="200">
        <f t="shared" si="825"/>
        <v>0.11049808847669318</v>
      </c>
      <c r="AY205" s="200">
        <f t="shared" si="825"/>
        <v>0.11049808847669318</v>
      </c>
      <c r="AZ205" s="200">
        <f t="shared" si="825"/>
        <v>0.11049808847669318</v>
      </c>
      <c r="BA205" s="200">
        <f t="shared" si="825"/>
        <v>0.11049808847669318</v>
      </c>
      <c r="BB205" s="200">
        <f t="shared" si="825"/>
        <v>0.11049808847669318</v>
      </c>
      <c r="BC205" s="200">
        <f t="shared" si="825"/>
        <v>0.11049808847669318</v>
      </c>
      <c r="BD205" s="200">
        <f t="shared" si="825"/>
        <v>0.11049808847669318</v>
      </c>
      <c r="BE205" s="200">
        <f t="shared" si="825"/>
        <v>0.11049808847669318</v>
      </c>
      <c r="BF205" s="200">
        <f t="shared" si="825"/>
        <v>0.11049808847669318</v>
      </c>
      <c r="BG205" s="200">
        <f t="shared" si="825"/>
        <v>0.11049808847669318</v>
      </c>
      <c r="BH205" s="200">
        <f t="shared" si="825"/>
        <v>0.11049808847669318</v>
      </c>
      <c r="BI205" s="200">
        <f t="shared" si="825"/>
        <v>0.11049808847669318</v>
      </c>
      <c r="BJ205" s="200">
        <f t="shared" si="825"/>
        <v>0.11049808847669318</v>
      </c>
      <c r="BK205" s="200">
        <f t="shared" si="825"/>
        <v>0.11049808847669318</v>
      </c>
      <c r="BL205" s="200">
        <f t="shared" si="825"/>
        <v>0.11049808847669318</v>
      </c>
      <c r="BM205" s="200">
        <f t="shared" si="825"/>
        <v>0.11049808847669318</v>
      </c>
      <c r="BN205" s="200">
        <f t="shared" si="825"/>
        <v>0.11049808847669318</v>
      </c>
      <c r="BO205" s="200">
        <f t="shared" si="825"/>
        <v>0.11049808847669318</v>
      </c>
      <c r="BP205" s="200">
        <f t="shared" si="825"/>
        <v>0.11049808847669318</v>
      </c>
      <c r="BQ205" s="200">
        <f t="shared" si="825"/>
        <v>0.11049808847669318</v>
      </c>
      <c r="BR205" s="200">
        <f t="shared" si="825"/>
        <v>0.11049808847669318</v>
      </c>
      <c r="BS205" s="200">
        <f t="shared" si="825"/>
        <v>0.11049808847669318</v>
      </c>
      <c r="BT205" s="200">
        <f t="shared" si="825"/>
        <v>0.11049808847669318</v>
      </c>
      <c r="BU205" s="200">
        <f t="shared" si="825"/>
        <v>0.11049808847669318</v>
      </c>
      <c r="BV205" s="200">
        <f t="shared" si="825"/>
        <v>0.11049808847669318</v>
      </c>
      <c r="BW205" s="200">
        <f t="shared" si="825"/>
        <v>0.11049808847669318</v>
      </c>
      <c r="BX205" s="200">
        <f t="shared" si="825"/>
        <v>0.11049808847669318</v>
      </c>
      <c r="BY205" s="200">
        <f t="shared" ref="BY205:EJ205" si="826">0.14*SUM($H$26:$H$30)/SUM($H$26:$H$31)*(1+$C$4)^BY121</f>
        <v>0.11049808847669318</v>
      </c>
      <c r="BZ205" s="200">
        <f t="shared" si="826"/>
        <v>0.11049808847669318</v>
      </c>
      <c r="CA205" s="200">
        <f t="shared" si="826"/>
        <v>0.11049808847669318</v>
      </c>
      <c r="CB205" s="200">
        <f t="shared" si="826"/>
        <v>0.11049808847669318</v>
      </c>
      <c r="CC205" s="200">
        <f t="shared" si="826"/>
        <v>0.11049808847669318</v>
      </c>
      <c r="CD205" s="200">
        <f t="shared" si="826"/>
        <v>0.11049808847669318</v>
      </c>
      <c r="CE205" s="200">
        <f t="shared" si="826"/>
        <v>0.11049808847669318</v>
      </c>
      <c r="CF205" s="200">
        <f t="shared" si="826"/>
        <v>0.11049808847669318</v>
      </c>
      <c r="CG205" s="200">
        <f t="shared" si="826"/>
        <v>0.11049808847669318</v>
      </c>
      <c r="CH205" s="200">
        <f t="shared" si="826"/>
        <v>0.11049808847669318</v>
      </c>
      <c r="CI205" s="200">
        <f t="shared" si="826"/>
        <v>0.11049808847669318</v>
      </c>
      <c r="CJ205" s="200">
        <f t="shared" si="826"/>
        <v>0.11049808847669318</v>
      </c>
      <c r="CK205" s="200">
        <f t="shared" si="826"/>
        <v>0.11049808847669318</v>
      </c>
      <c r="CL205" s="200">
        <f t="shared" si="826"/>
        <v>0.11049808847669318</v>
      </c>
      <c r="CM205" s="200">
        <f t="shared" si="826"/>
        <v>0.11049808847669318</v>
      </c>
      <c r="CN205" s="200">
        <f t="shared" si="826"/>
        <v>0.11049808847669318</v>
      </c>
      <c r="CO205" s="200">
        <f t="shared" si="826"/>
        <v>0.11049808847669318</v>
      </c>
      <c r="CP205" s="200">
        <f t="shared" si="826"/>
        <v>0.11049808847669318</v>
      </c>
      <c r="CQ205" s="200">
        <f t="shared" si="826"/>
        <v>0.11049808847669318</v>
      </c>
      <c r="CR205" s="200">
        <f t="shared" si="826"/>
        <v>0.11049808847669318</v>
      </c>
      <c r="CS205" s="200">
        <f t="shared" si="826"/>
        <v>0.11049808847669318</v>
      </c>
      <c r="CT205" s="200">
        <f t="shared" si="826"/>
        <v>0.11049808847669318</v>
      </c>
      <c r="CU205" s="200">
        <f t="shared" si="826"/>
        <v>0.11049808847669318</v>
      </c>
      <c r="CV205" s="200">
        <f t="shared" si="826"/>
        <v>0.11049808847669318</v>
      </c>
      <c r="CW205" s="200">
        <f t="shared" si="826"/>
        <v>0.11049808847669318</v>
      </c>
      <c r="CX205" s="200">
        <f t="shared" si="826"/>
        <v>0.11049808847669318</v>
      </c>
      <c r="CY205" s="200">
        <f t="shared" si="826"/>
        <v>0.11049808847669318</v>
      </c>
      <c r="CZ205" s="200">
        <f t="shared" si="826"/>
        <v>0.11049808847669318</v>
      </c>
      <c r="DA205" s="200">
        <f t="shared" si="826"/>
        <v>0.11049808847669318</v>
      </c>
      <c r="DB205" s="200">
        <f t="shared" si="826"/>
        <v>0.11049808847669318</v>
      </c>
      <c r="DC205" s="200">
        <f t="shared" si="826"/>
        <v>0.11049808847669318</v>
      </c>
      <c r="DD205" s="200">
        <f t="shared" si="826"/>
        <v>0.11049808847669318</v>
      </c>
      <c r="DE205" s="200">
        <f t="shared" si="826"/>
        <v>0.11049808847669318</v>
      </c>
      <c r="DF205" s="200">
        <f t="shared" si="826"/>
        <v>0.11049808847669318</v>
      </c>
      <c r="DG205" s="200">
        <f t="shared" si="826"/>
        <v>0.11049808847669318</v>
      </c>
      <c r="DH205" s="200">
        <f t="shared" si="826"/>
        <v>0.11049808847669318</v>
      </c>
      <c r="DI205" s="200">
        <f t="shared" si="826"/>
        <v>0.11049808847669318</v>
      </c>
      <c r="DJ205" s="200">
        <f t="shared" si="826"/>
        <v>0.11049808847669318</v>
      </c>
      <c r="DK205" s="200">
        <f t="shared" si="826"/>
        <v>0.11049808847669318</v>
      </c>
      <c r="DL205" s="200">
        <f t="shared" si="826"/>
        <v>0.11049808847669318</v>
      </c>
      <c r="DM205" s="200">
        <f t="shared" si="826"/>
        <v>0.11049808847669318</v>
      </c>
      <c r="DN205" s="200">
        <f t="shared" si="826"/>
        <v>0.11049808847669318</v>
      </c>
      <c r="DO205" s="200">
        <f t="shared" si="826"/>
        <v>0.11049808847669318</v>
      </c>
      <c r="DP205" s="200">
        <f t="shared" si="826"/>
        <v>0.11049808847669318</v>
      </c>
      <c r="DQ205" s="200">
        <f t="shared" si="826"/>
        <v>0.11049808847669318</v>
      </c>
      <c r="DR205" s="200">
        <f t="shared" si="826"/>
        <v>0.11049808847669318</v>
      </c>
      <c r="DS205" s="200">
        <f t="shared" si="826"/>
        <v>0.11049808847669318</v>
      </c>
      <c r="DT205" s="200">
        <f t="shared" si="826"/>
        <v>0.11049808847669318</v>
      </c>
      <c r="DU205" s="200">
        <f t="shared" si="826"/>
        <v>0.11049808847669318</v>
      </c>
      <c r="DV205" s="200">
        <f t="shared" si="826"/>
        <v>0.11049808847669318</v>
      </c>
      <c r="DW205" s="200">
        <f t="shared" si="826"/>
        <v>0.11049808847669318</v>
      </c>
      <c r="DX205" s="200">
        <f t="shared" si="826"/>
        <v>0.11049808847669318</v>
      </c>
      <c r="DY205" s="200">
        <f t="shared" si="826"/>
        <v>0.11049808847669318</v>
      </c>
      <c r="DZ205" s="200">
        <f t="shared" si="826"/>
        <v>0.11049808847669318</v>
      </c>
      <c r="EA205" s="200">
        <f t="shared" si="826"/>
        <v>0.11049808847669318</v>
      </c>
      <c r="EB205" s="200">
        <f t="shared" si="826"/>
        <v>0.11049808847669318</v>
      </c>
      <c r="EC205" s="200">
        <f t="shared" si="826"/>
        <v>0.11049808847669318</v>
      </c>
      <c r="ED205" s="200">
        <f t="shared" si="826"/>
        <v>0.11049808847669318</v>
      </c>
      <c r="EE205" s="200">
        <f t="shared" si="826"/>
        <v>0.11049808847669318</v>
      </c>
      <c r="EF205" s="200">
        <f t="shared" si="826"/>
        <v>0.11049808847669318</v>
      </c>
      <c r="EG205" s="200">
        <f t="shared" si="826"/>
        <v>0.11049808847669318</v>
      </c>
      <c r="EH205" s="200">
        <f t="shared" si="826"/>
        <v>0.11049808847669318</v>
      </c>
      <c r="EI205" s="200">
        <f t="shared" si="826"/>
        <v>0.11049808847669318</v>
      </c>
      <c r="EJ205" s="200">
        <f t="shared" si="826"/>
        <v>0.11049808847669318</v>
      </c>
      <c r="EK205" s="200">
        <f t="shared" ref="EK205:GV205" si="827">0.14*SUM($H$26:$H$30)/SUM($H$26:$H$31)*(1+$C$4)^EK121</f>
        <v>0.11049808847669318</v>
      </c>
      <c r="EL205" s="200">
        <f t="shared" si="827"/>
        <v>0.11049808847669318</v>
      </c>
      <c r="EM205" s="200">
        <f t="shared" si="827"/>
        <v>0.11049808847669318</v>
      </c>
      <c r="EN205" s="200">
        <f t="shared" si="827"/>
        <v>0.11049808847669318</v>
      </c>
      <c r="EO205" s="200">
        <f t="shared" si="827"/>
        <v>0.11049808847669318</v>
      </c>
      <c r="EP205" s="200">
        <f t="shared" si="827"/>
        <v>0.11049808847669318</v>
      </c>
      <c r="EQ205" s="200">
        <f t="shared" si="827"/>
        <v>0.11049808847669318</v>
      </c>
      <c r="ER205" s="200">
        <f t="shared" si="827"/>
        <v>0.11049808847669318</v>
      </c>
      <c r="ES205" s="200">
        <f t="shared" si="827"/>
        <v>0.11049808847669318</v>
      </c>
      <c r="ET205" s="200">
        <f t="shared" si="827"/>
        <v>0.11049808847669318</v>
      </c>
      <c r="EU205" s="200">
        <f t="shared" si="827"/>
        <v>0.11049808847669318</v>
      </c>
      <c r="EV205" s="200">
        <f t="shared" si="827"/>
        <v>0.11049808847669318</v>
      </c>
      <c r="EW205" s="200">
        <f t="shared" si="827"/>
        <v>0.11049808847669318</v>
      </c>
      <c r="EX205" s="200">
        <f t="shared" si="827"/>
        <v>0.11049808847669318</v>
      </c>
      <c r="EY205" s="200">
        <f t="shared" si="827"/>
        <v>0.11049808847669318</v>
      </c>
      <c r="EZ205" s="200">
        <f t="shared" si="827"/>
        <v>0.11049808847669318</v>
      </c>
      <c r="FA205" s="200">
        <f t="shared" si="827"/>
        <v>0.11049808847669318</v>
      </c>
      <c r="FB205" s="200">
        <f t="shared" si="827"/>
        <v>0.11049808847669318</v>
      </c>
      <c r="FC205" s="200">
        <f t="shared" si="827"/>
        <v>0.11049808847669318</v>
      </c>
      <c r="FD205" s="200">
        <f t="shared" si="827"/>
        <v>0.11049808847669318</v>
      </c>
      <c r="FE205" s="200">
        <f t="shared" si="827"/>
        <v>0.11049808847669318</v>
      </c>
      <c r="FF205" s="200">
        <f t="shared" si="827"/>
        <v>0.11049808847669318</v>
      </c>
      <c r="FG205" s="200">
        <f t="shared" si="827"/>
        <v>0.11049808847669318</v>
      </c>
      <c r="FH205" s="200">
        <f t="shared" si="827"/>
        <v>0.11049808847669318</v>
      </c>
      <c r="FI205" s="200">
        <f t="shared" si="827"/>
        <v>0.11049808847669318</v>
      </c>
      <c r="FJ205" s="200">
        <f t="shared" si="827"/>
        <v>0.11049808847669318</v>
      </c>
      <c r="FK205" s="200">
        <f t="shared" si="827"/>
        <v>0.11049808847669318</v>
      </c>
      <c r="FL205" s="200">
        <f t="shared" si="827"/>
        <v>0.11049808847669318</v>
      </c>
      <c r="FM205" s="200">
        <f t="shared" si="827"/>
        <v>0.11049808847669318</v>
      </c>
      <c r="FN205" s="200">
        <f t="shared" si="827"/>
        <v>0.11049808847669318</v>
      </c>
      <c r="FO205" s="200">
        <f t="shared" si="827"/>
        <v>0.11049808847669318</v>
      </c>
      <c r="FP205" s="200">
        <f t="shared" si="827"/>
        <v>0.11049808847669318</v>
      </c>
      <c r="FQ205" s="200">
        <f t="shared" si="827"/>
        <v>0.11049808847669318</v>
      </c>
      <c r="FR205" s="200">
        <f t="shared" si="827"/>
        <v>0.11049808847669318</v>
      </c>
      <c r="FS205" s="200">
        <f t="shared" si="827"/>
        <v>0.11049808847669318</v>
      </c>
      <c r="FT205" s="200">
        <f t="shared" si="827"/>
        <v>0.11049808847669318</v>
      </c>
      <c r="FU205" s="200">
        <f t="shared" si="827"/>
        <v>0.11049808847669318</v>
      </c>
      <c r="FV205" s="200">
        <f t="shared" si="827"/>
        <v>0.11049808847669318</v>
      </c>
      <c r="FW205" s="200">
        <f t="shared" si="827"/>
        <v>0.11049808847669318</v>
      </c>
      <c r="FX205" s="200">
        <f t="shared" si="827"/>
        <v>0.11049808847669318</v>
      </c>
      <c r="FY205" s="200">
        <f t="shared" si="827"/>
        <v>0.11049808847669318</v>
      </c>
      <c r="FZ205" s="200">
        <f t="shared" si="827"/>
        <v>0.11049808847669318</v>
      </c>
      <c r="GA205" s="200">
        <f t="shared" si="827"/>
        <v>0.11049808847669318</v>
      </c>
      <c r="GB205" s="200">
        <f t="shared" si="827"/>
        <v>0.11049808847669318</v>
      </c>
      <c r="GC205" s="200">
        <f t="shared" si="827"/>
        <v>0.11049808847669318</v>
      </c>
      <c r="GD205" s="200">
        <f t="shared" si="827"/>
        <v>0.11049808847669318</v>
      </c>
      <c r="GE205" s="200">
        <f t="shared" si="827"/>
        <v>0.11049808847669318</v>
      </c>
      <c r="GF205" s="200">
        <f t="shared" si="827"/>
        <v>0.11049808847669318</v>
      </c>
      <c r="GG205" s="200">
        <f t="shared" si="827"/>
        <v>0.11049808847669318</v>
      </c>
      <c r="GH205" s="200">
        <f t="shared" si="827"/>
        <v>0.11049808847669318</v>
      </c>
      <c r="GI205" s="200">
        <f t="shared" si="827"/>
        <v>0.11049808847669318</v>
      </c>
      <c r="GJ205" s="200">
        <f t="shared" si="827"/>
        <v>0.11049808847669318</v>
      </c>
      <c r="GK205" s="200">
        <f t="shared" si="827"/>
        <v>0.11049808847669318</v>
      </c>
      <c r="GL205" s="200">
        <f t="shared" si="827"/>
        <v>0.11049808847669318</v>
      </c>
      <c r="GM205" s="200">
        <f t="shared" si="827"/>
        <v>0.11049808847669318</v>
      </c>
      <c r="GN205" s="200">
        <f t="shared" si="827"/>
        <v>0.11049808847669318</v>
      </c>
      <c r="GO205" s="200">
        <f t="shared" si="827"/>
        <v>0.11049808847669318</v>
      </c>
      <c r="GP205" s="200">
        <f t="shared" si="827"/>
        <v>0.11049808847669318</v>
      </c>
      <c r="GQ205" s="200">
        <f t="shared" si="827"/>
        <v>0.11049808847669318</v>
      </c>
      <c r="GR205" s="200">
        <f t="shared" si="827"/>
        <v>0.11049808847669318</v>
      </c>
      <c r="GS205" s="200">
        <f t="shared" si="827"/>
        <v>0.11049808847669318</v>
      </c>
      <c r="GT205" s="200">
        <f t="shared" si="827"/>
        <v>0.11049808847669318</v>
      </c>
      <c r="GU205" s="200">
        <f t="shared" si="827"/>
        <v>0.11049808847669318</v>
      </c>
      <c r="GV205" s="200">
        <f t="shared" si="827"/>
        <v>0.11049808847669318</v>
      </c>
      <c r="GW205" s="200">
        <f t="shared" ref="GW205:JH205" si="828">0.14*SUM($H$26:$H$30)/SUM($H$26:$H$31)*(1+$C$4)^GW121</f>
        <v>0.11049808847669318</v>
      </c>
      <c r="GX205" s="200">
        <f t="shared" si="828"/>
        <v>0.11049808847669318</v>
      </c>
      <c r="GY205" s="200">
        <f t="shared" si="828"/>
        <v>0.11049808847669318</v>
      </c>
      <c r="GZ205" s="200">
        <f t="shared" si="828"/>
        <v>0.11049808847669318</v>
      </c>
      <c r="HA205" s="200">
        <f t="shared" si="828"/>
        <v>0.11049808847669318</v>
      </c>
      <c r="HB205" s="200">
        <f t="shared" si="828"/>
        <v>0.11049808847669318</v>
      </c>
      <c r="HC205" s="200">
        <f t="shared" si="828"/>
        <v>0.11049808847669318</v>
      </c>
      <c r="HD205" s="200">
        <f t="shared" si="828"/>
        <v>0.11049808847669318</v>
      </c>
      <c r="HE205" s="200">
        <f t="shared" si="828"/>
        <v>0.11049808847669318</v>
      </c>
      <c r="HF205" s="200">
        <f t="shared" si="828"/>
        <v>0.11049808847669318</v>
      </c>
      <c r="HG205" s="200">
        <f t="shared" si="828"/>
        <v>0.11049808847669318</v>
      </c>
      <c r="HH205" s="200">
        <f t="shared" si="828"/>
        <v>0.11049808847669318</v>
      </c>
      <c r="HI205" s="200">
        <f t="shared" si="828"/>
        <v>0.11049808847669318</v>
      </c>
      <c r="HJ205" s="200">
        <f t="shared" si="828"/>
        <v>0.11049808847669318</v>
      </c>
      <c r="HK205" s="200">
        <f t="shared" si="828"/>
        <v>0.11049808847669318</v>
      </c>
      <c r="HL205" s="200">
        <f t="shared" si="828"/>
        <v>0.11049808847669318</v>
      </c>
      <c r="HM205" s="200">
        <f t="shared" si="828"/>
        <v>0.11049808847669318</v>
      </c>
      <c r="HN205" s="200">
        <f t="shared" si="828"/>
        <v>0.11049808847669318</v>
      </c>
      <c r="HO205" s="200">
        <f t="shared" si="828"/>
        <v>0.11049808847669318</v>
      </c>
      <c r="HP205" s="200">
        <f t="shared" si="828"/>
        <v>0.11049808847669318</v>
      </c>
      <c r="HQ205" s="200">
        <f t="shared" si="828"/>
        <v>0.11049808847669318</v>
      </c>
      <c r="HR205" s="200">
        <f t="shared" si="828"/>
        <v>0.11049808847669318</v>
      </c>
      <c r="HS205" s="200">
        <f t="shared" si="828"/>
        <v>0.11049808847669318</v>
      </c>
      <c r="HT205" s="200">
        <f t="shared" si="828"/>
        <v>0.11049808847669318</v>
      </c>
      <c r="HU205" s="200">
        <f t="shared" si="828"/>
        <v>0.11049808847669318</v>
      </c>
      <c r="HV205" s="200">
        <f t="shared" si="828"/>
        <v>0.11049808847669318</v>
      </c>
      <c r="HW205" s="200">
        <f t="shared" si="828"/>
        <v>0.11049808847669318</v>
      </c>
      <c r="HX205" s="200">
        <f t="shared" si="828"/>
        <v>0.11049808847669318</v>
      </c>
      <c r="HY205" s="200">
        <f t="shared" si="828"/>
        <v>0.11049808847669318</v>
      </c>
      <c r="HZ205" s="200">
        <f t="shared" si="828"/>
        <v>0.11049808847669318</v>
      </c>
      <c r="IA205" s="200">
        <f t="shared" si="828"/>
        <v>0.11049808847669318</v>
      </c>
      <c r="IB205" s="200">
        <f t="shared" si="828"/>
        <v>0.11049808847669318</v>
      </c>
      <c r="IC205" s="200">
        <f t="shared" si="828"/>
        <v>0.11049808847669318</v>
      </c>
      <c r="ID205" s="200">
        <f t="shared" si="828"/>
        <v>0.11049808847669318</v>
      </c>
      <c r="IE205" s="200">
        <f t="shared" si="828"/>
        <v>0.11049808847669318</v>
      </c>
      <c r="IF205" s="200">
        <f t="shared" si="828"/>
        <v>0.11049808847669318</v>
      </c>
      <c r="IG205" s="200">
        <f t="shared" si="828"/>
        <v>0.11049808847669318</v>
      </c>
      <c r="IH205" s="200">
        <f t="shared" si="828"/>
        <v>0.11049808847669318</v>
      </c>
      <c r="II205" s="200">
        <f t="shared" si="828"/>
        <v>0.11049808847669318</v>
      </c>
      <c r="IJ205" s="200">
        <f t="shared" si="828"/>
        <v>0.11049808847669318</v>
      </c>
      <c r="IK205" s="200">
        <f t="shared" si="828"/>
        <v>0.11049808847669318</v>
      </c>
      <c r="IL205" s="200">
        <f t="shared" si="828"/>
        <v>0.11049808847669318</v>
      </c>
      <c r="IM205" s="200">
        <f t="shared" si="828"/>
        <v>0.11049808847669318</v>
      </c>
      <c r="IN205" s="200">
        <f t="shared" si="828"/>
        <v>0.11049808847669318</v>
      </c>
      <c r="IO205" s="200">
        <f t="shared" si="828"/>
        <v>0.11049808847669318</v>
      </c>
      <c r="IP205" s="200">
        <f t="shared" si="828"/>
        <v>0.11049808847669318</v>
      </c>
      <c r="IQ205" s="200">
        <f t="shared" si="828"/>
        <v>0.11049808847669318</v>
      </c>
      <c r="IR205" s="200">
        <f t="shared" si="828"/>
        <v>0.11049808847669318</v>
      </c>
      <c r="IS205" s="200">
        <f t="shared" si="828"/>
        <v>0.11049808847669318</v>
      </c>
      <c r="IT205" s="200">
        <f t="shared" si="828"/>
        <v>0.11049808847669318</v>
      </c>
      <c r="IU205" s="200">
        <f t="shared" si="828"/>
        <v>0.11049808847669318</v>
      </c>
      <c r="IV205" s="200">
        <f t="shared" si="828"/>
        <v>0.11049808847669318</v>
      </c>
      <c r="IW205" s="200">
        <f t="shared" si="828"/>
        <v>0.11049808847669318</v>
      </c>
      <c r="IX205" s="200">
        <f t="shared" si="828"/>
        <v>0.11049808847669318</v>
      </c>
      <c r="IY205" s="200">
        <f t="shared" si="828"/>
        <v>0.11049808847669318</v>
      </c>
      <c r="IZ205" s="200">
        <f t="shared" si="828"/>
        <v>0.11049808847669318</v>
      </c>
      <c r="JA205" s="200">
        <f t="shared" si="828"/>
        <v>0.11049808847669318</v>
      </c>
      <c r="JB205" s="200">
        <f t="shared" si="828"/>
        <v>0.11049808847669318</v>
      </c>
      <c r="JC205" s="200">
        <f t="shared" si="828"/>
        <v>0.11049808847669318</v>
      </c>
      <c r="JD205" s="200">
        <f t="shared" si="828"/>
        <v>0.11049808847669318</v>
      </c>
      <c r="JE205" s="200">
        <f t="shared" si="828"/>
        <v>0.11049808847669318</v>
      </c>
      <c r="JF205" s="200">
        <f t="shared" si="828"/>
        <v>0.11049808847669318</v>
      </c>
      <c r="JG205" s="200">
        <f t="shared" si="828"/>
        <v>0.11049808847669318</v>
      </c>
      <c r="JH205" s="200">
        <f t="shared" si="828"/>
        <v>0.11049808847669318</v>
      </c>
      <c r="JI205" s="200">
        <f t="shared" ref="JI205:LT205" si="829">0.14*SUM($H$26:$H$30)/SUM($H$26:$H$31)*(1+$C$4)^JI121</f>
        <v>0.11049808847669318</v>
      </c>
      <c r="JJ205" s="200">
        <f t="shared" si="829"/>
        <v>0.11049808847669318</v>
      </c>
      <c r="JK205" s="200">
        <f t="shared" si="829"/>
        <v>0.11049808847669318</v>
      </c>
      <c r="JL205" s="200">
        <f t="shared" si="829"/>
        <v>0.11049808847669318</v>
      </c>
      <c r="JM205" s="200">
        <f t="shared" si="829"/>
        <v>0.11049808847669318</v>
      </c>
      <c r="JN205" s="200">
        <f t="shared" si="829"/>
        <v>0.11049808847669318</v>
      </c>
      <c r="JO205" s="200">
        <f t="shared" si="829"/>
        <v>0.11049808847669318</v>
      </c>
      <c r="JP205" s="200">
        <f t="shared" si="829"/>
        <v>0.11049808847669318</v>
      </c>
      <c r="JQ205" s="200">
        <f t="shared" si="829"/>
        <v>0.11049808847669318</v>
      </c>
      <c r="JR205" s="200">
        <f t="shared" si="829"/>
        <v>0.11049808847669318</v>
      </c>
      <c r="JS205" s="200">
        <f t="shared" si="829"/>
        <v>0.11049808847669318</v>
      </c>
      <c r="JT205" s="200">
        <f t="shared" si="829"/>
        <v>0.11049808847669318</v>
      </c>
      <c r="JU205" s="200">
        <f t="shared" si="829"/>
        <v>0.11049808847669318</v>
      </c>
      <c r="JV205" s="200">
        <f t="shared" si="829"/>
        <v>0.11049808847669318</v>
      </c>
      <c r="JW205" s="200">
        <f t="shared" si="829"/>
        <v>0.11049808847669318</v>
      </c>
      <c r="JX205" s="200">
        <f t="shared" si="829"/>
        <v>0.11049808847669318</v>
      </c>
      <c r="JY205" s="200">
        <f t="shared" si="829"/>
        <v>0.11049808847669318</v>
      </c>
      <c r="JZ205" s="200">
        <f t="shared" si="829"/>
        <v>0.11049808847669318</v>
      </c>
      <c r="KA205" s="200">
        <f t="shared" si="829"/>
        <v>0.11049808847669318</v>
      </c>
      <c r="KB205" s="200">
        <f t="shared" si="829"/>
        <v>0.11049808847669318</v>
      </c>
      <c r="KC205" s="200">
        <f t="shared" si="829"/>
        <v>0.11049808847669318</v>
      </c>
      <c r="KD205" s="200">
        <f t="shared" si="829"/>
        <v>0.11049808847669318</v>
      </c>
      <c r="KE205" s="200">
        <f t="shared" si="829"/>
        <v>0.11049808847669318</v>
      </c>
      <c r="KF205" s="200">
        <f t="shared" si="829"/>
        <v>0.11049808847669318</v>
      </c>
      <c r="KG205" s="200">
        <f t="shared" si="829"/>
        <v>0.11049808847669318</v>
      </c>
      <c r="KH205" s="200">
        <f t="shared" si="829"/>
        <v>0.11049808847669318</v>
      </c>
      <c r="KI205" s="200">
        <f t="shared" si="829"/>
        <v>0.11049808847669318</v>
      </c>
      <c r="KJ205" s="200">
        <f t="shared" si="829"/>
        <v>0.11049808847669318</v>
      </c>
      <c r="KK205" s="200">
        <f t="shared" si="829"/>
        <v>0.11049808847669318</v>
      </c>
      <c r="KL205" s="200">
        <f t="shared" si="829"/>
        <v>0.11049808847669318</v>
      </c>
      <c r="KM205" s="200">
        <f t="shared" si="829"/>
        <v>0.11049808847669318</v>
      </c>
      <c r="KN205" s="200">
        <f t="shared" si="829"/>
        <v>0.11049808847669318</v>
      </c>
      <c r="KO205" s="200">
        <f t="shared" si="829"/>
        <v>0.11049808847669318</v>
      </c>
      <c r="KP205" s="200">
        <f t="shared" si="829"/>
        <v>0.11049808847669318</v>
      </c>
      <c r="KQ205" s="200">
        <f t="shared" si="829"/>
        <v>0.11049808847669318</v>
      </c>
      <c r="KR205" s="200">
        <f t="shared" si="829"/>
        <v>0.11049808847669318</v>
      </c>
      <c r="KS205" s="200">
        <f t="shared" si="829"/>
        <v>0.11049808847669318</v>
      </c>
      <c r="KT205" s="200">
        <f t="shared" si="829"/>
        <v>0.11049808847669318</v>
      </c>
      <c r="KU205" s="200">
        <f t="shared" si="829"/>
        <v>0.11049808847669318</v>
      </c>
      <c r="KV205" s="200">
        <f t="shared" si="829"/>
        <v>0.11049808847669318</v>
      </c>
      <c r="KW205" s="200">
        <f t="shared" si="829"/>
        <v>0.11049808847669318</v>
      </c>
      <c r="KX205" s="200">
        <f t="shared" si="829"/>
        <v>0.11049808847669318</v>
      </c>
      <c r="KY205" s="200">
        <f t="shared" si="829"/>
        <v>0.11049808847669318</v>
      </c>
      <c r="KZ205" s="200">
        <f t="shared" si="829"/>
        <v>0.11049808847669318</v>
      </c>
      <c r="LA205" s="200">
        <f t="shared" si="829"/>
        <v>0.11049808847669318</v>
      </c>
      <c r="LB205" s="200">
        <f t="shared" si="829"/>
        <v>0.11049808847669318</v>
      </c>
      <c r="LC205" s="200">
        <f t="shared" si="829"/>
        <v>0.11049808847669318</v>
      </c>
      <c r="LD205" s="200">
        <f t="shared" si="829"/>
        <v>0.11049808847669318</v>
      </c>
      <c r="LE205" s="200">
        <f t="shared" si="829"/>
        <v>0.11049808847669318</v>
      </c>
      <c r="LF205" s="200">
        <f t="shared" si="829"/>
        <v>0.11049808847669318</v>
      </c>
      <c r="LG205" s="200">
        <f t="shared" si="829"/>
        <v>0.11049808847669318</v>
      </c>
      <c r="LH205" s="200">
        <f t="shared" si="829"/>
        <v>0.11049808847669318</v>
      </c>
      <c r="LI205" s="200">
        <f t="shared" si="829"/>
        <v>0.11049808847669318</v>
      </c>
      <c r="LJ205" s="200">
        <f t="shared" si="829"/>
        <v>0.11049808847669318</v>
      </c>
      <c r="LK205" s="200">
        <f t="shared" si="829"/>
        <v>0.11049808847669318</v>
      </c>
      <c r="LL205" s="200">
        <f t="shared" si="829"/>
        <v>0.11049808847669318</v>
      </c>
      <c r="LM205" s="200">
        <f t="shared" si="829"/>
        <v>0.11049808847669318</v>
      </c>
      <c r="LN205" s="200">
        <f t="shared" si="829"/>
        <v>0.11049808847669318</v>
      </c>
      <c r="LO205" s="200">
        <f t="shared" si="829"/>
        <v>0.11049808847669318</v>
      </c>
      <c r="LP205" s="200">
        <f t="shared" si="829"/>
        <v>0.11049808847669318</v>
      </c>
      <c r="LQ205" s="200">
        <f t="shared" si="829"/>
        <v>0.11049808847669318</v>
      </c>
      <c r="LR205" s="200">
        <f t="shared" si="829"/>
        <v>0.11049808847669318</v>
      </c>
      <c r="LS205" s="200">
        <f t="shared" si="829"/>
        <v>0.11049808847669318</v>
      </c>
      <c r="LT205" s="200">
        <f t="shared" si="829"/>
        <v>0.11049808847669318</v>
      </c>
      <c r="LU205" s="200">
        <f t="shared" ref="LU205:OF205" si="830">0.14*SUM($H$26:$H$30)/SUM($H$26:$H$31)*(1+$C$4)^LU121</f>
        <v>0.11049808847669318</v>
      </c>
      <c r="LV205" s="200">
        <f t="shared" si="830"/>
        <v>0.11049808847669318</v>
      </c>
      <c r="LW205" s="200">
        <f t="shared" si="830"/>
        <v>0.11049808847669318</v>
      </c>
      <c r="LX205" s="200">
        <f t="shared" si="830"/>
        <v>0.11049808847669318</v>
      </c>
      <c r="LY205" s="200">
        <f t="shared" si="830"/>
        <v>0.11049808847669318</v>
      </c>
      <c r="LZ205" s="200">
        <f t="shared" si="830"/>
        <v>0.11049808847669318</v>
      </c>
      <c r="MA205" s="200">
        <f t="shared" si="830"/>
        <v>0.11049808847669318</v>
      </c>
      <c r="MB205" s="200">
        <f t="shared" si="830"/>
        <v>0.11049808847669318</v>
      </c>
      <c r="MC205" s="200">
        <f t="shared" si="830"/>
        <v>0.11049808847669318</v>
      </c>
      <c r="MD205" s="200">
        <f t="shared" si="830"/>
        <v>0.11049808847669318</v>
      </c>
      <c r="ME205" s="200">
        <f t="shared" si="830"/>
        <v>0.11049808847669318</v>
      </c>
      <c r="MF205" s="200">
        <f t="shared" si="830"/>
        <v>0.11049808847669318</v>
      </c>
      <c r="MG205" s="200">
        <f t="shared" si="830"/>
        <v>0.11049808847669318</v>
      </c>
      <c r="MH205" s="200">
        <f t="shared" si="830"/>
        <v>0.11049808847669318</v>
      </c>
      <c r="MI205" s="200">
        <f t="shared" si="830"/>
        <v>0.11049808847669318</v>
      </c>
      <c r="MJ205" s="200">
        <f t="shared" si="830"/>
        <v>0.11049808847669318</v>
      </c>
      <c r="MK205" s="200">
        <f t="shared" si="830"/>
        <v>0.11049808847669318</v>
      </c>
      <c r="ML205" s="200">
        <f t="shared" si="830"/>
        <v>0.11049808847669318</v>
      </c>
      <c r="MM205" s="200">
        <f t="shared" si="830"/>
        <v>0.11049808847669318</v>
      </c>
      <c r="MN205" s="200">
        <f t="shared" si="830"/>
        <v>0.11049808847669318</v>
      </c>
      <c r="MO205" s="200">
        <f t="shared" si="830"/>
        <v>0.11049808847669318</v>
      </c>
      <c r="MP205" s="200">
        <f t="shared" si="830"/>
        <v>0.11049808847669318</v>
      </c>
      <c r="MQ205" s="200">
        <f t="shared" si="830"/>
        <v>0.11049808847669318</v>
      </c>
      <c r="MR205" s="200">
        <f t="shared" si="830"/>
        <v>0.11049808847669318</v>
      </c>
      <c r="MS205" s="200">
        <f t="shared" si="830"/>
        <v>0.11049808847669318</v>
      </c>
      <c r="MT205" s="200">
        <f t="shared" si="830"/>
        <v>0.11049808847669318</v>
      </c>
      <c r="MU205" s="200">
        <f t="shared" si="830"/>
        <v>0.11049808847669318</v>
      </c>
      <c r="MV205" s="200">
        <f t="shared" si="830"/>
        <v>0.11049808847669318</v>
      </c>
      <c r="MW205" s="200">
        <f t="shared" si="830"/>
        <v>0.11049808847669318</v>
      </c>
      <c r="MX205" s="200">
        <f t="shared" si="830"/>
        <v>0.11049808847669318</v>
      </c>
      <c r="MY205" s="200">
        <f t="shared" si="830"/>
        <v>0.11049808847669318</v>
      </c>
      <c r="MZ205" s="200">
        <f t="shared" si="830"/>
        <v>0.11049808847669318</v>
      </c>
      <c r="NA205" s="200">
        <f t="shared" si="830"/>
        <v>0.11049808847669318</v>
      </c>
      <c r="NB205" s="200">
        <f t="shared" si="830"/>
        <v>0.11049808847669318</v>
      </c>
      <c r="NC205" s="200">
        <f t="shared" si="830"/>
        <v>0.11049808847669318</v>
      </c>
      <c r="ND205" s="200">
        <f t="shared" si="830"/>
        <v>0.11049808847669318</v>
      </c>
      <c r="NE205" s="200">
        <f t="shared" si="830"/>
        <v>0.11049808847669318</v>
      </c>
      <c r="NF205" s="200">
        <f t="shared" si="830"/>
        <v>0.11049808847669318</v>
      </c>
      <c r="NG205" s="200">
        <f t="shared" si="830"/>
        <v>0.11049808847669318</v>
      </c>
      <c r="NH205" s="200">
        <f t="shared" si="830"/>
        <v>0.11049808847669318</v>
      </c>
      <c r="NI205" s="200">
        <f t="shared" si="830"/>
        <v>0.11049808847669318</v>
      </c>
      <c r="NJ205" s="200">
        <f t="shared" si="830"/>
        <v>0.11049808847669318</v>
      </c>
      <c r="NK205" s="200">
        <f t="shared" si="830"/>
        <v>0.11049808847669318</v>
      </c>
      <c r="NL205" s="200">
        <f t="shared" si="830"/>
        <v>0.11049808847669318</v>
      </c>
      <c r="NM205" s="200">
        <f t="shared" si="830"/>
        <v>0.11049808847669318</v>
      </c>
      <c r="NN205" s="200">
        <f t="shared" si="830"/>
        <v>0.11049808847669318</v>
      </c>
      <c r="NO205" s="200">
        <f t="shared" si="830"/>
        <v>0.11049808847669318</v>
      </c>
      <c r="NP205" s="200">
        <f t="shared" si="830"/>
        <v>0.11049808847669318</v>
      </c>
      <c r="NQ205" s="200">
        <f t="shared" si="830"/>
        <v>0.11049808847669318</v>
      </c>
      <c r="NR205" s="200">
        <f t="shared" si="830"/>
        <v>0.11049808847669318</v>
      </c>
      <c r="NS205" s="200">
        <f t="shared" si="830"/>
        <v>0.11049808847669318</v>
      </c>
      <c r="NT205" s="200">
        <f t="shared" si="830"/>
        <v>0.11049808847669318</v>
      </c>
      <c r="NU205" s="200">
        <f t="shared" si="830"/>
        <v>0.11049808847669318</v>
      </c>
      <c r="NV205" s="200">
        <f t="shared" si="830"/>
        <v>0.11049808847669318</v>
      </c>
      <c r="NW205" s="200">
        <f t="shared" si="830"/>
        <v>0.11049808847669318</v>
      </c>
      <c r="NX205" s="200">
        <f t="shared" si="830"/>
        <v>0.11049808847669318</v>
      </c>
      <c r="NY205" s="200">
        <f t="shared" si="830"/>
        <v>0.11049808847669318</v>
      </c>
      <c r="NZ205" s="200">
        <f t="shared" si="830"/>
        <v>0.11049808847669318</v>
      </c>
      <c r="OA205" s="200">
        <f t="shared" si="830"/>
        <v>0.11049808847669318</v>
      </c>
      <c r="OB205" s="200">
        <f t="shared" si="830"/>
        <v>0.11049808847669318</v>
      </c>
      <c r="OC205" s="200">
        <f t="shared" si="830"/>
        <v>0.11049808847669318</v>
      </c>
      <c r="OD205" s="200">
        <f t="shared" si="830"/>
        <v>0.11049808847669318</v>
      </c>
      <c r="OE205" s="200">
        <f t="shared" si="830"/>
        <v>0.11049808847669318</v>
      </c>
      <c r="OF205" s="200">
        <f t="shared" si="830"/>
        <v>0.11049808847669318</v>
      </c>
      <c r="OG205" s="200">
        <f t="shared" ref="OG205:QR205" si="831">0.14*SUM($H$26:$H$30)/SUM($H$26:$H$31)*(1+$C$4)^OG121</f>
        <v>0.11049808847669318</v>
      </c>
      <c r="OH205" s="200">
        <f t="shared" si="831"/>
        <v>0.11049808847669318</v>
      </c>
      <c r="OI205" s="200">
        <f t="shared" si="831"/>
        <v>0.11049808847669318</v>
      </c>
      <c r="OJ205" s="200">
        <f t="shared" si="831"/>
        <v>0.11049808847669318</v>
      </c>
      <c r="OK205" s="200">
        <f t="shared" si="831"/>
        <v>0.11049808847669318</v>
      </c>
      <c r="OL205" s="200">
        <f t="shared" si="831"/>
        <v>0.11049808847669318</v>
      </c>
      <c r="OM205" s="200">
        <f t="shared" si="831"/>
        <v>0.11049808847669318</v>
      </c>
      <c r="ON205" s="200">
        <f t="shared" si="831"/>
        <v>0.11049808847669318</v>
      </c>
      <c r="OO205" s="200">
        <f t="shared" si="831"/>
        <v>0.11049808847669318</v>
      </c>
      <c r="OP205" s="200">
        <f t="shared" si="831"/>
        <v>0.11049808847669318</v>
      </c>
      <c r="OQ205" s="200">
        <f t="shared" si="831"/>
        <v>0.11049808847669318</v>
      </c>
      <c r="OR205" s="200">
        <f t="shared" si="831"/>
        <v>0.11049808847669318</v>
      </c>
      <c r="OS205" s="200">
        <f t="shared" si="831"/>
        <v>0.11049808847669318</v>
      </c>
      <c r="OT205" s="200">
        <f t="shared" si="831"/>
        <v>0.11049808847669318</v>
      </c>
      <c r="OU205" s="200">
        <f t="shared" si="831"/>
        <v>0.11049808847669318</v>
      </c>
      <c r="OV205" s="200">
        <f t="shared" si="831"/>
        <v>0.11049808847669318</v>
      </c>
      <c r="OW205" s="200">
        <f t="shared" si="831"/>
        <v>0.11049808847669318</v>
      </c>
      <c r="OX205" s="200">
        <f t="shared" si="831"/>
        <v>0.11049808847669318</v>
      </c>
      <c r="OY205" s="200">
        <f t="shared" si="831"/>
        <v>0.11049808847669318</v>
      </c>
      <c r="OZ205" s="200">
        <f t="shared" si="831"/>
        <v>0.11049808847669318</v>
      </c>
      <c r="PA205" s="200">
        <f t="shared" si="831"/>
        <v>0.11049808847669318</v>
      </c>
      <c r="PB205" s="200">
        <f t="shared" si="831"/>
        <v>0.11049808847669318</v>
      </c>
      <c r="PC205" s="200">
        <f t="shared" si="831"/>
        <v>0.11049808847669318</v>
      </c>
      <c r="PD205" s="200">
        <f t="shared" si="831"/>
        <v>0.11049808847669318</v>
      </c>
      <c r="PE205" s="200">
        <f t="shared" si="831"/>
        <v>0.11049808847669318</v>
      </c>
      <c r="PF205" s="200">
        <f t="shared" si="831"/>
        <v>0.11049808847669318</v>
      </c>
      <c r="PG205" s="200">
        <f t="shared" si="831"/>
        <v>0.11049808847669318</v>
      </c>
      <c r="PH205" s="200">
        <f t="shared" si="831"/>
        <v>0.11049808847669318</v>
      </c>
      <c r="PI205" s="200">
        <f t="shared" si="831"/>
        <v>0.11049808847669318</v>
      </c>
      <c r="PJ205" s="200">
        <f t="shared" si="831"/>
        <v>0.11049808847669318</v>
      </c>
      <c r="PK205" s="200">
        <f t="shared" si="831"/>
        <v>0.11049808847669318</v>
      </c>
      <c r="PL205" s="200">
        <f t="shared" si="831"/>
        <v>0.11049808847669318</v>
      </c>
      <c r="PM205" s="200">
        <f t="shared" si="831"/>
        <v>0.11049808847669318</v>
      </c>
      <c r="PN205" s="200">
        <f t="shared" si="831"/>
        <v>0.11049808847669318</v>
      </c>
      <c r="PO205" s="200">
        <f t="shared" si="831"/>
        <v>0.11049808847669318</v>
      </c>
      <c r="PP205" s="200">
        <f t="shared" si="831"/>
        <v>0.11049808847669318</v>
      </c>
      <c r="PQ205" s="200">
        <f t="shared" si="831"/>
        <v>0.11049808847669318</v>
      </c>
      <c r="PR205" s="200">
        <f t="shared" si="831"/>
        <v>0.11049808847669318</v>
      </c>
      <c r="PS205" s="200">
        <f t="shared" si="831"/>
        <v>0.11049808847669318</v>
      </c>
      <c r="PT205" s="200">
        <f t="shared" si="831"/>
        <v>0.11049808847669318</v>
      </c>
      <c r="PU205" s="200">
        <f t="shared" si="831"/>
        <v>0.11049808847669318</v>
      </c>
      <c r="PV205" s="200">
        <f t="shared" si="831"/>
        <v>0.11049808847669318</v>
      </c>
      <c r="PW205" s="200">
        <f t="shared" si="831"/>
        <v>0.11049808847669318</v>
      </c>
      <c r="PX205" s="200">
        <f t="shared" si="831"/>
        <v>0.11049808847669318</v>
      </c>
      <c r="PY205" s="200">
        <f t="shared" si="831"/>
        <v>0.11049808847669318</v>
      </c>
      <c r="PZ205" s="200">
        <f t="shared" si="831"/>
        <v>0.11049808847669318</v>
      </c>
      <c r="QA205" s="200">
        <f t="shared" si="831"/>
        <v>0.11049808847669318</v>
      </c>
      <c r="QB205" s="200">
        <f t="shared" si="831"/>
        <v>0.11049808847669318</v>
      </c>
      <c r="QC205" s="200">
        <f t="shared" si="831"/>
        <v>0.11049808847669318</v>
      </c>
      <c r="QD205" s="200">
        <f t="shared" si="831"/>
        <v>0.11049808847669318</v>
      </c>
      <c r="QE205" s="200">
        <f t="shared" si="831"/>
        <v>0.11049808847669318</v>
      </c>
      <c r="QF205" s="200">
        <f t="shared" si="831"/>
        <v>0.11049808847669318</v>
      </c>
      <c r="QG205" s="200">
        <f t="shared" si="831"/>
        <v>0.11049808847669318</v>
      </c>
      <c r="QH205" s="200">
        <f t="shared" si="831"/>
        <v>0.11049808847669318</v>
      </c>
      <c r="QI205" s="200">
        <f t="shared" si="831"/>
        <v>0.11049808847669318</v>
      </c>
      <c r="QJ205" s="200">
        <f t="shared" si="831"/>
        <v>0.11049808847669318</v>
      </c>
      <c r="QK205" s="200">
        <f t="shared" si="831"/>
        <v>0.11049808847669318</v>
      </c>
      <c r="QL205" s="200">
        <f t="shared" si="831"/>
        <v>0.11049808847669318</v>
      </c>
      <c r="QM205" s="200">
        <f t="shared" si="831"/>
        <v>0.11049808847669318</v>
      </c>
      <c r="QN205" s="200">
        <f t="shared" si="831"/>
        <v>0.11049808847669318</v>
      </c>
      <c r="QO205" s="200">
        <f t="shared" si="831"/>
        <v>0.11049808847669318</v>
      </c>
      <c r="QP205" s="200">
        <f t="shared" si="831"/>
        <v>0.11049808847669318</v>
      </c>
      <c r="QQ205" s="200">
        <f t="shared" si="831"/>
        <v>0.11049808847669318</v>
      </c>
      <c r="QR205" s="200">
        <f t="shared" si="831"/>
        <v>0.11049808847669318</v>
      </c>
      <c r="QS205" s="200">
        <f t="shared" ref="QS205:RR205" si="832">0.14*SUM($H$26:$H$30)/SUM($H$26:$H$31)*(1+$C$4)^QS121</f>
        <v>0.11049808847669318</v>
      </c>
      <c r="QT205" s="200">
        <f t="shared" si="832"/>
        <v>0.11049808847669318</v>
      </c>
      <c r="QU205" s="200">
        <f t="shared" si="832"/>
        <v>0.11049808847669318</v>
      </c>
      <c r="QV205" s="200">
        <f t="shared" si="832"/>
        <v>0.11049808847669318</v>
      </c>
      <c r="QW205" s="200">
        <f t="shared" si="832"/>
        <v>0.11049808847669318</v>
      </c>
      <c r="QX205" s="200">
        <f t="shared" si="832"/>
        <v>0.11049808847669318</v>
      </c>
      <c r="QY205" s="200">
        <f t="shared" si="832"/>
        <v>0.11049808847669318</v>
      </c>
      <c r="QZ205" s="200">
        <f t="shared" si="832"/>
        <v>0.11049808847669318</v>
      </c>
      <c r="RA205" s="200">
        <f t="shared" si="832"/>
        <v>0.11049808847669318</v>
      </c>
      <c r="RB205" s="200">
        <f t="shared" si="832"/>
        <v>0.11049808847669318</v>
      </c>
      <c r="RC205" s="200">
        <f t="shared" si="832"/>
        <v>0.11049808847669318</v>
      </c>
      <c r="RD205" s="200">
        <f t="shared" si="832"/>
        <v>0.11049808847669318</v>
      </c>
      <c r="RE205" s="200">
        <f t="shared" si="832"/>
        <v>0.11049808847669318</v>
      </c>
      <c r="RF205" s="200">
        <f t="shared" si="832"/>
        <v>0.11049808847669318</v>
      </c>
      <c r="RG205" s="200">
        <f t="shared" si="832"/>
        <v>0.11049808847669318</v>
      </c>
      <c r="RH205" s="200">
        <f t="shared" si="832"/>
        <v>0.11049808847669318</v>
      </c>
      <c r="RI205" s="200">
        <f t="shared" si="832"/>
        <v>0.11049808847669318</v>
      </c>
      <c r="RJ205" s="200">
        <f t="shared" si="832"/>
        <v>0.11049808847669318</v>
      </c>
      <c r="RK205" s="200">
        <f t="shared" si="832"/>
        <v>0.11049808847669318</v>
      </c>
      <c r="RL205" s="200">
        <f t="shared" si="832"/>
        <v>0.11049808847669318</v>
      </c>
      <c r="RM205" s="200">
        <f t="shared" si="832"/>
        <v>0.11049808847669318</v>
      </c>
      <c r="RN205" s="200">
        <f t="shared" si="832"/>
        <v>0.11049808847669318</v>
      </c>
      <c r="RO205" s="200">
        <f t="shared" si="832"/>
        <v>0.11049808847669318</v>
      </c>
      <c r="RP205" s="200">
        <f t="shared" si="832"/>
        <v>0.11049808847669318</v>
      </c>
      <c r="RQ205" s="200">
        <f t="shared" si="832"/>
        <v>0.11049808847669318</v>
      </c>
      <c r="RR205" s="200">
        <f t="shared" si="832"/>
        <v>0.11049808847669318</v>
      </c>
    </row>
    <row r="206" spans="1:486" ht="57.6">
      <c r="A206" s="202" t="s">
        <v>365</v>
      </c>
      <c r="B206" s="61" t="s">
        <v>366</v>
      </c>
      <c r="C206" s="203" t="s">
        <v>367</v>
      </c>
      <c r="D206" s="9" t="s">
        <v>361</v>
      </c>
    </row>
    <row r="207" spans="1:486" ht="15" thickBot="1">
      <c r="A207" s="204">
        <f>SUMPRODUCT(B50:B54,D26:D30)/SUM(D26:D30)</f>
        <v>0.16808848511725732</v>
      </c>
      <c r="B207" s="205">
        <f>SUMPRODUCT(D50:D54,D26:D30)/SUM(D26:D30)</f>
        <v>0.16639546243898468</v>
      </c>
      <c r="C207" s="206">
        <f>SUMPRODUCT(D50:D54,H26:H30)/SUM(H26:H30)</f>
        <v>0.16523374613077552</v>
      </c>
    </row>
    <row r="235" spans="1:487" s="154" customFormat="1"/>
    <row r="236" spans="1:487">
      <c r="A236" t="s">
        <v>452</v>
      </c>
      <c r="C236" t="s">
        <v>458</v>
      </c>
      <c r="E236" s="2">
        <f>E200</f>
        <v>42156</v>
      </c>
      <c r="F236" s="2">
        <f t="shared" ref="F236:BQ236" si="833">F200</f>
        <v>42186</v>
      </c>
      <c r="G236" s="2">
        <f t="shared" si="833"/>
        <v>42217</v>
      </c>
      <c r="H236" s="2">
        <f t="shared" si="833"/>
        <v>42248</v>
      </c>
      <c r="I236" s="2">
        <f t="shared" si="833"/>
        <v>42278</v>
      </c>
      <c r="J236" s="2">
        <f t="shared" si="833"/>
        <v>42309</v>
      </c>
      <c r="K236" s="2">
        <f t="shared" si="833"/>
        <v>42339</v>
      </c>
      <c r="L236" s="2">
        <f t="shared" si="833"/>
        <v>42370</v>
      </c>
      <c r="M236" s="2">
        <f t="shared" si="833"/>
        <v>42401</v>
      </c>
      <c r="N236" s="2">
        <f t="shared" si="833"/>
        <v>42430</v>
      </c>
      <c r="O236" s="2">
        <f t="shared" si="833"/>
        <v>42461</v>
      </c>
      <c r="P236" s="2">
        <f t="shared" si="833"/>
        <v>42491</v>
      </c>
      <c r="Q236" s="2">
        <f t="shared" si="833"/>
        <v>42522</v>
      </c>
      <c r="R236" s="2">
        <f t="shared" si="833"/>
        <v>42552</v>
      </c>
      <c r="S236" s="2">
        <f t="shared" si="833"/>
        <v>42583</v>
      </c>
      <c r="T236" s="2">
        <f t="shared" si="833"/>
        <v>42614</v>
      </c>
      <c r="U236" s="2">
        <f t="shared" si="833"/>
        <v>42644</v>
      </c>
      <c r="V236" s="2">
        <f t="shared" si="833"/>
        <v>42675</v>
      </c>
      <c r="W236" s="2">
        <f t="shared" si="833"/>
        <v>42705</v>
      </c>
      <c r="X236" s="2">
        <f t="shared" si="833"/>
        <v>42736</v>
      </c>
      <c r="Y236" s="2">
        <f t="shared" si="833"/>
        <v>42767</v>
      </c>
      <c r="Z236" s="2">
        <f t="shared" si="833"/>
        <v>42795</v>
      </c>
      <c r="AA236" s="2">
        <f t="shared" si="833"/>
        <v>42826</v>
      </c>
      <c r="AB236" s="2">
        <f t="shared" si="833"/>
        <v>42856</v>
      </c>
      <c r="AC236" s="2">
        <f t="shared" si="833"/>
        <v>42887</v>
      </c>
      <c r="AD236" s="2">
        <f t="shared" si="833"/>
        <v>42917</v>
      </c>
      <c r="AE236" s="2">
        <f t="shared" si="833"/>
        <v>42948</v>
      </c>
      <c r="AF236" s="2">
        <f t="shared" si="833"/>
        <v>42979</v>
      </c>
      <c r="AG236" s="2">
        <f t="shared" si="833"/>
        <v>43009</v>
      </c>
      <c r="AH236" s="2">
        <f t="shared" si="833"/>
        <v>43040</v>
      </c>
      <c r="AI236" s="2">
        <f t="shared" si="833"/>
        <v>43070</v>
      </c>
      <c r="AJ236" s="2">
        <f t="shared" si="833"/>
        <v>43101</v>
      </c>
      <c r="AK236" s="2">
        <f t="shared" si="833"/>
        <v>43132</v>
      </c>
      <c r="AL236" s="2">
        <f t="shared" si="833"/>
        <v>43160</v>
      </c>
      <c r="AM236" s="2">
        <f t="shared" si="833"/>
        <v>43191</v>
      </c>
      <c r="AN236" s="2">
        <f t="shared" si="833"/>
        <v>43221</v>
      </c>
      <c r="AO236" s="2">
        <f t="shared" si="833"/>
        <v>43252</v>
      </c>
      <c r="AP236" s="2">
        <f t="shared" si="833"/>
        <v>43282</v>
      </c>
      <c r="AQ236" s="2">
        <f t="shared" si="833"/>
        <v>43313</v>
      </c>
      <c r="AR236" s="2">
        <f t="shared" si="833"/>
        <v>43344</v>
      </c>
      <c r="AS236" s="2">
        <f t="shared" si="833"/>
        <v>43374</v>
      </c>
      <c r="AT236" s="2">
        <f t="shared" si="833"/>
        <v>43405</v>
      </c>
      <c r="AU236" s="2">
        <f t="shared" si="833"/>
        <v>43435</v>
      </c>
      <c r="AV236" s="2">
        <f t="shared" si="833"/>
        <v>43466</v>
      </c>
      <c r="AW236" s="2">
        <f t="shared" si="833"/>
        <v>43497</v>
      </c>
      <c r="AX236" s="2">
        <f t="shared" si="833"/>
        <v>43525</v>
      </c>
      <c r="AY236" s="2">
        <f t="shared" si="833"/>
        <v>43556</v>
      </c>
      <c r="AZ236" s="2">
        <f t="shared" si="833"/>
        <v>43586</v>
      </c>
      <c r="BA236" s="2">
        <f t="shared" si="833"/>
        <v>43617</v>
      </c>
      <c r="BB236" s="2">
        <f t="shared" si="833"/>
        <v>43647</v>
      </c>
      <c r="BC236" s="2">
        <f t="shared" si="833"/>
        <v>43678</v>
      </c>
      <c r="BD236" s="2">
        <f t="shared" si="833"/>
        <v>43709</v>
      </c>
      <c r="BE236" s="2">
        <f t="shared" si="833"/>
        <v>43739</v>
      </c>
      <c r="BF236" s="2">
        <f t="shared" si="833"/>
        <v>43770</v>
      </c>
      <c r="BG236" s="2">
        <f t="shared" si="833"/>
        <v>43800</v>
      </c>
      <c r="BH236" s="2">
        <f t="shared" si="833"/>
        <v>43831</v>
      </c>
      <c r="BI236" s="2">
        <f t="shared" si="833"/>
        <v>43862</v>
      </c>
      <c r="BJ236" s="2">
        <f t="shared" si="833"/>
        <v>43891</v>
      </c>
      <c r="BK236" s="2">
        <f t="shared" si="833"/>
        <v>43922</v>
      </c>
      <c r="BL236" s="2">
        <f t="shared" si="833"/>
        <v>43952</v>
      </c>
      <c r="BM236" s="2">
        <f t="shared" si="833"/>
        <v>43983</v>
      </c>
      <c r="BN236" s="2">
        <f t="shared" si="833"/>
        <v>44013</v>
      </c>
      <c r="BO236" s="2">
        <f t="shared" si="833"/>
        <v>44044</v>
      </c>
      <c r="BP236" s="2">
        <f t="shared" si="833"/>
        <v>44075</v>
      </c>
      <c r="BQ236" s="2">
        <f t="shared" si="833"/>
        <v>44105</v>
      </c>
      <c r="BR236" s="2">
        <f t="shared" ref="BR236:EC236" si="834">BR200</f>
        <v>44136</v>
      </c>
      <c r="BS236" s="2">
        <f t="shared" si="834"/>
        <v>44166</v>
      </c>
      <c r="BT236" s="2">
        <f t="shared" si="834"/>
        <v>44197</v>
      </c>
      <c r="BU236" s="2">
        <f t="shared" si="834"/>
        <v>44228</v>
      </c>
      <c r="BV236" s="2">
        <f t="shared" si="834"/>
        <v>44256</v>
      </c>
      <c r="BW236" s="2">
        <f t="shared" si="834"/>
        <v>44287</v>
      </c>
      <c r="BX236" s="2">
        <f t="shared" si="834"/>
        <v>44317</v>
      </c>
      <c r="BY236" s="2">
        <f t="shared" si="834"/>
        <v>44348</v>
      </c>
      <c r="BZ236" s="2">
        <f t="shared" si="834"/>
        <v>44378</v>
      </c>
      <c r="CA236" s="2">
        <f t="shared" si="834"/>
        <v>44409</v>
      </c>
      <c r="CB236" s="2">
        <f t="shared" si="834"/>
        <v>44440</v>
      </c>
      <c r="CC236" s="2">
        <f t="shared" si="834"/>
        <v>44470</v>
      </c>
      <c r="CD236" s="2">
        <f t="shared" si="834"/>
        <v>44501</v>
      </c>
      <c r="CE236" s="2">
        <f t="shared" si="834"/>
        <v>44531</v>
      </c>
      <c r="CF236" s="2">
        <f t="shared" si="834"/>
        <v>44562</v>
      </c>
      <c r="CG236" s="2">
        <f t="shared" si="834"/>
        <v>44593</v>
      </c>
      <c r="CH236" s="2">
        <f t="shared" si="834"/>
        <v>44621</v>
      </c>
      <c r="CI236" s="2">
        <f t="shared" si="834"/>
        <v>44652</v>
      </c>
      <c r="CJ236" s="2">
        <f t="shared" si="834"/>
        <v>44682</v>
      </c>
      <c r="CK236" s="2">
        <f t="shared" si="834"/>
        <v>44713</v>
      </c>
      <c r="CL236" s="2">
        <f t="shared" si="834"/>
        <v>44743</v>
      </c>
      <c r="CM236" s="2">
        <f t="shared" si="834"/>
        <v>44774</v>
      </c>
      <c r="CN236" s="2">
        <f t="shared" si="834"/>
        <v>44805</v>
      </c>
      <c r="CO236" s="2">
        <f t="shared" si="834"/>
        <v>44835</v>
      </c>
      <c r="CP236" s="2">
        <f t="shared" si="834"/>
        <v>44866</v>
      </c>
      <c r="CQ236" s="2">
        <f t="shared" si="834"/>
        <v>44896</v>
      </c>
      <c r="CR236" s="2">
        <f t="shared" si="834"/>
        <v>44927</v>
      </c>
      <c r="CS236" s="2">
        <f t="shared" si="834"/>
        <v>44958</v>
      </c>
      <c r="CT236" s="2">
        <f t="shared" si="834"/>
        <v>44986</v>
      </c>
      <c r="CU236" s="2">
        <f t="shared" si="834"/>
        <v>45017</v>
      </c>
      <c r="CV236" s="2">
        <f t="shared" si="834"/>
        <v>45047</v>
      </c>
      <c r="CW236" s="2">
        <f t="shared" si="834"/>
        <v>45078</v>
      </c>
      <c r="CX236" s="2">
        <f t="shared" si="834"/>
        <v>45108</v>
      </c>
      <c r="CY236" s="2">
        <f t="shared" si="834"/>
        <v>45139</v>
      </c>
      <c r="CZ236" s="2">
        <f t="shared" si="834"/>
        <v>45170</v>
      </c>
      <c r="DA236" s="2">
        <f t="shared" si="834"/>
        <v>45200</v>
      </c>
      <c r="DB236" s="2">
        <f t="shared" si="834"/>
        <v>45231</v>
      </c>
      <c r="DC236" s="2">
        <f t="shared" si="834"/>
        <v>45261</v>
      </c>
      <c r="DD236" s="2">
        <f t="shared" si="834"/>
        <v>45292</v>
      </c>
      <c r="DE236" s="2">
        <f t="shared" si="834"/>
        <v>45323</v>
      </c>
      <c r="DF236" s="2">
        <f t="shared" si="834"/>
        <v>45352</v>
      </c>
      <c r="DG236" s="2">
        <f t="shared" si="834"/>
        <v>45383</v>
      </c>
      <c r="DH236" s="2">
        <f t="shared" si="834"/>
        <v>45413</v>
      </c>
      <c r="DI236" s="2">
        <f t="shared" si="834"/>
        <v>45444</v>
      </c>
      <c r="DJ236" s="2">
        <f t="shared" si="834"/>
        <v>45474</v>
      </c>
      <c r="DK236" s="2">
        <f t="shared" si="834"/>
        <v>45505</v>
      </c>
      <c r="DL236" s="2">
        <f t="shared" si="834"/>
        <v>45536</v>
      </c>
      <c r="DM236" s="2">
        <f t="shared" si="834"/>
        <v>45566</v>
      </c>
      <c r="DN236" s="2">
        <f t="shared" si="834"/>
        <v>45597</v>
      </c>
      <c r="DO236" s="2">
        <f t="shared" si="834"/>
        <v>45627</v>
      </c>
      <c r="DP236" s="2">
        <f t="shared" si="834"/>
        <v>45658</v>
      </c>
      <c r="DQ236" s="2">
        <f t="shared" si="834"/>
        <v>45689</v>
      </c>
      <c r="DR236" s="2">
        <f t="shared" si="834"/>
        <v>45717</v>
      </c>
      <c r="DS236" s="2">
        <f t="shared" si="834"/>
        <v>45748</v>
      </c>
      <c r="DT236" s="2">
        <f t="shared" si="834"/>
        <v>45778</v>
      </c>
      <c r="DU236" s="2">
        <f t="shared" si="834"/>
        <v>45809</v>
      </c>
      <c r="DV236" s="2">
        <f t="shared" si="834"/>
        <v>45839</v>
      </c>
      <c r="DW236" s="2">
        <f t="shared" si="834"/>
        <v>45870</v>
      </c>
      <c r="DX236" s="2">
        <f t="shared" si="834"/>
        <v>45901</v>
      </c>
      <c r="DY236" s="2">
        <f t="shared" si="834"/>
        <v>45931</v>
      </c>
      <c r="DZ236" s="2">
        <f t="shared" si="834"/>
        <v>45962</v>
      </c>
      <c r="EA236" s="2">
        <f t="shared" si="834"/>
        <v>45992</v>
      </c>
      <c r="EB236" s="2">
        <f t="shared" si="834"/>
        <v>46023</v>
      </c>
      <c r="EC236" s="2">
        <f t="shared" si="834"/>
        <v>46054</v>
      </c>
      <c r="ED236" s="2">
        <f t="shared" ref="ED236:GO236" si="835">ED200</f>
        <v>46082</v>
      </c>
      <c r="EE236" s="2">
        <f t="shared" si="835"/>
        <v>46113</v>
      </c>
      <c r="EF236" s="2">
        <f t="shared" si="835"/>
        <v>46143</v>
      </c>
      <c r="EG236" s="2">
        <f t="shared" si="835"/>
        <v>46174</v>
      </c>
      <c r="EH236" s="2">
        <f t="shared" si="835"/>
        <v>46204</v>
      </c>
      <c r="EI236" s="2">
        <f t="shared" si="835"/>
        <v>46235</v>
      </c>
      <c r="EJ236" s="2">
        <f t="shared" si="835"/>
        <v>46266</v>
      </c>
      <c r="EK236" s="2">
        <f t="shared" si="835"/>
        <v>46296</v>
      </c>
      <c r="EL236" s="2">
        <f t="shared" si="835"/>
        <v>46327</v>
      </c>
      <c r="EM236" s="2">
        <f t="shared" si="835"/>
        <v>46357</v>
      </c>
      <c r="EN236" s="2">
        <f t="shared" si="835"/>
        <v>46388</v>
      </c>
      <c r="EO236" s="2">
        <f t="shared" si="835"/>
        <v>46419</v>
      </c>
      <c r="EP236" s="2">
        <f t="shared" si="835"/>
        <v>46447</v>
      </c>
      <c r="EQ236" s="2">
        <f t="shared" si="835"/>
        <v>46478</v>
      </c>
      <c r="ER236" s="2">
        <f t="shared" si="835"/>
        <v>46508</v>
      </c>
      <c r="ES236" s="2">
        <f t="shared" si="835"/>
        <v>46539</v>
      </c>
      <c r="ET236" s="2">
        <f t="shared" si="835"/>
        <v>46569</v>
      </c>
      <c r="EU236" s="2">
        <f t="shared" si="835"/>
        <v>46600</v>
      </c>
      <c r="EV236" s="2">
        <f t="shared" si="835"/>
        <v>46631</v>
      </c>
      <c r="EW236" s="2">
        <f t="shared" si="835"/>
        <v>46661</v>
      </c>
      <c r="EX236" s="2">
        <f t="shared" si="835"/>
        <v>46692</v>
      </c>
      <c r="EY236" s="2">
        <f t="shared" si="835"/>
        <v>46722</v>
      </c>
      <c r="EZ236" s="2">
        <f t="shared" si="835"/>
        <v>46753</v>
      </c>
      <c r="FA236" s="2">
        <f t="shared" si="835"/>
        <v>46784</v>
      </c>
      <c r="FB236" s="2">
        <f t="shared" si="835"/>
        <v>46813</v>
      </c>
      <c r="FC236" s="2">
        <f t="shared" si="835"/>
        <v>46844</v>
      </c>
      <c r="FD236" s="2">
        <f t="shared" si="835"/>
        <v>46874</v>
      </c>
      <c r="FE236" s="2">
        <f t="shared" si="835"/>
        <v>46905</v>
      </c>
      <c r="FF236" s="2">
        <f t="shared" si="835"/>
        <v>46935</v>
      </c>
      <c r="FG236" s="2">
        <f t="shared" si="835"/>
        <v>46966</v>
      </c>
      <c r="FH236" s="2">
        <f t="shared" si="835"/>
        <v>46997</v>
      </c>
      <c r="FI236" s="2">
        <f t="shared" si="835"/>
        <v>47027</v>
      </c>
      <c r="FJ236" s="2">
        <f t="shared" si="835"/>
        <v>47058</v>
      </c>
      <c r="FK236" s="2">
        <f t="shared" si="835"/>
        <v>47088</v>
      </c>
      <c r="FL236" s="2">
        <f t="shared" si="835"/>
        <v>47119</v>
      </c>
      <c r="FM236" s="2">
        <f t="shared" si="835"/>
        <v>47150</v>
      </c>
      <c r="FN236" s="2">
        <f t="shared" si="835"/>
        <v>47178</v>
      </c>
      <c r="FO236" s="2">
        <f t="shared" si="835"/>
        <v>47209</v>
      </c>
      <c r="FP236" s="2">
        <f t="shared" si="835"/>
        <v>47239</v>
      </c>
      <c r="FQ236" s="2">
        <f t="shared" si="835"/>
        <v>47270</v>
      </c>
      <c r="FR236" s="2">
        <f t="shared" si="835"/>
        <v>47300</v>
      </c>
      <c r="FS236" s="2">
        <f t="shared" si="835"/>
        <v>47331</v>
      </c>
      <c r="FT236" s="2">
        <f t="shared" si="835"/>
        <v>47362</v>
      </c>
      <c r="FU236" s="2">
        <f t="shared" si="835"/>
        <v>47392</v>
      </c>
      <c r="FV236" s="2">
        <f t="shared" si="835"/>
        <v>47423</v>
      </c>
      <c r="FW236" s="2">
        <f t="shared" si="835"/>
        <v>47453</v>
      </c>
      <c r="FX236" s="2">
        <f t="shared" si="835"/>
        <v>47484</v>
      </c>
      <c r="FY236" s="2">
        <f t="shared" si="835"/>
        <v>47515</v>
      </c>
      <c r="FZ236" s="2">
        <f t="shared" si="835"/>
        <v>47543</v>
      </c>
      <c r="GA236" s="2">
        <f t="shared" si="835"/>
        <v>47574</v>
      </c>
      <c r="GB236" s="2">
        <f t="shared" si="835"/>
        <v>47604</v>
      </c>
      <c r="GC236" s="2">
        <f t="shared" si="835"/>
        <v>47635</v>
      </c>
      <c r="GD236" s="2">
        <f t="shared" si="835"/>
        <v>47665</v>
      </c>
      <c r="GE236" s="2">
        <f t="shared" si="835"/>
        <v>47696</v>
      </c>
      <c r="GF236" s="2">
        <f t="shared" si="835"/>
        <v>47727</v>
      </c>
      <c r="GG236" s="2">
        <f t="shared" si="835"/>
        <v>47757</v>
      </c>
      <c r="GH236" s="2">
        <f t="shared" si="835"/>
        <v>47788</v>
      </c>
      <c r="GI236" s="2">
        <f t="shared" si="835"/>
        <v>47818</v>
      </c>
      <c r="GJ236" s="2">
        <f t="shared" si="835"/>
        <v>47849</v>
      </c>
      <c r="GK236" s="2">
        <f t="shared" si="835"/>
        <v>47880</v>
      </c>
      <c r="GL236" s="2">
        <f t="shared" si="835"/>
        <v>47908</v>
      </c>
      <c r="GM236" s="2">
        <f t="shared" si="835"/>
        <v>47939</v>
      </c>
      <c r="GN236" s="2">
        <f t="shared" si="835"/>
        <v>47969</v>
      </c>
      <c r="GO236" s="2">
        <f t="shared" si="835"/>
        <v>48000</v>
      </c>
      <c r="GP236" s="2">
        <f t="shared" ref="GP236:JA236" si="836">GP200</f>
        <v>48030</v>
      </c>
      <c r="GQ236" s="2">
        <f t="shared" si="836"/>
        <v>48061</v>
      </c>
      <c r="GR236" s="2">
        <f t="shared" si="836"/>
        <v>48092</v>
      </c>
      <c r="GS236" s="2">
        <f t="shared" si="836"/>
        <v>48122</v>
      </c>
      <c r="GT236" s="2">
        <f t="shared" si="836"/>
        <v>48153</v>
      </c>
      <c r="GU236" s="2">
        <f t="shared" si="836"/>
        <v>48183</v>
      </c>
      <c r="GV236" s="2">
        <f t="shared" si="836"/>
        <v>48214</v>
      </c>
      <c r="GW236" s="2">
        <f t="shared" si="836"/>
        <v>48245</v>
      </c>
      <c r="GX236" s="2">
        <f t="shared" si="836"/>
        <v>48274</v>
      </c>
      <c r="GY236" s="2">
        <f t="shared" si="836"/>
        <v>48305</v>
      </c>
      <c r="GZ236" s="2">
        <f t="shared" si="836"/>
        <v>48335</v>
      </c>
      <c r="HA236" s="2">
        <f t="shared" si="836"/>
        <v>48366</v>
      </c>
      <c r="HB236" s="2">
        <f t="shared" si="836"/>
        <v>48396</v>
      </c>
      <c r="HC236" s="2">
        <f t="shared" si="836"/>
        <v>48427</v>
      </c>
      <c r="HD236" s="2">
        <f t="shared" si="836"/>
        <v>48458</v>
      </c>
      <c r="HE236" s="2">
        <f t="shared" si="836"/>
        <v>48488</v>
      </c>
      <c r="HF236" s="2">
        <f t="shared" si="836"/>
        <v>48519</v>
      </c>
      <c r="HG236" s="2">
        <f t="shared" si="836"/>
        <v>48549</v>
      </c>
      <c r="HH236" s="2">
        <f t="shared" si="836"/>
        <v>48580</v>
      </c>
      <c r="HI236" s="2">
        <f t="shared" si="836"/>
        <v>48611</v>
      </c>
      <c r="HJ236" s="2">
        <f t="shared" si="836"/>
        <v>48639</v>
      </c>
      <c r="HK236" s="2">
        <f t="shared" si="836"/>
        <v>48670</v>
      </c>
      <c r="HL236" s="2">
        <f t="shared" si="836"/>
        <v>48700</v>
      </c>
      <c r="HM236" s="2">
        <f t="shared" si="836"/>
        <v>48731</v>
      </c>
      <c r="HN236" s="2">
        <f t="shared" si="836"/>
        <v>48761</v>
      </c>
      <c r="HO236" s="2">
        <f t="shared" si="836"/>
        <v>48792</v>
      </c>
      <c r="HP236" s="2">
        <f t="shared" si="836"/>
        <v>48823</v>
      </c>
      <c r="HQ236" s="2">
        <f t="shared" si="836"/>
        <v>48853</v>
      </c>
      <c r="HR236" s="2">
        <f t="shared" si="836"/>
        <v>48884</v>
      </c>
      <c r="HS236" s="2">
        <f t="shared" si="836"/>
        <v>48914</v>
      </c>
      <c r="HT236" s="2">
        <f t="shared" si="836"/>
        <v>48945</v>
      </c>
      <c r="HU236" s="2">
        <f t="shared" si="836"/>
        <v>48976</v>
      </c>
      <c r="HV236" s="2">
        <f t="shared" si="836"/>
        <v>49004</v>
      </c>
      <c r="HW236" s="2">
        <f t="shared" si="836"/>
        <v>49035</v>
      </c>
      <c r="HX236" s="2">
        <f t="shared" si="836"/>
        <v>49065</v>
      </c>
      <c r="HY236" s="2">
        <f t="shared" si="836"/>
        <v>49096</v>
      </c>
      <c r="HZ236" s="2">
        <f t="shared" si="836"/>
        <v>49126</v>
      </c>
      <c r="IA236" s="2">
        <f t="shared" si="836"/>
        <v>49157</v>
      </c>
      <c r="IB236" s="2">
        <f t="shared" si="836"/>
        <v>49188</v>
      </c>
      <c r="IC236" s="2">
        <f t="shared" si="836"/>
        <v>49218</v>
      </c>
      <c r="ID236" s="2">
        <f t="shared" si="836"/>
        <v>49249</v>
      </c>
      <c r="IE236" s="2">
        <f t="shared" si="836"/>
        <v>49279</v>
      </c>
      <c r="IF236" s="2">
        <f t="shared" si="836"/>
        <v>49310</v>
      </c>
      <c r="IG236" s="2">
        <f t="shared" si="836"/>
        <v>49341</v>
      </c>
      <c r="IH236" s="2">
        <f t="shared" si="836"/>
        <v>49369</v>
      </c>
      <c r="II236" s="2">
        <f t="shared" si="836"/>
        <v>49400</v>
      </c>
      <c r="IJ236" s="2">
        <f t="shared" si="836"/>
        <v>49430</v>
      </c>
      <c r="IK236" s="2">
        <f t="shared" si="836"/>
        <v>49461</v>
      </c>
      <c r="IL236" s="2">
        <f t="shared" si="836"/>
        <v>49491</v>
      </c>
      <c r="IM236" s="2">
        <f t="shared" si="836"/>
        <v>49522</v>
      </c>
      <c r="IN236" s="2">
        <f t="shared" si="836"/>
        <v>49553</v>
      </c>
      <c r="IO236" s="2">
        <f t="shared" si="836"/>
        <v>49583</v>
      </c>
      <c r="IP236" s="2">
        <f t="shared" si="836"/>
        <v>49614</v>
      </c>
      <c r="IQ236" s="2">
        <f t="shared" si="836"/>
        <v>49644</v>
      </c>
      <c r="IR236" s="2">
        <f t="shared" si="836"/>
        <v>49675</v>
      </c>
      <c r="IS236" s="2">
        <f t="shared" si="836"/>
        <v>49706</v>
      </c>
      <c r="IT236" s="2">
        <f t="shared" si="836"/>
        <v>49735</v>
      </c>
      <c r="IU236" s="2">
        <f t="shared" si="836"/>
        <v>49766</v>
      </c>
      <c r="IV236" s="2">
        <f t="shared" si="836"/>
        <v>49796</v>
      </c>
      <c r="IW236" s="2">
        <f t="shared" si="836"/>
        <v>49827</v>
      </c>
      <c r="IX236" s="2">
        <f t="shared" si="836"/>
        <v>49857</v>
      </c>
      <c r="IY236" s="2">
        <f t="shared" si="836"/>
        <v>49888</v>
      </c>
      <c r="IZ236" s="2">
        <f t="shared" si="836"/>
        <v>49919</v>
      </c>
      <c r="JA236" s="2">
        <f t="shared" si="836"/>
        <v>49949</v>
      </c>
      <c r="JB236" s="2">
        <f t="shared" ref="JB236:LM236" si="837">JB200</f>
        <v>49980</v>
      </c>
      <c r="JC236" s="2">
        <f t="shared" si="837"/>
        <v>50010</v>
      </c>
      <c r="JD236" s="2">
        <f t="shared" si="837"/>
        <v>50041</v>
      </c>
      <c r="JE236" s="2">
        <f t="shared" si="837"/>
        <v>50072</v>
      </c>
      <c r="JF236" s="2">
        <f t="shared" si="837"/>
        <v>50100</v>
      </c>
      <c r="JG236" s="2">
        <f t="shared" si="837"/>
        <v>50131</v>
      </c>
      <c r="JH236" s="2">
        <f t="shared" si="837"/>
        <v>50161</v>
      </c>
      <c r="JI236" s="2">
        <f t="shared" si="837"/>
        <v>50192</v>
      </c>
      <c r="JJ236" s="2">
        <f t="shared" si="837"/>
        <v>50222</v>
      </c>
      <c r="JK236" s="2">
        <f t="shared" si="837"/>
        <v>50253</v>
      </c>
      <c r="JL236" s="2">
        <f t="shared" si="837"/>
        <v>50284</v>
      </c>
      <c r="JM236" s="2">
        <f t="shared" si="837"/>
        <v>50314</v>
      </c>
      <c r="JN236" s="2">
        <f t="shared" si="837"/>
        <v>50345</v>
      </c>
      <c r="JO236" s="2">
        <f t="shared" si="837"/>
        <v>50375</v>
      </c>
      <c r="JP236" s="2">
        <f t="shared" si="837"/>
        <v>50406</v>
      </c>
      <c r="JQ236" s="2">
        <f t="shared" si="837"/>
        <v>50437</v>
      </c>
      <c r="JR236" s="2">
        <f t="shared" si="837"/>
        <v>50465</v>
      </c>
      <c r="JS236" s="2">
        <f t="shared" si="837"/>
        <v>50496</v>
      </c>
      <c r="JT236" s="2">
        <f t="shared" si="837"/>
        <v>50526</v>
      </c>
      <c r="JU236" s="2">
        <f t="shared" si="837"/>
        <v>50557</v>
      </c>
      <c r="JV236" s="2">
        <f t="shared" si="837"/>
        <v>50587</v>
      </c>
      <c r="JW236" s="2">
        <f t="shared" si="837"/>
        <v>50618</v>
      </c>
      <c r="JX236" s="2">
        <f t="shared" si="837"/>
        <v>50649</v>
      </c>
      <c r="JY236" s="2">
        <f t="shared" si="837"/>
        <v>50679</v>
      </c>
      <c r="JZ236" s="2">
        <f t="shared" si="837"/>
        <v>50710</v>
      </c>
      <c r="KA236" s="2">
        <f t="shared" si="837"/>
        <v>50740</v>
      </c>
      <c r="KB236" s="2">
        <f t="shared" si="837"/>
        <v>50771</v>
      </c>
      <c r="KC236" s="2">
        <f t="shared" si="837"/>
        <v>50802</v>
      </c>
      <c r="KD236" s="2">
        <f t="shared" si="837"/>
        <v>50830</v>
      </c>
      <c r="KE236" s="2">
        <f t="shared" si="837"/>
        <v>50861</v>
      </c>
      <c r="KF236" s="2">
        <f t="shared" si="837"/>
        <v>50891</v>
      </c>
      <c r="KG236" s="2">
        <f t="shared" si="837"/>
        <v>50922</v>
      </c>
      <c r="KH236" s="2">
        <f t="shared" si="837"/>
        <v>50952</v>
      </c>
      <c r="KI236" s="2">
        <f t="shared" si="837"/>
        <v>50983</v>
      </c>
      <c r="KJ236" s="2">
        <f t="shared" si="837"/>
        <v>51014</v>
      </c>
      <c r="KK236" s="2">
        <f t="shared" si="837"/>
        <v>51044</v>
      </c>
      <c r="KL236" s="2">
        <f t="shared" si="837"/>
        <v>51075</v>
      </c>
      <c r="KM236" s="2">
        <f t="shared" si="837"/>
        <v>51105</v>
      </c>
      <c r="KN236" s="2">
        <f t="shared" si="837"/>
        <v>51136</v>
      </c>
      <c r="KO236" s="2">
        <f t="shared" si="837"/>
        <v>51167</v>
      </c>
      <c r="KP236" s="2">
        <f t="shared" si="837"/>
        <v>51196</v>
      </c>
      <c r="KQ236" s="2">
        <f t="shared" si="837"/>
        <v>51227</v>
      </c>
      <c r="KR236" s="2">
        <f t="shared" si="837"/>
        <v>51257</v>
      </c>
      <c r="KS236" s="2">
        <f t="shared" si="837"/>
        <v>51288</v>
      </c>
      <c r="KT236" s="2">
        <f t="shared" si="837"/>
        <v>51318</v>
      </c>
      <c r="KU236" s="2">
        <f t="shared" si="837"/>
        <v>51349</v>
      </c>
      <c r="KV236" s="2">
        <f t="shared" si="837"/>
        <v>51380</v>
      </c>
      <c r="KW236" s="2">
        <f t="shared" si="837"/>
        <v>51410</v>
      </c>
      <c r="KX236" s="2">
        <f t="shared" si="837"/>
        <v>51441</v>
      </c>
      <c r="KY236" s="2">
        <f t="shared" si="837"/>
        <v>51471</v>
      </c>
      <c r="KZ236" s="2">
        <f t="shared" si="837"/>
        <v>51502</v>
      </c>
      <c r="LA236" s="2">
        <f t="shared" si="837"/>
        <v>51533</v>
      </c>
      <c r="LB236" s="2">
        <f t="shared" si="837"/>
        <v>51561</v>
      </c>
      <c r="LC236" s="2">
        <f t="shared" si="837"/>
        <v>51592</v>
      </c>
      <c r="LD236" s="2">
        <f t="shared" si="837"/>
        <v>51622</v>
      </c>
      <c r="LE236" s="2">
        <f t="shared" si="837"/>
        <v>51653</v>
      </c>
      <c r="LF236" s="2">
        <f t="shared" si="837"/>
        <v>51683</v>
      </c>
      <c r="LG236" s="2">
        <f t="shared" si="837"/>
        <v>51714</v>
      </c>
      <c r="LH236" s="2">
        <f t="shared" si="837"/>
        <v>51745</v>
      </c>
      <c r="LI236" s="2">
        <f t="shared" si="837"/>
        <v>51775</v>
      </c>
      <c r="LJ236" s="2">
        <f t="shared" si="837"/>
        <v>51806</v>
      </c>
      <c r="LK236" s="2">
        <f t="shared" si="837"/>
        <v>51836</v>
      </c>
      <c r="LL236" s="2">
        <f t="shared" si="837"/>
        <v>51867</v>
      </c>
      <c r="LM236" s="2">
        <f t="shared" si="837"/>
        <v>51898</v>
      </c>
      <c r="LN236" s="2">
        <f t="shared" ref="LN236:NY236" si="838">LN200</f>
        <v>51926</v>
      </c>
      <c r="LO236" s="2">
        <f t="shared" si="838"/>
        <v>51957</v>
      </c>
      <c r="LP236" s="2">
        <f t="shared" si="838"/>
        <v>51987</v>
      </c>
      <c r="LQ236" s="2">
        <f t="shared" si="838"/>
        <v>52018</v>
      </c>
      <c r="LR236" s="2">
        <f t="shared" si="838"/>
        <v>52048</v>
      </c>
      <c r="LS236" s="2">
        <f t="shared" si="838"/>
        <v>52079</v>
      </c>
      <c r="LT236" s="2">
        <f t="shared" si="838"/>
        <v>52110</v>
      </c>
      <c r="LU236" s="2">
        <f t="shared" si="838"/>
        <v>52140</v>
      </c>
      <c r="LV236" s="2">
        <f t="shared" si="838"/>
        <v>52171</v>
      </c>
      <c r="LW236" s="2">
        <f t="shared" si="838"/>
        <v>52201</v>
      </c>
      <c r="LX236" s="2">
        <f t="shared" si="838"/>
        <v>52232</v>
      </c>
      <c r="LY236" s="2">
        <f t="shared" si="838"/>
        <v>52263</v>
      </c>
      <c r="LZ236" s="2">
        <f t="shared" si="838"/>
        <v>52291</v>
      </c>
      <c r="MA236" s="2">
        <f t="shared" si="838"/>
        <v>52322</v>
      </c>
      <c r="MB236" s="2">
        <f t="shared" si="838"/>
        <v>52352</v>
      </c>
      <c r="MC236" s="2">
        <f t="shared" si="838"/>
        <v>52383</v>
      </c>
      <c r="MD236" s="2">
        <f t="shared" si="838"/>
        <v>52413</v>
      </c>
      <c r="ME236" s="2">
        <f t="shared" si="838"/>
        <v>52444</v>
      </c>
      <c r="MF236" s="2">
        <f t="shared" si="838"/>
        <v>52475</v>
      </c>
      <c r="MG236" s="2">
        <f t="shared" si="838"/>
        <v>52505</v>
      </c>
      <c r="MH236" s="2">
        <f t="shared" si="838"/>
        <v>52536</v>
      </c>
      <c r="MI236" s="2">
        <f t="shared" si="838"/>
        <v>52566</v>
      </c>
      <c r="MJ236" s="2">
        <f t="shared" si="838"/>
        <v>52597</v>
      </c>
      <c r="MK236" s="2">
        <f t="shared" si="838"/>
        <v>52628</v>
      </c>
      <c r="ML236" s="2">
        <f t="shared" si="838"/>
        <v>52657</v>
      </c>
      <c r="MM236" s="2">
        <f t="shared" si="838"/>
        <v>52688</v>
      </c>
      <c r="MN236" s="2">
        <f t="shared" si="838"/>
        <v>52718</v>
      </c>
      <c r="MO236" s="2">
        <f t="shared" si="838"/>
        <v>52749</v>
      </c>
      <c r="MP236" s="2">
        <f t="shared" si="838"/>
        <v>52779</v>
      </c>
      <c r="MQ236" s="2">
        <f t="shared" si="838"/>
        <v>52810</v>
      </c>
      <c r="MR236" s="2">
        <f t="shared" si="838"/>
        <v>52841</v>
      </c>
      <c r="MS236" s="2">
        <f t="shared" si="838"/>
        <v>52871</v>
      </c>
      <c r="MT236" s="2">
        <f t="shared" si="838"/>
        <v>52902</v>
      </c>
      <c r="MU236" s="2">
        <f t="shared" si="838"/>
        <v>52932</v>
      </c>
      <c r="MV236" s="2">
        <f t="shared" si="838"/>
        <v>52963</v>
      </c>
      <c r="MW236" s="2">
        <f t="shared" si="838"/>
        <v>52994</v>
      </c>
      <c r="MX236" s="2">
        <f t="shared" si="838"/>
        <v>53022</v>
      </c>
      <c r="MY236" s="2">
        <f t="shared" si="838"/>
        <v>53053</v>
      </c>
      <c r="MZ236" s="2">
        <f t="shared" si="838"/>
        <v>53083</v>
      </c>
      <c r="NA236" s="2">
        <f t="shared" si="838"/>
        <v>53114</v>
      </c>
      <c r="NB236" s="2">
        <f t="shared" si="838"/>
        <v>53144</v>
      </c>
      <c r="NC236" s="2">
        <f t="shared" si="838"/>
        <v>53175</v>
      </c>
      <c r="ND236" s="2">
        <f t="shared" si="838"/>
        <v>53206</v>
      </c>
      <c r="NE236" s="2">
        <f t="shared" si="838"/>
        <v>53236</v>
      </c>
      <c r="NF236" s="2">
        <f t="shared" si="838"/>
        <v>53267</v>
      </c>
      <c r="NG236" s="2">
        <f t="shared" si="838"/>
        <v>53297</v>
      </c>
      <c r="NH236" s="2">
        <f t="shared" si="838"/>
        <v>53328</v>
      </c>
      <c r="NI236" s="2">
        <f t="shared" si="838"/>
        <v>53359</v>
      </c>
      <c r="NJ236" s="2">
        <f t="shared" si="838"/>
        <v>53387</v>
      </c>
      <c r="NK236" s="2">
        <f t="shared" si="838"/>
        <v>53418</v>
      </c>
      <c r="NL236" s="2">
        <f t="shared" si="838"/>
        <v>53448</v>
      </c>
      <c r="NM236" s="2">
        <f t="shared" si="838"/>
        <v>53479</v>
      </c>
      <c r="NN236" s="2">
        <f t="shared" si="838"/>
        <v>53509</v>
      </c>
      <c r="NO236" s="2">
        <f t="shared" si="838"/>
        <v>53540</v>
      </c>
      <c r="NP236" s="2">
        <f t="shared" si="838"/>
        <v>53571</v>
      </c>
      <c r="NQ236" s="2">
        <f t="shared" si="838"/>
        <v>53601</v>
      </c>
      <c r="NR236" s="2">
        <f t="shared" si="838"/>
        <v>53632</v>
      </c>
      <c r="NS236" s="2">
        <f t="shared" si="838"/>
        <v>53662</v>
      </c>
      <c r="NT236" s="2">
        <f t="shared" si="838"/>
        <v>53693</v>
      </c>
      <c r="NU236" s="2">
        <f t="shared" si="838"/>
        <v>53724</v>
      </c>
      <c r="NV236" s="2">
        <f t="shared" si="838"/>
        <v>53752</v>
      </c>
      <c r="NW236" s="2">
        <f t="shared" si="838"/>
        <v>53783</v>
      </c>
      <c r="NX236" s="2">
        <f t="shared" si="838"/>
        <v>53813</v>
      </c>
      <c r="NY236" s="2">
        <f t="shared" si="838"/>
        <v>53844</v>
      </c>
      <c r="NZ236" s="2">
        <f t="shared" ref="NZ236:QK236" si="839">NZ200</f>
        <v>53874</v>
      </c>
      <c r="OA236" s="2">
        <f t="shared" si="839"/>
        <v>53905</v>
      </c>
      <c r="OB236" s="2">
        <f t="shared" si="839"/>
        <v>53936</v>
      </c>
      <c r="OC236" s="2">
        <f t="shared" si="839"/>
        <v>53966</v>
      </c>
      <c r="OD236" s="2">
        <f t="shared" si="839"/>
        <v>53997</v>
      </c>
      <c r="OE236" s="2">
        <f t="shared" si="839"/>
        <v>54027</v>
      </c>
      <c r="OF236" s="2">
        <f t="shared" si="839"/>
        <v>54058</v>
      </c>
      <c r="OG236" s="2">
        <f t="shared" si="839"/>
        <v>54089</v>
      </c>
      <c r="OH236" s="2">
        <f t="shared" si="839"/>
        <v>54118</v>
      </c>
      <c r="OI236" s="2">
        <f t="shared" si="839"/>
        <v>54149</v>
      </c>
      <c r="OJ236" s="2">
        <f t="shared" si="839"/>
        <v>54179</v>
      </c>
      <c r="OK236" s="2">
        <f t="shared" si="839"/>
        <v>54210</v>
      </c>
      <c r="OL236" s="2">
        <f t="shared" si="839"/>
        <v>54240</v>
      </c>
      <c r="OM236" s="2">
        <f t="shared" si="839"/>
        <v>54271</v>
      </c>
      <c r="ON236" s="2">
        <f t="shared" si="839"/>
        <v>54302</v>
      </c>
      <c r="OO236" s="2">
        <f t="shared" si="839"/>
        <v>54332</v>
      </c>
      <c r="OP236" s="2">
        <f t="shared" si="839"/>
        <v>54363</v>
      </c>
      <c r="OQ236" s="2">
        <f t="shared" si="839"/>
        <v>54393</v>
      </c>
      <c r="OR236" s="2">
        <f t="shared" si="839"/>
        <v>54424</v>
      </c>
      <c r="OS236" s="2">
        <f t="shared" si="839"/>
        <v>54455</v>
      </c>
      <c r="OT236" s="2">
        <f t="shared" si="839"/>
        <v>54483</v>
      </c>
      <c r="OU236" s="2">
        <f t="shared" si="839"/>
        <v>54514</v>
      </c>
      <c r="OV236" s="2">
        <f t="shared" si="839"/>
        <v>54544</v>
      </c>
      <c r="OW236" s="2">
        <f t="shared" si="839"/>
        <v>54575</v>
      </c>
      <c r="OX236" s="2">
        <f t="shared" si="839"/>
        <v>54605</v>
      </c>
      <c r="OY236" s="2">
        <f t="shared" si="839"/>
        <v>54636</v>
      </c>
      <c r="OZ236" s="2">
        <f t="shared" si="839"/>
        <v>54667</v>
      </c>
      <c r="PA236" s="2">
        <f t="shared" si="839"/>
        <v>54697</v>
      </c>
      <c r="PB236" s="2">
        <f t="shared" si="839"/>
        <v>54728</v>
      </c>
      <c r="PC236" s="2">
        <f t="shared" si="839"/>
        <v>54758</v>
      </c>
      <c r="PD236" s="2">
        <f t="shared" si="839"/>
        <v>54789</v>
      </c>
      <c r="PE236" s="2">
        <f t="shared" si="839"/>
        <v>54820</v>
      </c>
      <c r="PF236" s="2">
        <f t="shared" si="839"/>
        <v>54848</v>
      </c>
      <c r="PG236" s="2">
        <f t="shared" si="839"/>
        <v>54879</v>
      </c>
      <c r="PH236" s="2">
        <f t="shared" si="839"/>
        <v>54909</v>
      </c>
      <c r="PI236" s="2">
        <f t="shared" si="839"/>
        <v>54940</v>
      </c>
      <c r="PJ236" s="2">
        <f t="shared" si="839"/>
        <v>54970</v>
      </c>
      <c r="PK236" s="2">
        <f t="shared" si="839"/>
        <v>55001</v>
      </c>
      <c r="PL236" s="2">
        <f t="shared" si="839"/>
        <v>55032</v>
      </c>
      <c r="PM236" s="2">
        <f t="shared" si="839"/>
        <v>55062</v>
      </c>
      <c r="PN236" s="2">
        <f t="shared" si="839"/>
        <v>55093</v>
      </c>
      <c r="PO236" s="2">
        <f t="shared" si="839"/>
        <v>55123</v>
      </c>
      <c r="PP236" s="2">
        <f t="shared" si="839"/>
        <v>55154</v>
      </c>
      <c r="PQ236" s="2">
        <f t="shared" si="839"/>
        <v>55185</v>
      </c>
      <c r="PR236" s="2">
        <f t="shared" si="839"/>
        <v>55213</v>
      </c>
      <c r="PS236" s="2">
        <f t="shared" si="839"/>
        <v>55244</v>
      </c>
      <c r="PT236" s="2">
        <f t="shared" si="839"/>
        <v>55274</v>
      </c>
      <c r="PU236" s="2">
        <f t="shared" si="839"/>
        <v>55305</v>
      </c>
      <c r="PV236" s="2">
        <f t="shared" si="839"/>
        <v>55335</v>
      </c>
      <c r="PW236" s="2">
        <f t="shared" si="839"/>
        <v>55366</v>
      </c>
      <c r="PX236" s="2">
        <f t="shared" si="839"/>
        <v>55397</v>
      </c>
      <c r="PY236" s="2">
        <f t="shared" si="839"/>
        <v>55427</v>
      </c>
      <c r="PZ236" s="2">
        <f t="shared" si="839"/>
        <v>55458</v>
      </c>
      <c r="QA236" s="2">
        <f t="shared" si="839"/>
        <v>55488</v>
      </c>
      <c r="QB236" s="2">
        <f t="shared" si="839"/>
        <v>55519</v>
      </c>
      <c r="QC236" s="2">
        <f t="shared" si="839"/>
        <v>55550</v>
      </c>
      <c r="QD236" s="2">
        <f t="shared" si="839"/>
        <v>55579</v>
      </c>
      <c r="QE236" s="2">
        <f t="shared" si="839"/>
        <v>55610</v>
      </c>
      <c r="QF236" s="2">
        <f t="shared" si="839"/>
        <v>55640</v>
      </c>
      <c r="QG236" s="2">
        <f t="shared" si="839"/>
        <v>55671</v>
      </c>
      <c r="QH236" s="2">
        <f t="shared" si="839"/>
        <v>55701</v>
      </c>
      <c r="QI236" s="2">
        <f t="shared" si="839"/>
        <v>55732</v>
      </c>
      <c r="QJ236" s="2">
        <f t="shared" si="839"/>
        <v>55763</v>
      </c>
      <c r="QK236" s="2">
        <f t="shared" si="839"/>
        <v>55793</v>
      </c>
      <c r="QL236" s="2">
        <f t="shared" ref="QL236:RR236" si="840">QL200</f>
        <v>55824</v>
      </c>
      <c r="QM236" s="2">
        <f t="shared" si="840"/>
        <v>55854</v>
      </c>
      <c r="QN236" s="2">
        <f t="shared" si="840"/>
        <v>55885</v>
      </c>
      <c r="QO236" s="2">
        <f t="shared" si="840"/>
        <v>55916</v>
      </c>
      <c r="QP236" s="2">
        <f t="shared" si="840"/>
        <v>55944</v>
      </c>
      <c r="QQ236" s="2">
        <f t="shared" si="840"/>
        <v>55975</v>
      </c>
      <c r="QR236" s="2">
        <f t="shared" si="840"/>
        <v>56005</v>
      </c>
      <c r="QS236" s="2">
        <f t="shared" si="840"/>
        <v>56036</v>
      </c>
      <c r="QT236" s="2">
        <f t="shared" si="840"/>
        <v>56066</v>
      </c>
      <c r="QU236" s="2">
        <f t="shared" si="840"/>
        <v>56097</v>
      </c>
      <c r="QV236" s="2">
        <f t="shared" si="840"/>
        <v>56128</v>
      </c>
      <c r="QW236" s="2">
        <f t="shared" si="840"/>
        <v>56158</v>
      </c>
      <c r="QX236" s="2">
        <f t="shared" si="840"/>
        <v>56189</v>
      </c>
      <c r="QY236" s="2">
        <f t="shared" si="840"/>
        <v>56219</v>
      </c>
      <c r="QZ236" s="2">
        <f t="shared" si="840"/>
        <v>56250</v>
      </c>
      <c r="RA236" s="2">
        <f t="shared" si="840"/>
        <v>56281</v>
      </c>
      <c r="RB236" s="2">
        <f t="shared" si="840"/>
        <v>56309</v>
      </c>
      <c r="RC236" s="2">
        <f t="shared" si="840"/>
        <v>56340</v>
      </c>
      <c r="RD236" s="2">
        <f t="shared" si="840"/>
        <v>56370</v>
      </c>
      <c r="RE236" s="2">
        <f t="shared" si="840"/>
        <v>56401</v>
      </c>
      <c r="RF236" s="2">
        <f t="shared" si="840"/>
        <v>56431</v>
      </c>
      <c r="RG236" s="2">
        <f t="shared" si="840"/>
        <v>56462</v>
      </c>
      <c r="RH236" s="2">
        <f t="shared" si="840"/>
        <v>56493</v>
      </c>
      <c r="RI236" s="2">
        <f t="shared" si="840"/>
        <v>56523</v>
      </c>
      <c r="RJ236" s="2">
        <f t="shared" si="840"/>
        <v>56554</v>
      </c>
      <c r="RK236" s="2">
        <f t="shared" si="840"/>
        <v>56584</v>
      </c>
      <c r="RL236" s="2">
        <f t="shared" si="840"/>
        <v>56615</v>
      </c>
      <c r="RM236" s="2">
        <f t="shared" si="840"/>
        <v>56646</v>
      </c>
      <c r="RN236" s="2">
        <f t="shared" si="840"/>
        <v>56674</v>
      </c>
      <c r="RO236" s="2">
        <f t="shared" si="840"/>
        <v>56705</v>
      </c>
      <c r="RP236" s="2">
        <f t="shared" si="840"/>
        <v>56735</v>
      </c>
      <c r="RQ236" s="2">
        <f t="shared" si="840"/>
        <v>56766</v>
      </c>
      <c r="RR236" s="2">
        <f t="shared" si="840"/>
        <v>56796</v>
      </c>
      <c r="RS236" s="2"/>
    </row>
    <row r="237" spans="1:487">
      <c r="D237" s="9" t="str">
        <f>D201</f>
        <v>Oil/Diesel Blend</v>
      </c>
      <c r="E237" s="201">
        <f>600*E201</f>
        <v>81.522976287816832</v>
      </c>
      <c r="F237" s="201">
        <f t="shared" ref="F237:BQ238" ca="1" si="841">600*F201</f>
        <v>81.787110834109271</v>
      </c>
      <c r="G237" s="201">
        <f t="shared" ca="1" si="841"/>
        <v>82.052101176665815</v>
      </c>
      <c r="H237" s="201">
        <f t="shared" ca="1" si="841"/>
        <v>82.317950088267423</v>
      </c>
      <c r="I237" s="201">
        <f t="shared" ca="1" si="841"/>
        <v>82.584660350678902</v>
      </c>
      <c r="J237" s="201">
        <f t="shared" ca="1" si="841"/>
        <v>82.852234754677966</v>
      </c>
      <c r="K237" s="201">
        <f t="shared" ca="1" si="841"/>
        <v>83.12067610008441</v>
      </c>
      <c r="L237" s="201">
        <f t="shared" ca="1" si="841"/>
        <v>83.389987195789544</v>
      </c>
      <c r="M237" s="201">
        <f t="shared" ca="1" si="841"/>
        <v>83.66017085978541</v>
      </c>
      <c r="N237" s="201">
        <f t="shared" ca="1" si="841"/>
        <v>83.931229919194422</v>
      </c>
      <c r="O237" s="201">
        <f t="shared" ca="1" si="841"/>
        <v>84.203167210298744</v>
      </c>
      <c r="P237" s="201">
        <f t="shared" ca="1" si="841"/>
        <v>84.475985578570231</v>
      </c>
      <c r="Q237" s="201">
        <f t="shared" ca="1" si="841"/>
        <v>84.749687878700016</v>
      </c>
      <c r="R237" s="201">
        <f t="shared" ca="1" si="841"/>
        <v>85.024276974628449</v>
      </c>
      <c r="S237" s="201">
        <f t="shared" ca="1" si="841"/>
        <v>85.299755739574991</v>
      </c>
      <c r="T237" s="201">
        <f t="shared" ca="1" si="841"/>
        <v>85.576127056068458</v>
      </c>
      <c r="U237" s="201">
        <f t="shared" ca="1" si="841"/>
        <v>85.853393815976915</v>
      </c>
      <c r="V237" s="201">
        <f t="shared" ca="1" si="841"/>
        <v>86.131558920538197</v>
      </c>
      <c r="W237" s="201">
        <f t="shared" ca="1" si="841"/>
        <v>86.410625280390121</v>
      </c>
      <c r="X237" s="201">
        <f t="shared" ca="1" si="841"/>
        <v>86.690595815600972</v>
      </c>
      <c r="Y237" s="201">
        <f t="shared" ca="1" si="841"/>
        <v>86.971473455700036</v>
      </c>
      <c r="Z237" s="201">
        <f t="shared" ca="1" si="841"/>
        <v>87.253261139708329</v>
      </c>
      <c r="AA237" s="201">
        <f t="shared" ca="1" si="841"/>
        <v>87.535961816169234</v>
      </c>
      <c r="AB237" s="201">
        <f t="shared" ca="1" si="841"/>
        <v>87.819578443179466</v>
      </c>
      <c r="AC237" s="201">
        <f t="shared" ca="1" si="841"/>
        <v>88.104113988419968</v>
      </c>
      <c r="AD237" s="201">
        <f t="shared" ca="1" si="841"/>
        <v>88.389571429186958</v>
      </c>
      <c r="AE237" s="201">
        <f t="shared" ca="1" si="841"/>
        <v>88.675953752423112</v>
      </c>
      <c r="AF237" s="201">
        <f t="shared" ca="1" si="841"/>
        <v>88.963263954748811</v>
      </c>
      <c r="AG237" s="201">
        <f t="shared" ca="1" si="841"/>
        <v>89.251505042493434</v>
      </c>
      <c r="AH237" s="201">
        <f t="shared" ca="1" si="841"/>
        <v>89.540680031726978</v>
      </c>
      <c r="AI237" s="201">
        <f t="shared" ca="1" si="841"/>
        <v>89.830791948291434</v>
      </c>
      <c r="AJ237" s="201">
        <f t="shared" ca="1" si="841"/>
        <v>90.121843827832521</v>
      </c>
      <c r="AK237" s="201">
        <f t="shared" ca="1" si="841"/>
        <v>90.41383871583146</v>
      </c>
      <c r="AL237" s="201">
        <f t="shared" ca="1" si="841"/>
        <v>90.706779667636866</v>
      </c>
      <c r="AM237" s="201">
        <f t="shared" ca="1" si="841"/>
        <v>91.000669748496676</v>
      </c>
      <c r="AN237" s="201">
        <f t="shared" ca="1" si="841"/>
        <v>91.295512033590214</v>
      </c>
      <c r="AO237" s="201">
        <f t="shared" ca="1" si="841"/>
        <v>91.591309608060413</v>
      </c>
      <c r="AP237" s="201">
        <f t="shared" ca="1" si="841"/>
        <v>91.888065567046056</v>
      </c>
      <c r="AQ237" s="201">
        <f t="shared" ca="1" si="841"/>
        <v>92.185783015714179</v>
      </c>
      <c r="AR237" s="201">
        <f t="shared" ca="1" si="841"/>
        <v>92.484465069292582</v>
      </c>
      <c r="AS237" s="201">
        <f t="shared" ca="1" si="841"/>
        <v>92.784114853102352</v>
      </c>
      <c r="AT237" s="201">
        <f t="shared" ca="1" si="841"/>
        <v>93.084735502590732</v>
      </c>
      <c r="AU237" s="201">
        <f t="shared" ca="1" si="841"/>
        <v>93.386330163363723</v>
      </c>
      <c r="AV237" s="201">
        <f t="shared" ca="1" si="841"/>
        <v>93.688901991219112</v>
      </c>
      <c r="AW237" s="201">
        <f t="shared" ca="1" si="841"/>
        <v>93.992454152179448</v>
      </c>
      <c r="AX237" s="201">
        <f t="shared" ca="1" si="841"/>
        <v>94.29698982252529</v>
      </c>
      <c r="AY237" s="201">
        <f t="shared" ca="1" si="841"/>
        <v>94.602512188828271</v>
      </c>
      <c r="AZ237" s="201">
        <f t="shared" ca="1" si="841"/>
        <v>94.909024447984521</v>
      </c>
      <c r="BA237" s="201">
        <f t="shared" ca="1" si="841"/>
        <v>95.216529807248151</v>
      </c>
      <c r="BB237" s="201">
        <f t="shared" ca="1" si="841"/>
        <v>95.525031484264787</v>
      </c>
      <c r="BC237" s="201">
        <f t="shared" ca="1" si="841"/>
        <v>95.834532707105154</v>
      </c>
      <c r="BD237" s="201">
        <f t="shared" ca="1" si="841"/>
        <v>96.145036714299039</v>
      </c>
      <c r="BE237" s="201">
        <f t="shared" ca="1" si="841"/>
        <v>96.456546754868953</v>
      </c>
      <c r="BF237" s="201">
        <f t="shared" ca="1" si="841"/>
        <v>96.769066088364397</v>
      </c>
      <c r="BG237" s="201">
        <f t="shared" ca="1" si="841"/>
        <v>97.082597984895656</v>
      </c>
      <c r="BH237" s="201">
        <f t="shared" ca="1" si="841"/>
        <v>97.397145725168301</v>
      </c>
      <c r="BI237" s="201">
        <f t="shared" ca="1" si="841"/>
        <v>97.712712600517264</v>
      </c>
      <c r="BJ237" s="201">
        <f t="shared" ca="1" si="841"/>
        <v>98.029301912941548</v>
      </c>
      <c r="BK237" s="201">
        <f t="shared" ca="1" si="841"/>
        <v>98.346916975138541</v>
      </c>
      <c r="BL237" s="201">
        <f t="shared" ca="1" si="841"/>
        <v>98.665561110538803</v>
      </c>
      <c r="BM237" s="201">
        <f t="shared" ca="1" si="841"/>
        <v>98.985237653340818</v>
      </c>
      <c r="BN237" s="201">
        <f t="shared" ca="1" si="841"/>
        <v>99.305949948545901</v>
      </c>
      <c r="BO237" s="201">
        <f t="shared" ca="1" si="841"/>
        <v>99.627701351993082</v>
      </c>
      <c r="BP237" s="201">
        <f t="shared" ca="1" si="841"/>
        <v>99.950495230394438</v>
      </c>
      <c r="BQ237" s="201">
        <f t="shared" ca="1" si="841"/>
        <v>100.27433496137014</v>
      </c>
      <c r="BR237" s="201">
        <f t="shared" ref="BR237:EC240" ca="1" si="842">600*BR201</f>
        <v>100.59922393348381</v>
      </c>
      <c r="BS237" s="201">
        <f t="shared" ca="1" si="842"/>
        <v>100.92516554627811</v>
      </c>
      <c r="BT237" s="201">
        <f t="shared" ca="1" si="842"/>
        <v>101.25216321031016</v>
      </c>
      <c r="BU237" s="201">
        <f t="shared" ca="1" si="842"/>
        <v>101.58022034718726</v>
      </c>
      <c r="BV237" s="201">
        <f t="shared" ca="1" si="842"/>
        <v>101.90934038960283</v>
      </c>
      <c r="BW237" s="201">
        <f t="shared" ca="1" si="842"/>
        <v>102.23952678137213</v>
      </c>
      <c r="BX237" s="201">
        <f t="shared" ca="1" si="842"/>
        <v>102.57078297746843</v>
      </c>
      <c r="BY237" s="201">
        <f t="shared" ca="1" si="842"/>
        <v>102.90311244405909</v>
      </c>
      <c r="BZ237" s="201">
        <f t="shared" ca="1" si="842"/>
        <v>103.23651865854188</v>
      </c>
      <c r="CA237" s="201">
        <f t="shared" ca="1" si="842"/>
        <v>103.57100510958129</v>
      </c>
      <c r="CB237" s="201">
        <f t="shared" ca="1" si="842"/>
        <v>103.90657529714521</v>
      </c>
      <c r="CC237" s="201">
        <f t="shared" ca="1" si="842"/>
        <v>104.2432327325413</v>
      </c>
      <c r="CD237" s="201">
        <f t="shared" ca="1" si="842"/>
        <v>104.58098093845391</v>
      </c>
      <c r="CE237" s="201">
        <f t="shared" ca="1" si="842"/>
        <v>104.91982344898092</v>
      </c>
      <c r="CF237" s="201">
        <f t="shared" ca="1" si="842"/>
        <v>105.25976380967057</v>
      </c>
      <c r="CG237" s="201">
        <f t="shared" ca="1" si="842"/>
        <v>105.60080557755892</v>
      </c>
      <c r="CH237" s="201">
        <f t="shared" ca="1" si="842"/>
        <v>105.94295232120662</v>
      </c>
      <c r="CI237" s="201">
        <f t="shared" ca="1" si="842"/>
        <v>106.28620762073649</v>
      </c>
      <c r="CJ237" s="201">
        <f t="shared" ca="1" si="842"/>
        <v>106.63057506787105</v>
      </c>
      <c r="CK237" s="201">
        <f t="shared" ca="1" si="842"/>
        <v>106.97605826596991</v>
      </c>
      <c r="CL237" s="201">
        <f t="shared" ca="1" si="842"/>
        <v>107.32266083006763</v>
      </c>
      <c r="CM237" s="201">
        <f t="shared" ca="1" si="842"/>
        <v>107.67038638691146</v>
      </c>
      <c r="CN237" s="201">
        <f t="shared" ca="1" si="842"/>
        <v>108.01923857499931</v>
      </c>
      <c r="CO237" s="201">
        <f t="shared" ca="1" si="842"/>
        <v>108.3692210446178</v>
      </c>
      <c r="CP237" s="201">
        <f t="shared" ca="1" si="842"/>
        <v>108.72033745788058</v>
      </c>
      <c r="CQ237" s="201">
        <f t="shared" ca="1" si="842"/>
        <v>109.07259148876646</v>
      </c>
      <c r="CR237" s="201">
        <f t="shared" ca="1" si="842"/>
        <v>109.42598682315798</v>
      </c>
      <c r="CS237" s="201">
        <f t="shared" ca="1" si="842"/>
        <v>109.78052715887995</v>
      </c>
      <c r="CT237" s="201">
        <f t="shared" ca="1" si="842"/>
        <v>110.13621620573809</v>
      </c>
      <c r="CU237" s="201">
        <f t="shared" ca="1" si="842"/>
        <v>110.493057685558</v>
      </c>
      <c r="CV237" s="201">
        <f t="shared" ca="1" si="842"/>
        <v>110.85105533222391</v>
      </c>
      <c r="CW237" s="201">
        <f t="shared" ca="1" si="842"/>
        <v>111.21021289171784</v>
      </c>
      <c r="CX237" s="201">
        <f t="shared" ca="1" si="842"/>
        <v>111.57053412215886</v>
      </c>
      <c r="CY237" s="201">
        <f t="shared" ca="1" si="842"/>
        <v>111.93202279384225</v>
      </c>
      <c r="CZ237" s="201">
        <f t="shared" ca="1" si="842"/>
        <v>112.29468268927917</v>
      </c>
      <c r="DA237" s="201">
        <f t="shared" ca="1" si="842"/>
        <v>112.65851760323604</v>
      </c>
      <c r="DB237" s="201">
        <f t="shared" ca="1" si="842"/>
        <v>113.02353134277431</v>
      </c>
      <c r="DC237" s="201">
        <f t="shared" ca="1" si="842"/>
        <v>113.38972772729046</v>
      </c>
      <c r="DD237" s="201">
        <f t="shared" ca="1" si="842"/>
        <v>113.75711058855562</v>
      </c>
      <c r="DE237" s="201">
        <f t="shared" ca="1" si="842"/>
        <v>114.12568377075597</v>
      </c>
      <c r="DF237" s="201">
        <f t="shared" ca="1" si="842"/>
        <v>114.49545113053291</v>
      </c>
      <c r="DG237" s="201">
        <f t="shared" ca="1" si="842"/>
        <v>114.86641653702321</v>
      </c>
      <c r="DH237" s="201">
        <f t="shared" ca="1" si="842"/>
        <v>115.23858387189982</v>
      </c>
      <c r="DI237" s="201">
        <f t="shared" ca="1" si="842"/>
        <v>115.61195702941217</v>
      </c>
      <c r="DJ237" s="201">
        <f t="shared" ca="1" si="842"/>
        <v>115.98653991642712</v>
      </c>
      <c r="DK237" s="201">
        <f t="shared" ca="1" si="842"/>
        <v>116.36233645246988</v>
      </c>
      <c r="DL237" s="201">
        <f t="shared" ca="1" si="842"/>
        <v>116.73935056976471</v>
      </c>
      <c r="DM237" s="201">
        <f t="shared" ca="1" si="842"/>
        <v>117.1175862132765</v>
      </c>
      <c r="DN237" s="201">
        <f t="shared" ca="1" si="842"/>
        <v>117.49704734075168</v>
      </c>
      <c r="DO237" s="201">
        <f t="shared" ca="1" si="842"/>
        <v>117.87773792275988</v>
      </c>
      <c r="DP237" s="201">
        <f t="shared" ca="1" si="842"/>
        <v>118.25966194273532</v>
      </c>
      <c r="DQ237" s="201">
        <f t="shared" ca="1" si="842"/>
        <v>118.6428233970186</v>
      </c>
      <c r="DR237" s="201">
        <f t="shared" ca="1" si="842"/>
        <v>119.02722629489843</v>
      </c>
      <c r="DS237" s="201">
        <f t="shared" ca="1" si="842"/>
        <v>119.41287465865362</v>
      </c>
      <c r="DT237" s="201">
        <f t="shared" ca="1" si="842"/>
        <v>119.79977252359518</v>
      </c>
      <c r="DU237" s="201">
        <f t="shared" ca="1" si="842"/>
        <v>120.18792393810857</v>
      </c>
      <c r="DV237" s="201">
        <f t="shared" ca="1" si="842"/>
        <v>120.57733296369594</v>
      </c>
      <c r="DW237" s="201">
        <f t="shared" ca="1" si="842"/>
        <v>120.96800367501879</v>
      </c>
      <c r="DX237" s="201">
        <f t="shared" ca="1" si="842"/>
        <v>121.35994015994049</v>
      </c>
      <c r="DY237" s="201">
        <f t="shared" ca="1" si="842"/>
        <v>121.75314651956911</v>
      </c>
      <c r="DZ237" s="201">
        <f t="shared" ca="1" si="842"/>
        <v>122.14762686830031</v>
      </c>
      <c r="EA237" s="201">
        <f t="shared" ca="1" si="842"/>
        <v>122.54338533386034</v>
      </c>
      <c r="EB237" s="201">
        <f t="shared" ca="1" si="842"/>
        <v>122.94042605734946</v>
      </c>
      <c r="EC237" s="201">
        <f t="shared" ca="1" si="842"/>
        <v>123.33875319328487</v>
      </c>
      <c r="ED237" s="201">
        <f t="shared" ref="ED237:GO241" ca="1" si="843">600*ED201</f>
        <v>123.73837090964454</v>
      </c>
      <c r="EE237" s="201">
        <f t="shared" ca="1" si="843"/>
        <v>124.13928338791074</v>
      </c>
      <c r="EF237" s="201">
        <f t="shared" ca="1" si="843"/>
        <v>124.5414948231136</v>
      </c>
      <c r="EG237" s="201">
        <f t="shared" ca="1" si="843"/>
        <v>124.94500942387531</v>
      </c>
      <c r="EH237" s="201">
        <f t="shared" ca="1" si="843"/>
        <v>125.34983141245391</v>
      </c>
      <c r="EI237" s="201">
        <f t="shared" ca="1" si="843"/>
        <v>125.75596502478757</v>
      </c>
      <c r="EJ237" s="201">
        <f t="shared" ca="1" si="843"/>
        <v>126.16341451053887</v>
      </c>
      <c r="EK237" s="201">
        <f t="shared" ca="1" si="843"/>
        <v>126.57218413313942</v>
      </c>
      <c r="EL237" s="201">
        <f t="shared" ca="1" si="843"/>
        <v>126.98227816983429</v>
      </c>
      <c r="EM237" s="201">
        <f t="shared" ca="1" si="843"/>
        <v>127.39370091172675</v>
      </c>
      <c r="EN237" s="201">
        <f t="shared" ca="1" si="843"/>
        <v>127.80645666382338</v>
      </c>
      <c r="EO237" s="201">
        <f t="shared" ca="1" si="843"/>
        <v>128.22054974507887</v>
      </c>
      <c r="EP237" s="201">
        <f t="shared" ca="1" si="843"/>
        <v>128.63598448844147</v>
      </c>
      <c r="EQ237" s="201">
        <f t="shared" ca="1" si="843"/>
        <v>129.05276524089803</v>
      </c>
      <c r="ER237" s="201">
        <f t="shared" ca="1" si="843"/>
        <v>129.47089636351973</v>
      </c>
      <c r="ES237" s="201">
        <f t="shared" ca="1" si="843"/>
        <v>129.89038223150766</v>
      </c>
      <c r="ET237" s="201">
        <f t="shared" ca="1" si="843"/>
        <v>130.31122723423846</v>
      </c>
      <c r="EU237" s="201">
        <f t="shared" ca="1" si="843"/>
        <v>130.73343577531045</v>
      </c>
      <c r="EV237" s="201">
        <f t="shared" ca="1" si="843"/>
        <v>131.15701227258955</v>
      </c>
      <c r="EW237" s="201">
        <f t="shared" ca="1" si="843"/>
        <v>131.58196115825567</v>
      </c>
      <c r="EX237" s="201">
        <f t="shared" ca="1" si="843"/>
        <v>132.00828687884882</v>
      </c>
      <c r="EY237" s="201">
        <f t="shared" ca="1" si="843"/>
        <v>132.43599389531602</v>
      </c>
      <c r="EZ237" s="201">
        <f t="shared" ca="1" si="843"/>
        <v>132.86508668305754</v>
      </c>
      <c r="FA237" s="201">
        <f t="shared" ca="1" si="843"/>
        <v>133.29556973197413</v>
      </c>
      <c r="FB237" s="201">
        <f t="shared" ca="1" si="843"/>
        <v>133.72744754651373</v>
      </c>
      <c r="FC237" s="201">
        <f t="shared" ca="1" si="843"/>
        <v>134.16072464571872</v>
      </c>
      <c r="FD237" s="201">
        <f t="shared" ca="1" si="843"/>
        <v>134.59540556327323</v>
      </c>
      <c r="FE237" s="201">
        <f t="shared" ca="1" si="843"/>
        <v>135.03149484755039</v>
      </c>
      <c r="FF237" s="201">
        <f t="shared" ca="1" si="843"/>
        <v>135.46899706166027</v>
      </c>
      <c r="FG237" s="201">
        <f t="shared" ca="1" si="843"/>
        <v>135.90791678349726</v>
      </c>
      <c r="FH237" s="201">
        <f t="shared" ca="1" si="843"/>
        <v>136.34825860578817</v>
      </c>
      <c r="FI237" s="201">
        <f t="shared" ca="1" si="843"/>
        <v>136.79002713614037</v>
      </c>
      <c r="FJ237" s="201">
        <f t="shared" ca="1" si="843"/>
        <v>137.23322699708964</v>
      </c>
      <c r="FK237" s="201">
        <f t="shared" ca="1" si="843"/>
        <v>137.67786282614904</v>
      </c>
      <c r="FL237" s="201">
        <f t="shared" ca="1" si="843"/>
        <v>138.12393927585703</v>
      </c>
      <c r="FM237" s="201">
        <f t="shared" ca="1" si="843"/>
        <v>138.57146101382631</v>
      </c>
      <c r="FN237" s="201">
        <f t="shared" ca="1" si="843"/>
        <v>139.02043272279272</v>
      </c>
      <c r="FO237" s="201">
        <f t="shared" ca="1" si="843"/>
        <v>139.47085910066403</v>
      </c>
      <c r="FP237" s="201">
        <f t="shared" ca="1" si="843"/>
        <v>139.92274486056942</v>
      </c>
      <c r="FQ237" s="201">
        <f t="shared" ca="1" si="843"/>
        <v>140.37609473090851</v>
      </c>
      <c r="FR237" s="201">
        <f t="shared" ca="1" si="843"/>
        <v>140.83091345540092</v>
      </c>
      <c r="FS237" s="201">
        <f t="shared" ca="1" si="843"/>
        <v>141.28720579313602</v>
      </c>
      <c r="FT237" s="201">
        <f t="shared" ca="1" si="843"/>
        <v>141.74497651862259</v>
      </c>
      <c r="FU237" s="201">
        <f t="shared" ca="1" si="843"/>
        <v>142.20423042183876</v>
      </c>
      <c r="FV237" s="201">
        <f t="shared" ca="1" si="843"/>
        <v>142.66497230828222</v>
      </c>
      <c r="FW237" s="201">
        <f t="shared" ca="1" si="843"/>
        <v>143.12720699902059</v>
      </c>
      <c r="FX237" s="201">
        <f t="shared" ca="1" si="843"/>
        <v>143.59093933074163</v>
      </c>
      <c r="FY237" s="201">
        <f t="shared" ca="1" si="843"/>
        <v>144.05617415580409</v>
      </c>
      <c r="FZ237" s="201">
        <f t="shared" ca="1" si="843"/>
        <v>144.52291634228817</v>
      </c>
      <c r="GA237" s="201">
        <f t="shared" ca="1" si="843"/>
        <v>144.99117077404685</v>
      </c>
      <c r="GB237" s="201">
        <f t="shared" ca="1" si="843"/>
        <v>145.46094235075677</v>
      </c>
      <c r="GC237" s="201">
        <f t="shared" ca="1" si="843"/>
        <v>145.93223598796942</v>
      </c>
      <c r="GD237" s="201">
        <f t="shared" ca="1" si="843"/>
        <v>146.40505661716278</v>
      </c>
      <c r="GE237" s="201">
        <f t="shared" ca="1" si="843"/>
        <v>146.87940918579281</v>
      </c>
      <c r="GF237" s="201">
        <f t="shared" ca="1" si="843"/>
        <v>147.35529865734523</v>
      </c>
      <c r="GG237" s="201">
        <f t="shared" ca="1" si="843"/>
        <v>147.83273001138747</v>
      </c>
      <c r="GH237" s="201">
        <f t="shared" ca="1" si="843"/>
        <v>148.31170824362067</v>
      </c>
      <c r="GI237" s="201">
        <f t="shared" ca="1" si="843"/>
        <v>148.79223836593223</v>
      </c>
      <c r="GJ237" s="201">
        <f t="shared" ca="1" si="843"/>
        <v>149.27432540644787</v>
      </c>
      <c r="GK237" s="201">
        <f t="shared" ca="1" si="843"/>
        <v>149.75797440958456</v>
      </c>
      <c r="GL237" s="201">
        <f t="shared" ca="1" si="843"/>
        <v>150.24319043610325</v>
      </c>
      <c r="GM237" s="201">
        <f t="shared" ca="1" si="843"/>
        <v>150.72997856316158</v>
      </c>
      <c r="GN237" s="201">
        <f t="shared" ca="1" si="843"/>
        <v>151.21834388436733</v>
      </c>
      <c r="GO237" s="201">
        <f t="shared" ca="1" si="843"/>
        <v>151.70829150983153</v>
      </c>
      <c r="GP237" s="201">
        <f t="shared" ref="GP237:JA240" ca="1" si="844">600*GP201</f>
        <v>152.19982656622199</v>
      </c>
      <c r="GQ237" s="201">
        <f t="shared" ca="1" si="844"/>
        <v>152.69295419681688</v>
      </c>
      <c r="GR237" s="201">
        <f t="shared" ca="1" si="844"/>
        <v>153.1876795615587</v>
      </c>
      <c r="GS237" s="201">
        <f t="shared" ca="1" si="844"/>
        <v>153.68400783710808</v>
      </c>
      <c r="GT237" s="201">
        <f t="shared" ca="1" si="844"/>
        <v>154.18194421689802</v>
      </c>
      <c r="GU237" s="201">
        <f t="shared" ca="1" si="844"/>
        <v>154.68149391118834</v>
      </c>
      <c r="GV237" s="201">
        <f t="shared" ca="1" si="844"/>
        <v>155.18266214712006</v>
      </c>
      <c r="GW237" s="201">
        <f t="shared" ca="1" si="844"/>
        <v>155.68545416877009</v>
      </c>
      <c r="GX237" s="201">
        <f t="shared" ca="1" si="844"/>
        <v>156.18987523720628</v>
      </c>
      <c r="GY237" s="201">
        <f t="shared" ca="1" si="844"/>
        <v>156.69593063054225</v>
      </c>
      <c r="GZ237" s="201">
        <f t="shared" ca="1" si="844"/>
        <v>157.20362564399278</v>
      </c>
      <c r="HA237" s="201">
        <f t="shared" ca="1" si="844"/>
        <v>157.71296558992907</v>
      </c>
      <c r="HB237" s="201">
        <f t="shared" ca="1" si="844"/>
        <v>158.22395579793445</v>
      </c>
      <c r="HC237" s="201">
        <f t="shared" ca="1" si="844"/>
        <v>158.73660161486012</v>
      </c>
      <c r="HD237" s="201">
        <f t="shared" ca="1" si="844"/>
        <v>159.2509084048811</v>
      </c>
      <c r="HE237" s="201">
        <f t="shared" ca="1" si="844"/>
        <v>159.76688154955229</v>
      </c>
      <c r="HF237" s="201">
        <f t="shared" ca="1" si="844"/>
        <v>160.28452644786492</v>
      </c>
      <c r="HG237" s="201">
        <f t="shared" ca="1" si="844"/>
        <v>160.80384851630282</v>
      </c>
      <c r="HH237" s="201">
        <f t="shared" ca="1" si="844"/>
        <v>161.32485318889934</v>
      </c>
      <c r="HI237" s="201">
        <f t="shared" ca="1" si="844"/>
        <v>161.84754591729416</v>
      </c>
      <c r="HJ237" s="201">
        <f t="shared" ca="1" si="844"/>
        <v>162.37193217079007</v>
      </c>
      <c r="HK237" s="201">
        <f t="shared" ca="1" si="844"/>
        <v>162.89801743641067</v>
      </c>
      <c r="HL237" s="201">
        <f t="shared" ca="1" si="844"/>
        <v>163.42580721895729</v>
      </c>
      <c r="HM237" s="201">
        <f t="shared" ca="1" si="844"/>
        <v>163.95530704106699</v>
      </c>
      <c r="HN237" s="201">
        <f t="shared" ca="1" si="844"/>
        <v>164.48652244327016</v>
      </c>
      <c r="HO237" s="201">
        <f t="shared" ca="1" si="844"/>
        <v>165.01945898404833</v>
      </c>
      <c r="HP237" s="201">
        <f t="shared" ca="1" si="844"/>
        <v>165.55412223989279</v>
      </c>
      <c r="HQ237" s="201">
        <f t="shared" ca="1" si="844"/>
        <v>166.09051780536248</v>
      </c>
      <c r="HR237" s="201">
        <f t="shared" ca="1" si="844"/>
        <v>166.62865129314281</v>
      </c>
      <c r="HS237" s="201">
        <f t="shared" ca="1" si="844"/>
        <v>167.1685283341042</v>
      </c>
      <c r="HT237" s="201">
        <f t="shared" ca="1" si="844"/>
        <v>167.71015457736124</v>
      </c>
      <c r="HU237" s="201">
        <f t="shared" ca="1" si="844"/>
        <v>168.25353569033155</v>
      </c>
      <c r="HV237" s="201">
        <f t="shared" ca="1" si="844"/>
        <v>168.7986773587952</v>
      </c>
      <c r="HW237" s="201">
        <f t="shared" ca="1" si="844"/>
        <v>169.34558528695425</v>
      </c>
      <c r="HX237" s="201">
        <f t="shared" ca="1" si="844"/>
        <v>169.8942651974923</v>
      </c>
      <c r="HY237" s="201">
        <f t="shared" ca="1" si="844"/>
        <v>170.44472283163452</v>
      </c>
      <c r="HZ237" s="201">
        <f t="shared" ca="1" si="844"/>
        <v>170.99696394920764</v>
      </c>
      <c r="IA237" s="201">
        <f t="shared" ca="1" si="844"/>
        <v>171.55099432870026</v>
      </c>
      <c r="IB237" s="201">
        <f t="shared" ca="1" si="844"/>
        <v>172.10681976732326</v>
      </c>
      <c r="IC237" s="201">
        <f t="shared" ca="1" si="844"/>
        <v>172.66444608107042</v>
      </c>
      <c r="ID237" s="201">
        <f t="shared" ca="1" si="844"/>
        <v>173.22387910477954</v>
      </c>
      <c r="IE237" s="201">
        <f t="shared" ca="1" si="844"/>
        <v>173.78512469219305</v>
      </c>
      <c r="IF237" s="201">
        <f t="shared" ca="1" si="844"/>
        <v>174.34818871601971</v>
      </c>
      <c r="IG237" s="201">
        <f t="shared" ca="1" si="844"/>
        <v>174.91307706799586</v>
      </c>
      <c r="IH237" s="201">
        <f t="shared" ca="1" si="844"/>
        <v>175.47979565894693</v>
      </c>
      <c r="II237" s="201">
        <f t="shared" ca="1" si="844"/>
        <v>176.04835041884951</v>
      </c>
      <c r="IJ237" s="201">
        <f t="shared" ca="1" si="844"/>
        <v>176.61874729689336</v>
      </c>
      <c r="IK237" s="201">
        <f t="shared" ca="1" si="844"/>
        <v>177.19099226154356</v>
      </c>
      <c r="IL237" s="201">
        <f t="shared" ca="1" si="844"/>
        <v>177.76509130060307</v>
      </c>
      <c r="IM237" s="201">
        <f t="shared" ca="1" si="844"/>
        <v>178.34105042127538</v>
      </c>
      <c r="IN237" s="201">
        <f t="shared" ca="1" si="844"/>
        <v>178.91887565022716</v>
      </c>
      <c r="IO237" s="201">
        <f t="shared" ca="1" si="844"/>
        <v>179.49857303365167</v>
      </c>
      <c r="IP237" s="201">
        <f t="shared" ca="1" si="844"/>
        <v>180.08014863733169</v>
      </c>
      <c r="IQ237" s="201">
        <f t="shared" ca="1" si="844"/>
        <v>180.66360854670336</v>
      </c>
      <c r="IR237" s="201">
        <f t="shared" ca="1" si="844"/>
        <v>181.24895886691937</v>
      </c>
      <c r="IS237" s="201">
        <f t="shared" ca="1" si="844"/>
        <v>181.83620572291335</v>
      </c>
      <c r="IT237" s="201">
        <f t="shared" ca="1" si="844"/>
        <v>182.42535525946352</v>
      </c>
      <c r="IU237" s="201">
        <f t="shared" ca="1" si="844"/>
        <v>183.01641364125734</v>
      </c>
      <c r="IV237" s="201">
        <f t="shared" ca="1" si="844"/>
        <v>183.60938705295587</v>
      </c>
      <c r="IW237" s="201">
        <f t="shared" ca="1" si="844"/>
        <v>184.2042816992583</v>
      </c>
      <c r="IX237" s="201">
        <f t="shared" ca="1" si="844"/>
        <v>184.80110380496725</v>
      </c>
      <c r="IY237" s="201">
        <f t="shared" ca="1" si="844"/>
        <v>185.39985961505363</v>
      </c>
      <c r="IZ237" s="201">
        <f t="shared" ca="1" si="844"/>
        <v>186.00055539472208</v>
      </c>
      <c r="JA237" s="201">
        <f t="shared" ca="1" si="844"/>
        <v>186.6031974294765</v>
      </c>
      <c r="JB237" s="201">
        <f t="shared" ref="JB237:LM241" ca="1" si="845">600*JB201</f>
        <v>187.20779202518577</v>
      </c>
      <c r="JC237" s="201">
        <f t="shared" ca="1" si="845"/>
        <v>187.81434550814996</v>
      </c>
      <c r="JD237" s="201">
        <f t="shared" ca="1" si="845"/>
        <v>188.42286422516614</v>
      </c>
      <c r="JE237" s="201">
        <f t="shared" ca="1" si="845"/>
        <v>189.03335454359521</v>
      </c>
      <c r="JF237" s="201">
        <f t="shared" ca="1" si="845"/>
        <v>189.64582285142819</v>
      </c>
      <c r="JG237" s="201">
        <f t="shared" ca="1" si="845"/>
        <v>190.26027555735325</v>
      </c>
      <c r="JH237" s="201">
        <f t="shared" ca="1" si="845"/>
        <v>190.87671909082277</v>
      </c>
      <c r="JI237" s="201">
        <f t="shared" ca="1" si="845"/>
        <v>191.49515990212055</v>
      </c>
      <c r="JJ237" s="201">
        <f t="shared" ca="1" si="845"/>
        <v>192.11560446242913</v>
      </c>
      <c r="JK237" s="201">
        <f t="shared" ca="1" si="845"/>
        <v>192.73805926389795</v>
      </c>
      <c r="JL237" s="201">
        <f t="shared" ca="1" si="845"/>
        <v>193.36253081971086</v>
      </c>
      <c r="JM237" s="201">
        <f t="shared" ca="1" si="845"/>
        <v>193.98902566415455</v>
      </c>
      <c r="JN237" s="201">
        <f t="shared" ca="1" si="845"/>
        <v>194.61755035268666</v>
      </c>
      <c r="JO237" s="201">
        <f t="shared" ca="1" si="845"/>
        <v>195.24811146200466</v>
      </c>
      <c r="JP237" s="201">
        <f t="shared" ca="1" si="845"/>
        <v>195.88071559011448</v>
      </c>
      <c r="JQ237" s="201">
        <f t="shared" ca="1" si="845"/>
        <v>196.51536935639956</v>
      </c>
      <c r="JR237" s="201">
        <f t="shared" ca="1" si="845"/>
        <v>197.15207940169017</v>
      </c>
      <c r="JS237" s="201">
        <f t="shared" ca="1" si="845"/>
        <v>197.79085238833292</v>
      </c>
      <c r="JT237" s="201">
        <f t="shared" ca="1" si="845"/>
        <v>198.43169500026039</v>
      </c>
      <c r="JU237" s="201">
        <f t="shared" ca="1" si="845"/>
        <v>199.07461394306114</v>
      </c>
      <c r="JV237" s="201">
        <f t="shared" ca="1" si="845"/>
        <v>199.71961594404974</v>
      </c>
      <c r="JW237" s="201">
        <f t="shared" ca="1" si="845"/>
        <v>200.3667077523375</v>
      </c>
      <c r="JX237" s="201">
        <f t="shared" ca="1" si="845"/>
        <v>201.01589613890255</v>
      </c>
      <c r="JY237" s="201">
        <f t="shared" ca="1" si="845"/>
        <v>201.66718789666129</v>
      </c>
      <c r="JZ237" s="201">
        <f t="shared" ca="1" si="845"/>
        <v>202.32058984053901</v>
      </c>
      <c r="KA237" s="201">
        <f t="shared" ca="1" si="845"/>
        <v>202.97610880754138</v>
      </c>
      <c r="KB237" s="201">
        <f t="shared" ca="1" si="845"/>
        <v>203.63375165682604</v>
      </c>
      <c r="KC237" s="201">
        <f t="shared" ca="1" si="845"/>
        <v>204.29352526977414</v>
      </c>
      <c r="KD237" s="201">
        <f t="shared" ca="1" si="845"/>
        <v>204.95543655006284</v>
      </c>
      <c r="KE237" s="201">
        <f t="shared" ca="1" si="845"/>
        <v>205.61949242373692</v>
      </c>
      <c r="KF237" s="201">
        <f t="shared" ca="1" si="845"/>
        <v>206.28569983928173</v>
      </c>
      <c r="KG237" s="201">
        <f t="shared" ca="1" si="845"/>
        <v>206.95406576769551</v>
      </c>
      <c r="KH237" s="201">
        <f t="shared" ca="1" si="845"/>
        <v>207.62459720256285</v>
      </c>
      <c r="KI237" s="201">
        <f t="shared" ca="1" si="845"/>
        <v>208.29730116012732</v>
      </c>
      <c r="KJ237" s="201">
        <f t="shared" ca="1" si="845"/>
        <v>208.97218467936517</v>
      </c>
      <c r="KK237" s="201">
        <f t="shared" ca="1" si="845"/>
        <v>209.64925482205905</v>
      </c>
      <c r="KL237" s="201">
        <f t="shared" ca="1" si="845"/>
        <v>210.32851867287172</v>
      </c>
      <c r="KM237" s="201">
        <f t="shared" ca="1" si="845"/>
        <v>211.00998333942022</v>
      </c>
      <c r="KN237" s="201">
        <f t="shared" ca="1" si="845"/>
        <v>211.69365595235035</v>
      </c>
      <c r="KO237" s="201">
        <f t="shared" ca="1" si="845"/>
        <v>212.37954366541115</v>
      </c>
      <c r="KP237" s="201">
        <f t="shared" ca="1" si="845"/>
        <v>213.06765365552985</v>
      </c>
      <c r="KQ237" s="201">
        <f t="shared" ca="1" si="845"/>
        <v>213.75799312288694</v>
      </c>
      <c r="KR237" s="201">
        <f t="shared" ca="1" si="845"/>
        <v>214.45056929099144</v>
      </c>
      <c r="KS237" s="201">
        <f t="shared" ca="1" si="845"/>
        <v>215.14538940675672</v>
      </c>
      <c r="KT237" s="201">
        <f t="shared" ca="1" si="845"/>
        <v>215.842460740576</v>
      </c>
      <c r="KU237" s="201">
        <f t="shared" ca="1" si="845"/>
        <v>216.54179058639852</v>
      </c>
      <c r="KV237" s="201">
        <f t="shared" ca="1" si="845"/>
        <v>217.24338626180611</v>
      </c>
      <c r="KW237" s="201">
        <f t="shared" ca="1" si="845"/>
        <v>217.94725510808951</v>
      </c>
      <c r="KX237" s="201">
        <f t="shared" ca="1" si="845"/>
        <v>218.65340449032519</v>
      </c>
      <c r="KY237" s="201">
        <f t="shared" ca="1" si="845"/>
        <v>219.36184179745254</v>
      </c>
      <c r="KZ237" s="201">
        <f t="shared" ca="1" si="845"/>
        <v>220.07257444235105</v>
      </c>
      <c r="LA237" s="201">
        <f t="shared" ca="1" si="845"/>
        <v>220.78560986191812</v>
      </c>
      <c r="LB237" s="201">
        <f t="shared" ca="1" si="845"/>
        <v>221.50095551714648</v>
      </c>
      <c r="LC237" s="201">
        <f t="shared" ca="1" si="845"/>
        <v>222.21861889320266</v>
      </c>
      <c r="LD237" s="201">
        <f t="shared" ca="1" si="845"/>
        <v>222.93860749950508</v>
      </c>
      <c r="LE237" s="201">
        <f t="shared" ca="1" si="845"/>
        <v>223.66092886980255</v>
      </c>
      <c r="LF237" s="201">
        <f t="shared" ca="1" si="845"/>
        <v>224.38559056225353</v>
      </c>
      <c r="LG237" s="201">
        <f t="shared" ca="1" si="845"/>
        <v>225.11260015950464</v>
      </c>
      <c r="LH237" s="201">
        <f t="shared" ca="1" si="845"/>
        <v>225.84196526877051</v>
      </c>
      <c r="LI237" s="201">
        <f t="shared" ca="1" si="845"/>
        <v>226.5736935219129</v>
      </c>
      <c r="LJ237" s="201">
        <f t="shared" ca="1" si="845"/>
        <v>227.30779257552115</v>
      </c>
      <c r="LK237" s="201">
        <f t="shared" ca="1" si="845"/>
        <v>228.04427011099162</v>
      </c>
      <c r="LL237" s="201">
        <f t="shared" ca="1" si="845"/>
        <v>228.78313383460861</v>
      </c>
      <c r="LM237" s="201">
        <f t="shared" ca="1" si="845"/>
        <v>229.52439147762473</v>
      </c>
      <c r="LN237" s="201">
        <f t="shared" ref="LN237:NY240" ca="1" si="846">600*LN201</f>
        <v>230.26805079634184</v>
      </c>
      <c r="LO237" s="201">
        <f t="shared" ca="1" si="846"/>
        <v>231.01411957219224</v>
      </c>
      <c r="LP237" s="201">
        <f t="shared" ca="1" si="846"/>
        <v>231.76260561182016</v>
      </c>
      <c r="LQ237" s="201">
        <f t="shared" ca="1" si="846"/>
        <v>232.51351674716324</v>
      </c>
      <c r="LR237" s="201">
        <f t="shared" ca="1" si="846"/>
        <v>233.26686083553466</v>
      </c>
      <c r="LS237" s="201">
        <f t="shared" ca="1" si="846"/>
        <v>234.02264575970528</v>
      </c>
      <c r="LT237" s="201">
        <f t="shared" ca="1" si="846"/>
        <v>234.78087942798629</v>
      </c>
      <c r="LU237" s="201">
        <f t="shared" ca="1" si="846"/>
        <v>235.54156977431154</v>
      </c>
      <c r="LV237" s="201">
        <f t="shared" ca="1" si="846"/>
        <v>236.30472475832119</v>
      </c>
      <c r="LW237" s="201">
        <f t="shared" ca="1" si="846"/>
        <v>237.07035236544428</v>
      </c>
      <c r="LX237" s="201">
        <f t="shared" ca="1" si="846"/>
        <v>237.83846060698295</v>
      </c>
      <c r="LY237" s="201">
        <f t="shared" ca="1" si="846"/>
        <v>238.60905752019585</v>
      </c>
      <c r="LZ237" s="201">
        <f t="shared" ca="1" si="846"/>
        <v>239.38215116838225</v>
      </c>
      <c r="MA237" s="201">
        <f t="shared" ca="1" si="846"/>
        <v>240.15774964096664</v>
      </c>
      <c r="MB237" s="201">
        <f t="shared" ca="1" si="846"/>
        <v>240.93586105358335</v>
      </c>
      <c r="MC237" s="201">
        <f t="shared" ca="1" si="846"/>
        <v>241.71649354816114</v>
      </c>
      <c r="MD237" s="201">
        <f t="shared" ca="1" si="846"/>
        <v>242.4996552930088</v>
      </c>
      <c r="ME237" s="201">
        <f t="shared" ca="1" si="846"/>
        <v>243.28535448290037</v>
      </c>
      <c r="MF237" s="201">
        <f t="shared" ca="1" si="846"/>
        <v>244.07359933916109</v>
      </c>
      <c r="MG237" s="201">
        <f t="shared" ca="1" si="846"/>
        <v>244.8643981097531</v>
      </c>
      <c r="MH237" s="201">
        <f t="shared" ca="1" si="846"/>
        <v>245.65775906936221</v>
      </c>
      <c r="MI237" s="201">
        <f t="shared" ca="1" si="846"/>
        <v>246.45369051948396</v>
      </c>
      <c r="MJ237" s="201">
        <f t="shared" ca="1" si="846"/>
        <v>247.25220078851081</v>
      </c>
      <c r="MK237" s="201">
        <f t="shared" ca="1" si="846"/>
        <v>248.05329823181944</v>
      </c>
      <c r="ML237" s="201">
        <f t="shared" ca="1" si="846"/>
        <v>248.85699123185771</v>
      </c>
      <c r="MM237" s="201">
        <f t="shared" ca="1" si="846"/>
        <v>249.66328819823264</v>
      </c>
      <c r="MN237" s="201">
        <f t="shared" ca="1" si="846"/>
        <v>250.47219756779862</v>
      </c>
      <c r="MO237" s="201">
        <f t="shared" ca="1" si="846"/>
        <v>251.28372780474513</v>
      </c>
      <c r="MP237" s="201">
        <f t="shared" ca="1" si="846"/>
        <v>252.09788740068589</v>
      </c>
      <c r="MQ237" s="201">
        <f t="shared" ca="1" si="846"/>
        <v>252.91468487474737</v>
      </c>
      <c r="MR237" s="201">
        <f t="shared" ca="1" si="846"/>
        <v>253.73412877365794</v>
      </c>
      <c r="MS237" s="201">
        <f t="shared" ca="1" si="846"/>
        <v>254.55622767183758</v>
      </c>
      <c r="MT237" s="201">
        <f t="shared" ca="1" si="846"/>
        <v>255.38099017148713</v>
      </c>
      <c r="MU237" s="201">
        <f t="shared" ca="1" si="846"/>
        <v>256.20842490267887</v>
      </c>
      <c r="MV237" s="201">
        <f t="shared" ca="1" si="846"/>
        <v>257.03854052344627</v>
      </c>
      <c r="MW237" s="201">
        <f t="shared" ca="1" si="846"/>
        <v>257.87134571987497</v>
      </c>
      <c r="MX237" s="201">
        <f t="shared" ca="1" si="846"/>
        <v>258.70684920619351</v>
      </c>
      <c r="MY237" s="201">
        <f t="shared" ca="1" si="846"/>
        <v>259.54505972486464</v>
      </c>
      <c r="MZ237" s="201">
        <f t="shared" ca="1" si="846"/>
        <v>260.38598604667652</v>
      </c>
      <c r="NA237" s="201">
        <f t="shared" ca="1" si="846"/>
        <v>261.22963697083469</v>
      </c>
      <c r="NB237" s="201">
        <f t="shared" ca="1" si="846"/>
        <v>262.0760213250544</v>
      </c>
      <c r="NC237" s="201">
        <f t="shared" ca="1" si="846"/>
        <v>262.92514796565229</v>
      </c>
      <c r="ND237" s="201">
        <f t="shared" ca="1" si="846"/>
        <v>263.77702577763984</v>
      </c>
      <c r="NE237" s="201">
        <f t="shared" ca="1" si="846"/>
        <v>264.6316636748158</v>
      </c>
      <c r="NF237" s="201">
        <f t="shared" ca="1" si="846"/>
        <v>265.48907059985964</v>
      </c>
      <c r="NG237" s="201">
        <f t="shared" ca="1" si="846"/>
        <v>266.34925552442513</v>
      </c>
      <c r="NH237" s="201">
        <f t="shared" ca="1" si="846"/>
        <v>267.21222744923432</v>
      </c>
      <c r="NI237" s="201">
        <f t="shared" ca="1" si="846"/>
        <v>268.07799540417147</v>
      </c>
      <c r="NJ237" s="201">
        <f t="shared" ca="1" si="846"/>
        <v>268.94656844837772</v>
      </c>
      <c r="NK237" s="201">
        <f t="shared" ca="1" si="846"/>
        <v>269.81795567034595</v>
      </c>
      <c r="NL237" s="201">
        <f t="shared" ca="1" si="846"/>
        <v>270.69216618801562</v>
      </c>
      <c r="NM237" s="201">
        <f t="shared" ca="1" si="846"/>
        <v>271.56920914886825</v>
      </c>
      <c r="NN237" s="201">
        <f t="shared" ca="1" si="846"/>
        <v>272.44909373002349</v>
      </c>
      <c r="NO237" s="201">
        <f t="shared" ca="1" si="846"/>
        <v>273.33182913833451</v>
      </c>
      <c r="NP237" s="201">
        <f t="shared" ca="1" si="846"/>
        <v>274.21742461048518</v>
      </c>
      <c r="NQ237" s="201">
        <f t="shared" ca="1" si="846"/>
        <v>275.10588941308578</v>
      </c>
      <c r="NR237" s="201">
        <f t="shared" ca="1" si="846"/>
        <v>275.99723284277053</v>
      </c>
      <c r="NS237" s="201">
        <f t="shared" ca="1" si="846"/>
        <v>276.89146422629511</v>
      </c>
      <c r="NT237" s="201">
        <f t="shared" ca="1" si="846"/>
        <v>277.78859292063345</v>
      </c>
      <c r="NU237" s="201">
        <f t="shared" ca="1" si="846"/>
        <v>278.68862831307609</v>
      </c>
      <c r="NV237" s="201">
        <f t="shared" ca="1" si="846"/>
        <v>279.59157982132882</v>
      </c>
      <c r="NW237" s="201">
        <f t="shared" ca="1" si="846"/>
        <v>280.49745689361043</v>
      </c>
      <c r="NX237" s="201">
        <f t="shared" ca="1" si="846"/>
        <v>281.40626900875208</v>
      </c>
      <c r="NY237" s="201">
        <f t="shared" ca="1" si="846"/>
        <v>282.31802567629637</v>
      </c>
      <c r="NZ237" s="201">
        <f t="shared" ref="NZ237:QK241" ca="1" si="847">600*NZ201</f>
        <v>283.23273643659678</v>
      </c>
      <c r="OA237" s="201">
        <f t="shared" ca="1" si="847"/>
        <v>284.15041086091765</v>
      </c>
      <c r="OB237" s="201">
        <f t="shared" ca="1" si="847"/>
        <v>285.07105855153412</v>
      </c>
      <c r="OC237" s="201">
        <f t="shared" ca="1" si="847"/>
        <v>285.99468914183268</v>
      </c>
      <c r="OD237" s="201">
        <f t="shared" ca="1" si="847"/>
        <v>286.92131229641211</v>
      </c>
      <c r="OE237" s="201">
        <f t="shared" ca="1" si="847"/>
        <v>287.85093771118454</v>
      </c>
      <c r="OF237" s="201">
        <f t="shared" ca="1" si="847"/>
        <v>288.78357511347667</v>
      </c>
      <c r="OG237" s="201">
        <f t="shared" ca="1" si="847"/>
        <v>289.71923426213198</v>
      </c>
      <c r="OH237" s="201">
        <f t="shared" ca="1" si="847"/>
        <v>290.6579249476124</v>
      </c>
      <c r="OI237" s="201">
        <f t="shared" ca="1" si="847"/>
        <v>291.59965699210119</v>
      </c>
      <c r="OJ237" s="201">
        <f t="shared" ca="1" si="847"/>
        <v>292.54444024960537</v>
      </c>
      <c r="OK237" s="201">
        <f t="shared" ca="1" si="847"/>
        <v>293.49228460605894</v>
      </c>
      <c r="OL237" s="201">
        <f t="shared" ca="1" si="847"/>
        <v>294.44319997942631</v>
      </c>
      <c r="OM237" s="201">
        <f t="shared" ca="1" si="847"/>
        <v>295.3971963198062</v>
      </c>
      <c r="ON237" s="201">
        <f t="shared" ca="1" si="847"/>
        <v>296.35428360953568</v>
      </c>
      <c r="OO237" s="201">
        <f t="shared" ca="1" si="847"/>
        <v>297.31447186329461</v>
      </c>
      <c r="OP237" s="201">
        <f t="shared" ca="1" si="847"/>
        <v>298.27777112821013</v>
      </c>
      <c r="OQ237" s="201">
        <f t="shared" ca="1" si="847"/>
        <v>299.24419148396265</v>
      </c>
      <c r="OR237" s="201">
        <f t="shared" ca="1" si="847"/>
        <v>300.21374304289009</v>
      </c>
      <c r="OS237" s="201">
        <f t="shared" ca="1" si="847"/>
        <v>301.18643595009485</v>
      </c>
      <c r="OT237" s="201">
        <f t="shared" ca="1" si="847"/>
        <v>302.16228038354944</v>
      </c>
      <c r="OU237" s="201">
        <f t="shared" ca="1" si="847"/>
        <v>303.14128655420268</v>
      </c>
      <c r="OV237" s="201">
        <f t="shared" ca="1" si="847"/>
        <v>304.1234647060873</v>
      </c>
      <c r="OW237" s="201">
        <f t="shared" ca="1" si="847"/>
        <v>305.10882511642632</v>
      </c>
      <c r="OX237" s="201">
        <f t="shared" ca="1" si="847"/>
        <v>306.09737809574131</v>
      </c>
      <c r="OY237" s="201">
        <f t="shared" ca="1" si="847"/>
        <v>307.08913398795966</v>
      </c>
      <c r="OZ237" s="201">
        <f t="shared" ca="1" si="847"/>
        <v>308.08410317052324</v>
      </c>
      <c r="PA237" s="201">
        <f t="shared" ca="1" si="847"/>
        <v>309.08229605449702</v>
      </c>
      <c r="PB237" s="201">
        <f t="shared" ca="1" si="847"/>
        <v>310.08372308467744</v>
      </c>
      <c r="PC237" s="201">
        <f t="shared" ca="1" si="847"/>
        <v>311.08839473970238</v>
      </c>
      <c r="PD237" s="201">
        <f t="shared" ca="1" si="847"/>
        <v>312.0963215321604</v>
      </c>
      <c r="PE237" s="201">
        <f t="shared" ca="1" si="847"/>
        <v>313.10751400870095</v>
      </c>
      <c r="PF237" s="201">
        <f t="shared" ca="1" si="847"/>
        <v>314.12198275014453</v>
      </c>
      <c r="PG237" s="201">
        <f t="shared" ca="1" si="847"/>
        <v>315.13973837159364</v>
      </c>
      <c r="PH237" s="201">
        <f t="shared" ca="1" si="847"/>
        <v>316.16079152254366</v>
      </c>
      <c r="PI237" s="201">
        <f t="shared" ca="1" si="847"/>
        <v>317.18515288699427</v>
      </c>
      <c r="PJ237" s="201">
        <f t="shared" ca="1" si="847"/>
        <v>318.21283318356149</v>
      </c>
      <c r="PK237" s="201">
        <f t="shared" ca="1" si="847"/>
        <v>319.2438431655894</v>
      </c>
      <c r="PL237" s="201">
        <f t="shared" ca="1" si="847"/>
        <v>320.27819362126337</v>
      </c>
      <c r="PM237" s="201">
        <f t="shared" ca="1" si="847"/>
        <v>321.3158953737219</v>
      </c>
      <c r="PN237" s="201">
        <f t="shared" ca="1" si="847"/>
        <v>322.35695928117116</v>
      </c>
      <c r="PO237" s="201">
        <f t="shared" ca="1" si="847"/>
        <v>323.4013962369973</v>
      </c>
      <c r="PP237" s="201">
        <f t="shared" ca="1" si="847"/>
        <v>324.44921716988159</v>
      </c>
      <c r="PQ237" s="201">
        <f t="shared" ca="1" si="847"/>
        <v>325.50043304391374</v>
      </c>
      <c r="PR237" s="201">
        <f t="shared" ca="1" si="847"/>
        <v>326.55505485870742</v>
      </c>
      <c r="PS237" s="201">
        <f t="shared" ca="1" si="847"/>
        <v>327.61309364951512</v>
      </c>
      <c r="PT237" s="201">
        <f t="shared" ca="1" si="847"/>
        <v>328.67456048734334</v>
      </c>
      <c r="PU237" s="201">
        <f t="shared" ca="1" si="847"/>
        <v>329.73946647906882</v>
      </c>
      <c r="PV237" s="201">
        <f t="shared" ca="1" si="847"/>
        <v>330.80782276755446</v>
      </c>
      <c r="PW237" s="201">
        <f t="shared" ca="1" si="847"/>
        <v>331.87964053176631</v>
      </c>
      <c r="PX237" s="201">
        <f t="shared" ca="1" si="847"/>
        <v>332.95493098688979</v>
      </c>
      <c r="PY237" s="201">
        <f t="shared" ca="1" si="847"/>
        <v>334.03370538444807</v>
      </c>
      <c r="PZ237" s="201">
        <f t="shared" ca="1" si="847"/>
        <v>335.11597501241903</v>
      </c>
      <c r="QA237" s="201">
        <f t="shared" ca="1" si="847"/>
        <v>336.20175119535361</v>
      </c>
      <c r="QB237" s="201">
        <f t="shared" ca="1" si="847"/>
        <v>337.29104529449432</v>
      </c>
      <c r="QC237" s="201">
        <f t="shared" ca="1" si="847"/>
        <v>338.38386870789412</v>
      </c>
      <c r="QD237" s="201">
        <f t="shared" ca="1" si="847"/>
        <v>339.4802328705357</v>
      </c>
      <c r="QE237" s="201">
        <f t="shared" ca="1" si="847"/>
        <v>340.58014925445099</v>
      </c>
      <c r="QF237" s="201">
        <f t="shared" ca="1" si="847"/>
        <v>341.68362936884148</v>
      </c>
      <c r="QG237" s="201">
        <f t="shared" ca="1" si="847"/>
        <v>342.79068476019836</v>
      </c>
      <c r="QH237" s="201">
        <f t="shared" ca="1" si="847"/>
        <v>343.90132701242362</v>
      </c>
      <c r="QI237" s="201">
        <f t="shared" ca="1" si="847"/>
        <v>345.01556774695098</v>
      </c>
      <c r="QJ237" s="201">
        <f t="shared" ca="1" si="847"/>
        <v>346.13341862286762</v>
      </c>
      <c r="QK237" s="201">
        <f t="shared" ca="1" si="847"/>
        <v>347.25489133703616</v>
      </c>
      <c r="QL237" s="201">
        <f t="shared" ref="QL237:RR241" ca="1" si="848">600*QL201</f>
        <v>348.37999762421725</v>
      </c>
      <c r="QM237" s="201">
        <f t="shared" ca="1" si="848"/>
        <v>349.50874925719199</v>
      </c>
      <c r="QN237" s="201">
        <f t="shared" ca="1" si="848"/>
        <v>350.64115804688527</v>
      </c>
      <c r="QO237" s="201">
        <f t="shared" ca="1" si="848"/>
        <v>351.77723584248963</v>
      </c>
      <c r="QP237" s="201">
        <f t="shared" ca="1" si="848"/>
        <v>352.91699453158878</v>
      </c>
      <c r="QQ237" s="201">
        <f t="shared" ca="1" si="848"/>
        <v>354.06044604028227</v>
      </c>
      <c r="QR237" s="201">
        <f t="shared" ca="1" si="848"/>
        <v>355.20760233331038</v>
      </c>
      <c r="QS237" s="201">
        <f t="shared" ca="1" si="848"/>
        <v>356.35847541417888</v>
      </c>
      <c r="QT237" s="201">
        <f t="shared" ca="1" si="848"/>
        <v>357.51307732528528</v>
      </c>
      <c r="QU237" s="201">
        <f t="shared" ca="1" si="848"/>
        <v>358.67142014804398</v>
      </c>
      <c r="QV237" s="201">
        <f t="shared" ca="1" si="848"/>
        <v>359.8335160030137</v>
      </c>
      <c r="QW237" s="201">
        <f t="shared" ca="1" si="848"/>
        <v>360.99937705002338</v>
      </c>
      <c r="QX237" s="201">
        <f t="shared" ca="1" si="848"/>
        <v>362.16901548830009</v>
      </c>
      <c r="QY237" s="201">
        <f t="shared" ca="1" si="848"/>
        <v>363.34244355659649</v>
      </c>
      <c r="QZ237" s="201">
        <f t="shared" ca="1" si="848"/>
        <v>364.51967353331833</v>
      </c>
      <c r="RA237" s="201">
        <f t="shared" ca="1" si="848"/>
        <v>365.70071773665393</v>
      </c>
      <c r="RB237" s="201">
        <f t="shared" ca="1" si="848"/>
        <v>366.88558852470226</v>
      </c>
      <c r="RC237" s="201">
        <f t="shared" ca="1" si="848"/>
        <v>368.07429829560255</v>
      </c>
      <c r="RD237" s="201">
        <f t="shared" ca="1" si="848"/>
        <v>369.26685948766425</v>
      </c>
      <c r="RE237" s="201">
        <f t="shared" ca="1" si="848"/>
        <v>370.4632845794967</v>
      </c>
      <c r="RF237" s="201">
        <f t="shared" ca="1" si="848"/>
        <v>371.66358609014009</v>
      </c>
      <c r="RG237" s="201">
        <f t="shared" ca="1" si="848"/>
        <v>372.86777657919617</v>
      </c>
      <c r="RH237" s="201">
        <f t="shared" ca="1" si="848"/>
        <v>374.07586864696003</v>
      </c>
      <c r="RI237" s="201">
        <f t="shared" ca="1" si="848"/>
        <v>375.28787493455161</v>
      </c>
      <c r="RJ237" s="201">
        <f t="shared" ca="1" si="848"/>
        <v>376.50380812404808</v>
      </c>
      <c r="RK237" s="201">
        <f t="shared" ca="1" si="848"/>
        <v>377.7236809386165</v>
      </c>
      <c r="RL237" s="201">
        <f t="shared" ca="1" si="848"/>
        <v>378.94750614264723</v>
      </c>
      <c r="RM237" s="201">
        <f t="shared" ca="1" si="848"/>
        <v>380.17529654188706</v>
      </c>
      <c r="RN237" s="201">
        <f t="shared" ca="1" si="848"/>
        <v>381.40706498357338</v>
      </c>
      <c r="RO237" s="201">
        <f t="shared" ca="1" si="848"/>
        <v>382.64282435656895</v>
      </c>
      <c r="RP237" s="201">
        <f t="shared" ca="1" si="848"/>
        <v>383.88258759149613</v>
      </c>
      <c r="RQ237" s="201">
        <f t="shared" ca="1" si="848"/>
        <v>385.12636766087269</v>
      </c>
      <c r="RR237" s="201">
        <f t="shared" ca="1" si="848"/>
        <v>386.37417757924737</v>
      </c>
      <c r="RS237" s="201"/>
    </row>
    <row r="238" spans="1:487">
      <c r="D238" s="9" t="str">
        <f t="shared" ref="D238:D241" si="849">D202</f>
        <v>Oil/Diesel Linked Gas</v>
      </c>
      <c r="E238" s="201">
        <f t="shared" ref="E238:T241" si="850">600*E202</f>
        <v>64.808869991823386</v>
      </c>
      <c r="F238" s="201">
        <f t="shared" ca="1" si="850"/>
        <v>64.95574854793928</v>
      </c>
      <c r="G238" s="201">
        <f t="shared" ca="1" si="850"/>
        <v>65.103102990762764</v>
      </c>
      <c r="H238" s="201">
        <f t="shared" ca="1" si="850"/>
        <v>65.250934862167398</v>
      </c>
      <c r="I238" s="201">
        <f t="shared" ca="1" si="850"/>
        <v>65.399245709022381</v>
      </c>
      <c r="J238" s="201">
        <f t="shared" ca="1" si="850"/>
        <v>65.548037083208769</v>
      </c>
      <c r="K238" s="201">
        <f t="shared" ca="1" si="850"/>
        <v>65.69731054163573</v>
      </c>
      <c r="L238" s="201">
        <f t="shared" ca="1" si="850"/>
        <v>65.847067646256804</v>
      </c>
      <c r="M238" s="201">
        <f t="shared" ca="1" si="850"/>
        <v>65.997309964086284</v>
      </c>
      <c r="N238" s="201">
        <f t="shared" ca="1" si="850"/>
        <v>66.148039067215592</v>
      </c>
      <c r="O238" s="201">
        <f t="shared" ca="1" si="850"/>
        <v>66.299256532829673</v>
      </c>
      <c r="P238" s="201">
        <f t="shared" ca="1" si="850"/>
        <v>66.450963943223641</v>
      </c>
      <c r="Q238" s="201">
        <f t="shared" ca="1" si="850"/>
        <v>66.603162885819174</v>
      </c>
      <c r="R238" s="201">
        <f t="shared" ca="1" si="850"/>
        <v>66.755854953181256</v>
      </c>
      <c r="S238" s="201">
        <f t="shared" ca="1" si="850"/>
        <v>66.909041743034692</v>
      </c>
      <c r="T238" s="201">
        <f t="shared" ca="1" si="850"/>
        <v>67.062724858281058</v>
      </c>
      <c r="U238" s="201">
        <f t="shared" ca="1" si="841"/>
        <v>67.216905907015189</v>
      </c>
      <c r="V238" s="201">
        <f t="shared" ca="1" si="841"/>
        <v>67.371586502542272</v>
      </c>
      <c r="W238" s="201">
        <f t="shared" ca="1" si="841"/>
        <v>67.526768263394516</v>
      </c>
      <c r="X238" s="201">
        <f t="shared" ca="1" si="841"/>
        <v>67.682452813348206</v>
      </c>
      <c r="Y238" s="201">
        <f t="shared" ca="1" si="841"/>
        <v>67.838641781440685</v>
      </c>
      <c r="Z238" s="201">
        <f t="shared" ca="1" si="841"/>
        <v>67.995336801987335</v>
      </c>
      <c r="AA238" s="201">
        <f t="shared" ca="1" si="841"/>
        <v>68.152539514598772</v>
      </c>
      <c r="AB238" s="201">
        <f t="shared" ca="1" si="841"/>
        <v>68.310251564197927</v>
      </c>
      <c r="AC238" s="201">
        <f t="shared" ca="1" si="841"/>
        <v>68.468474601037272</v>
      </c>
      <c r="AD238" s="201">
        <f t="shared" ca="1" si="841"/>
        <v>68.627210280716099</v>
      </c>
      <c r="AE238" s="201">
        <f t="shared" ca="1" si="841"/>
        <v>68.786460264197885</v>
      </c>
      <c r="AF238" s="201">
        <f t="shared" ca="1" si="841"/>
        <v>68.946226217827615</v>
      </c>
      <c r="AG238" s="201">
        <f t="shared" ca="1" si="841"/>
        <v>69.106509813349163</v>
      </c>
      <c r="AH238" s="201">
        <f t="shared" ca="1" si="841"/>
        <v>69.267312727922956</v>
      </c>
      <c r="AI238" s="201">
        <f t="shared" ca="1" si="841"/>
        <v>69.428636644143367</v>
      </c>
      <c r="AJ238" s="201">
        <f t="shared" ca="1" si="841"/>
        <v>69.590483250056394</v>
      </c>
      <c r="AK238" s="201">
        <f t="shared" ca="1" si="841"/>
        <v>69.75285423917731</v>
      </c>
      <c r="AL238" s="201">
        <f t="shared" ca="1" si="841"/>
        <v>69.915751310508341</v>
      </c>
      <c r="AM238" s="201">
        <f t="shared" ca="1" si="841"/>
        <v>70.079176168556558</v>
      </c>
      <c r="AN238" s="201">
        <f t="shared" ca="1" si="841"/>
        <v>70.243130523351567</v>
      </c>
      <c r="AO238" s="201">
        <f t="shared" ca="1" si="841"/>
        <v>70.407616090463492</v>
      </c>
      <c r="AP238" s="201">
        <f t="shared" ca="1" si="841"/>
        <v>70.572634591020929</v>
      </c>
      <c r="AQ238" s="201">
        <f t="shared" ca="1" si="841"/>
        <v>70.738187751728915</v>
      </c>
      <c r="AR238" s="201">
        <f t="shared" ca="1" si="841"/>
        <v>70.904277304886989</v>
      </c>
      <c r="AS238" s="201">
        <f t="shared" ca="1" si="841"/>
        <v>71.070904988407392</v>
      </c>
      <c r="AT238" s="201">
        <f t="shared" ca="1" si="841"/>
        <v>71.238072545833163</v>
      </c>
      <c r="AU238" s="201">
        <f t="shared" ca="1" si="841"/>
        <v>71.405781726356466</v>
      </c>
      <c r="AV238" s="201">
        <f t="shared" ca="1" si="841"/>
        <v>71.574034284836785</v>
      </c>
      <c r="AW238" s="201">
        <f t="shared" ca="1" si="841"/>
        <v>71.742831981819407</v>
      </c>
      <c r="AX238" s="201">
        <f t="shared" ca="1" si="841"/>
        <v>71.912176583553787</v>
      </c>
      <c r="AY238" s="201">
        <f t="shared" ca="1" si="841"/>
        <v>72.082069862011977</v>
      </c>
      <c r="AZ238" s="201">
        <f t="shared" ca="1" si="841"/>
        <v>72.252513594907285</v>
      </c>
      <c r="BA238" s="201">
        <f t="shared" ca="1" si="841"/>
        <v>72.423509565712763</v>
      </c>
      <c r="BB238" s="201">
        <f t="shared" ca="1" si="841"/>
        <v>72.595059563679939</v>
      </c>
      <c r="BC238" s="201">
        <f t="shared" ca="1" si="841"/>
        <v>72.767165383857531</v>
      </c>
      <c r="BD238" s="201">
        <f t="shared" ca="1" si="841"/>
        <v>72.939828827110219</v>
      </c>
      <c r="BE238" s="201">
        <f t="shared" ca="1" si="841"/>
        <v>73.113051700137419</v>
      </c>
      <c r="BF238" s="201">
        <f t="shared" ca="1" si="841"/>
        <v>73.286835815492353</v>
      </c>
      <c r="BG238" s="201">
        <f t="shared" ca="1" si="841"/>
        <v>73.46118299160085</v>
      </c>
      <c r="BH238" s="201">
        <f t="shared" ca="1" si="841"/>
        <v>73.63609505278049</v>
      </c>
      <c r="BI238" s="201">
        <f t="shared" ca="1" si="841"/>
        <v>73.811573829259601</v>
      </c>
      <c r="BJ238" s="201">
        <f t="shared" ca="1" si="841"/>
        <v>73.987621157196457</v>
      </c>
      <c r="BK238" s="201">
        <f t="shared" ca="1" si="841"/>
        <v>74.164238878698526</v>
      </c>
      <c r="BL238" s="201">
        <f t="shared" ca="1" si="841"/>
        <v>74.341428841841662</v>
      </c>
      <c r="BM238" s="201">
        <f t="shared" ca="1" si="841"/>
        <v>74.519192900689532</v>
      </c>
      <c r="BN238" s="201">
        <f t="shared" ca="1" si="841"/>
        <v>74.697532915312905</v>
      </c>
      <c r="BO238" s="201">
        <f t="shared" ca="1" si="841"/>
        <v>74.876450751809244</v>
      </c>
      <c r="BP238" s="201">
        <f t="shared" ca="1" si="841"/>
        <v>75.055948282322149</v>
      </c>
      <c r="BQ238" s="201">
        <f t="shared" ca="1" si="841"/>
        <v>75.236027385060964</v>
      </c>
      <c r="BR238" s="201">
        <f t="shared" ca="1" si="842"/>
        <v>75.416689944320439</v>
      </c>
      <c r="BS238" s="201">
        <f t="shared" ca="1" si="842"/>
        <v>75.597937850500443</v>
      </c>
      <c r="BT238" s="201">
        <f t="shared" ca="1" si="842"/>
        <v>75.779773000125729</v>
      </c>
      <c r="BU238" s="201">
        <f t="shared" ca="1" si="842"/>
        <v>75.96219729586582</v>
      </c>
      <c r="BV238" s="201">
        <f t="shared" ca="1" si="842"/>
        <v>76.145212646554839</v>
      </c>
      <c r="BW238" s="201">
        <f t="shared" ca="1" si="842"/>
        <v>76.328820967211612</v>
      </c>
      <c r="BX238" s="201">
        <f t="shared" ca="1" si="842"/>
        <v>76.513024179059542</v>
      </c>
      <c r="BY238" s="201">
        <f t="shared" ca="1" si="842"/>
        <v>76.697824209546866</v>
      </c>
      <c r="BZ238" s="201">
        <f t="shared" ca="1" si="842"/>
        <v>76.88322299236674</v>
      </c>
      <c r="CA238" s="201">
        <f t="shared" ca="1" si="842"/>
        <v>77.069222467477459</v>
      </c>
      <c r="CB238" s="201">
        <f t="shared" ca="1" si="842"/>
        <v>77.255824581122795</v>
      </c>
      <c r="CC238" s="201">
        <f t="shared" ca="1" si="842"/>
        <v>77.443031285852399</v>
      </c>
      <c r="CD238" s="201">
        <f t="shared" ca="1" si="842"/>
        <v>77.630844540542128</v>
      </c>
      <c r="CE238" s="201">
        <f t="shared" ca="1" si="842"/>
        <v>77.819266310414605</v>
      </c>
      <c r="CF238" s="201">
        <f t="shared" ca="1" si="842"/>
        <v>78.008298567059796</v>
      </c>
      <c r="CG238" s="201">
        <f t="shared" ca="1" si="842"/>
        <v>78.197943288455676</v>
      </c>
      <c r="CH238" s="201">
        <f t="shared" ca="1" si="842"/>
        <v>78.388202458988715</v>
      </c>
      <c r="CI238" s="201">
        <f t="shared" ca="1" si="842"/>
        <v>78.579078069474988</v>
      </c>
      <c r="CJ238" s="201">
        <f t="shared" ca="1" si="842"/>
        <v>78.770572117180635</v>
      </c>
      <c r="CK238" s="201">
        <f t="shared" ca="1" si="842"/>
        <v>78.962686605843089</v>
      </c>
      <c r="CL238" s="201">
        <f t="shared" ca="1" si="842"/>
        <v>79.155423545691818</v>
      </c>
      <c r="CM238" s="201">
        <f t="shared" ca="1" si="842"/>
        <v>79.348784953469462</v>
      </c>
      <c r="CN238" s="201">
        <f t="shared" ca="1" si="842"/>
        <v>79.542772852452885</v>
      </c>
      <c r="CO238" s="201">
        <f t="shared" ca="1" si="842"/>
        <v>79.737389272474374</v>
      </c>
      <c r="CP238" s="201">
        <f t="shared" ca="1" si="842"/>
        <v>79.932636249942931</v>
      </c>
      <c r="CQ238" s="201">
        <f t="shared" ca="1" si="842"/>
        <v>80.128515827865456</v>
      </c>
      <c r="CR238" s="201">
        <f t="shared" ca="1" si="842"/>
        <v>80.325030055868211</v>
      </c>
      <c r="CS238" s="201">
        <f t="shared" ca="1" si="842"/>
        <v>80.522180990218288</v>
      </c>
      <c r="CT238" s="201">
        <f t="shared" ca="1" si="842"/>
        <v>80.719970693845028</v>
      </c>
      <c r="CU238" s="201">
        <f t="shared" ca="1" si="842"/>
        <v>80.918401236361703</v>
      </c>
      <c r="CV238" s="201">
        <f t="shared" ca="1" si="842"/>
        <v>81.117474694087122</v>
      </c>
      <c r="CW238" s="201">
        <f t="shared" ca="1" si="842"/>
        <v>81.317193150067411</v>
      </c>
      <c r="CX238" s="201">
        <f t="shared" ca="1" si="842"/>
        <v>81.517558694097687</v>
      </c>
      <c r="CY238" s="201">
        <f t="shared" ca="1" si="842"/>
        <v>81.718573422744072</v>
      </c>
      <c r="CZ238" s="201">
        <f t="shared" ca="1" si="842"/>
        <v>81.920239439365517</v>
      </c>
      <c r="DA238" s="201">
        <f t="shared" ca="1" si="842"/>
        <v>82.122558854135917</v>
      </c>
      <c r="DB238" s="201">
        <f t="shared" ca="1" si="842"/>
        <v>82.325533784066096</v>
      </c>
      <c r="DC238" s="201">
        <f t="shared" ca="1" si="842"/>
        <v>82.529166353026</v>
      </c>
      <c r="DD238" s="201">
        <f t="shared" ca="1" si="842"/>
        <v>82.733458691766899</v>
      </c>
      <c r="DE238" s="201">
        <f t="shared" ca="1" si="842"/>
        <v>82.938412937943752</v>
      </c>
      <c r="DF238" s="201">
        <f t="shared" ca="1" si="842"/>
        <v>83.144031236137451</v>
      </c>
      <c r="DG238" s="201">
        <f t="shared" ca="1" si="842"/>
        <v>83.350315737877409</v>
      </c>
      <c r="DH238" s="201">
        <f t="shared" ca="1" si="842"/>
        <v>83.557268601663921</v>
      </c>
      <c r="DI238" s="201">
        <f t="shared" ca="1" si="842"/>
        <v>83.764891992990883</v>
      </c>
      <c r="DJ238" s="201">
        <f t="shared" ca="1" si="842"/>
        <v>83.97318808436836</v>
      </c>
      <c r="DK238" s="201">
        <f t="shared" ca="1" si="842"/>
        <v>84.182159055345394</v>
      </c>
      <c r="DL238" s="201">
        <f t="shared" ca="1" si="842"/>
        <v>84.39180709253273</v>
      </c>
      <c r="DM238" s="201">
        <f t="shared" ca="1" si="842"/>
        <v>84.602134389625718</v>
      </c>
      <c r="DN238" s="201">
        <f t="shared" ca="1" si="842"/>
        <v>84.81314314742734</v>
      </c>
      <c r="DO238" s="201">
        <f t="shared" ca="1" si="842"/>
        <v>85.024835573871144</v>
      </c>
      <c r="DP238" s="201">
        <f t="shared" ca="1" si="842"/>
        <v>85.237213884044408</v>
      </c>
      <c r="DQ238" s="201">
        <f t="shared" ca="1" si="842"/>
        <v>85.45028030021129</v>
      </c>
      <c r="DR238" s="201">
        <f t="shared" ca="1" si="842"/>
        <v>85.664037051836047</v>
      </c>
      <c r="DS238" s="201">
        <f t="shared" ca="1" si="842"/>
        <v>85.878486375606442</v>
      </c>
      <c r="DT238" s="201">
        <f t="shared" ca="1" si="842"/>
        <v>86.093630515457136</v>
      </c>
      <c r="DU238" s="201">
        <f t="shared" ca="1" si="842"/>
        <v>86.309471722593088</v>
      </c>
      <c r="DV238" s="201">
        <f t="shared" ca="1" si="842"/>
        <v>86.52601225551318</v>
      </c>
      <c r="DW238" s="201">
        <f t="shared" ca="1" si="842"/>
        <v>86.74325438003379</v>
      </c>
      <c r="DX238" s="201">
        <f t="shared" ca="1" si="842"/>
        <v>86.961200369312692</v>
      </c>
      <c r="DY238" s="201">
        <f t="shared" ca="1" si="842"/>
        <v>87.179852503872553</v>
      </c>
      <c r="DZ238" s="201">
        <f t="shared" ca="1" si="842"/>
        <v>87.399213071624942</v>
      </c>
      <c r="EA238" s="201">
        <f t="shared" ca="1" si="842"/>
        <v>87.619284367894295</v>
      </c>
      <c r="EB238" s="201">
        <f t="shared" ca="1" si="842"/>
        <v>87.840068695441971</v>
      </c>
      <c r="EC238" s="201">
        <f t="shared" ca="1" si="842"/>
        <v>88.061568364490171</v>
      </c>
      <c r="ED238" s="201">
        <f t="shared" ca="1" si="843"/>
        <v>88.28378569274625</v>
      </c>
      <c r="EE238" s="201">
        <f t="shared" ca="1" si="843"/>
        <v>88.506723005426977</v>
      </c>
      <c r="EF238" s="201">
        <f t="shared" ca="1" si="843"/>
        <v>88.730382635282794</v>
      </c>
      <c r="EG238" s="201">
        <f t="shared" ca="1" si="843"/>
        <v>88.954766922622269</v>
      </c>
      <c r="EH238" s="201">
        <f t="shared" ca="1" si="843"/>
        <v>89.179878215336515</v>
      </c>
      <c r="EI238" s="201">
        <f t="shared" ca="1" si="843"/>
        <v>89.405718868923913</v>
      </c>
      <c r="EJ238" s="201">
        <f t="shared" ca="1" si="843"/>
        <v>89.632291246514612</v>
      </c>
      <c r="EK238" s="201">
        <f t="shared" ca="1" si="843"/>
        <v>89.859597718895301</v>
      </c>
      <c r="EL238" s="201">
        <f t="shared" ca="1" si="843"/>
        <v>90.087640664534021</v>
      </c>
      <c r="EM238" s="201">
        <f t="shared" ca="1" si="843"/>
        <v>90.316422469605044</v>
      </c>
      <c r="EN238" s="201">
        <f t="shared" ca="1" si="843"/>
        <v>90.545945528013931</v>
      </c>
      <c r="EO238" s="201">
        <f t="shared" ca="1" si="843"/>
        <v>90.776212241422357</v>
      </c>
      <c r="EP238" s="201">
        <f t="shared" ca="1" si="843"/>
        <v>91.007225019273534</v>
      </c>
      <c r="EQ238" s="201">
        <f t="shared" ca="1" si="843"/>
        <v>91.238986278817137</v>
      </c>
      <c r="ER238" s="201">
        <f t="shared" ca="1" si="843"/>
        <v>91.471498445134785</v>
      </c>
      <c r="ES238" s="201">
        <f t="shared" ca="1" si="843"/>
        <v>91.704763951165475</v>
      </c>
      <c r="ET238" s="201">
        <f t="shared" ca="1" si="843"/>
        <v>91.938785237730727</v>
      </c>
      <c r="EU238" s="201">
        <f t="shared" ca="1" si="843"/>
        <v>92.173564753560484</v>
      </c>
      <c r="EV238" s="201">
        <f t="shared" ca="1" si="843"/>
        <v>92.409104955318512</v>
      </c>
      <c r="EW238" s="201">
        <f t="shared" ca="1" si="843"/>
        <v>92.645408307628159</v>
      </c>
      <c r="EX238" s="201">
        <f t="shared" ca="1" si="843"/>
        <v>92.882477283098183</v>
      </c>
      <c r="EY238" s="201">
        <f t="shared" ca="1" si="843"/>
        <v>93.120314362348623</v>
      </c>
      <c r="EZ238" s="201">
        <f t="shared" ca="1" si="843"/>
        <v>93.358922034036681</v>
      </c>
      <c r="FA238" s="201">
        <f t="shared" ca="1" si="843"/>
        <v>93.598302794882798</v>
      </c>
      <c r="FB238" s="201">
        <f t="shared" ca="1" si="843"/>
        <v>93.838459149696902</v>
      </c>
      <c r="FC238" s="201">
        <f t="shared" ca="1" si="843"/>
        <v>94.079393611404342</v>
      </c>
      <c r="FD238" s="201">
        <f t="shared" ca="1" si="843"/>
        <v>94.32110870107249</v>
      </c>
      <c r="FE238" s="201">
        <f t="shared" ca="1" si="843"/>
        <v>94.563606947936904</v>
      </c>
      <c r="FF238" s="201">
        <f t="shared" ca="1" si="843"/>
        <v>94.806890889427919</v>
      </c>
      <c r="FG238" s="201">
        <f t="shared" ca="1" si="843"/>
        <v>95.050963071197074</v>
      </c>
      <c r="FH238" s="201">
        <f t="shared" ca="1" si="843"/>
        <v>95.29582604714389</v>
      </c>
      <c r="FI238" s="201">
        <f t="shared" ca="1" si="843"/>
        <v>95.541482379442527</v>
      </c>
      <c r="FJ238" s="201">
        <f t="shared" ca="1" si="843"/>
        <v>95.78793463856853</v>
      </c>
      <c r="FK238" s="201">
        <f t="shared" ca="1" si="843"/>
        <v>96.035185403325869</v>
      </c>
      <c r="FL238" s="201">
        <f t="shared" ca="1" si="843"/>
        <v>96.283237260873761</v>
      </c>
      <c r="FM238" s="201">
        <f t="shared" ca="1" si="843"/>
        <v>96.532092806753894</v>
      </c>
      <c r="FN238" s="201">
        <f t="shared" ca="1" si="843"/>
        <v>96.781754644917427</v>
      </c>
      <c r="FO238" s="201">
        <f t="shared" ca="1" si="843"/>
        <v>97.032225387752447</v>
      </c>
      <c r="FP238" s="201">
        <f t="shared" ca="1" si="843"/>
        <v>97.283507656111041</v>
      </c>
      <c r="FQ238" s="201">
        <f t="shared" ca="1" si="843"/>
        <v>97.535604079336963</v>
      </c>
      <c r="FR238" s="201">
        <f t="shared" ca="1" si="843"/>
        <v>97.788517295293047</v>
      </c>
      <c r="FS238" s="201">
        <f t="shared" ca="1" si="843"/>
        <v>98.042249950388722</v>
      </c>
      <c r="FT238" s="201">
        <f t="shared" ca="1" si="843"/>
        <v>98.29680469960789</v>
      </c>
      <c r="FU238" s="201">
        <f t="shared" ca="1" si="843"/>
        <v>98.552184206536481</v>
      </c>
      <c r="FV238" s="201">
        <f t="shared" ca="1" si="843"/>
        <v>98.808391143390566</v>
      </c>
      <c r="FW238" s="201">
        <f t="shared" ca="1" si="843"/>
        <v>99.065428191044163</v>
      </c>
      <c r="FX238" s="201">
        <f t="shared" ca="1" si="843"/>
        <v>99.323298039057278</v>
      </c>
      <c r="FY238" s="201">
        <f t="shared" ca="1" si="843"/>
        <v>99.582003385704127</v>
      </c>
      <c r="FZ238" s="201">
        <f t="shared" ca="1" si="843"/>
        <v>99.841546938001358</v>
      </c>
      <c r="GA238" s="201">
        <f t="shared" ca="1" si="843"/>
        <v>100.10193141173635</v>
      </c>
      <c r="GB238" s="201">
        <f t="shared" ca="1" si="843"/>
        <v>100.36315953149561</v>
      </c>
      <c r="GC238" s="201">
        <f t="shared" ca="1" si="843"/>
        <v>100.62523403069326</v>
      </c>
      <c r="GD238" s="201">
        <f t="shared" ca="1" si="843"/>
        <v>100.88815765159987</v>
      </c>
      <c r="GE238" s="201">
        <f t="shared" ca="1" si="843"/>
        <v>101.15193314537076</v>
      </c>
      <c r="GF238" s="201">
        <f t="shared" ca="1" si="843"/>
        <v>101.41656327207514</v>
      </c>
      <c r="GG238" s="201">
        <f t="shared" ca="1" si="843"/>
        <v>101.6820508007248</v>
      </c>
      <c r="GH238" s="201">
        <f t="shared" ca="1" si="843"/>
        <v>101.9483985093031</v>
      </c>
      <c r="GI238" s="201">
        <f t="shared" ca="1" si="843"/>
        <v>102.21560918479408</v>
      </c>
      <c r="GJ238" s="201">
        <f t="shared" ca="1" si="843"/>
        <v>102.48368562321166</v>
      </c>
      <c r="GK238" s="201">
        <f t="shared" ca="1" si="843"/>
        <v>102.75263062962877</v>
      </c>
      <c r="GL238" s="201">
        <f t="shared" ca="1" si="843"/>
        <v>103.02244701820695</v>
      </c>
      <c r="GM238" s="201">
        <f t="shared" ca="1" si="843"/>
        <v>103.29313761222538</v>
      </c>
      <c r="GN238" s="201">
        <f t="shared" ca="1" si="843"/>
        <v>103.56470524411083</v>
      </c>
      <c r="GO238" s="201">
        <f t="shared" ca="1" si="843"/>
        <v>103.83715275546705</v>
      </c>
      <c r="GP238" s="201">
        <f t="shared" ca="1" si="844"/>
        <v>104.11048299710477</v>
      </c>
      <c r="GQ238" s="201">
        <f t="shared" ca="1" si="844"/>
        <v>104.3846988290711</v>
      </c>
      <c r="GR238" s="201">
        <f t="shared" ca="1" si="844"/>
        <v>104.65980312067985</v>
      </c>
      <c r="GS238" s="201">
        <f t="shared" ca="1" si="844"/>
        <v>104.93579875054138</v>
      </c>
      <c r="GT238" s="201">
        <f t="shared" ca="1" si="844"/>
        <v>105.21268860659279</v>
      </c>
      <c r="GU238" s="201">
        <f t="shared" ca="1" si="844"/>
        <v>105.49047558612808</v>
      </c>
      <c r="GV238" s="201">
        <f t="shared" ca="1" si="844"/>
        <v>105.7691625958284</v>
      </c>
      <c r="GW238" s="201">
        <f t="shared" ca="1" si="844"/>
        <v>106.04875255179272</v>
      </c>
      <c r="GX238" s="201">
        <f t="shared" ca="1" si="844"/>
        <v>106.32924837956799</v>
      </c>
      <c r="GY238" s="201">
        <f t="shared" ca="1" si="844"/>
        <v>106.61065301418004</v>
      </c>
      <c r="GZ238" s="201">
        <f t="shared" ca="1" si="844"/>
        <v>106.8929694001642</v>
      </c>
      <c r="HA238" s="201">
        <f t="shared" ca="1" si="844"/>
        <v>107.17620049159609</v>
      </c>
      <c r="HB238" s="201">
        <f t="shared" ca="1" si="844"/>
        <v>107.46034925212241</v>
      </c>
      <c r="HC238" s="201">
        <f t="shared" ca="1" si="844"/>
        <v>107.74541865499229</v>
      </c>
      <c r="HD238" s="201">
        <f t="shared" ca="1" si="844"/>
        <v>108.03141168308808</v>
      </c>
      <c r="HE238" s="201">
        <f t="shared" ca="1" si="844"/>
        <v>108.31833132895665</v>
      </c>
      <c r="HF238" s="201">
        <f t="shared" ca="1" si="844"/>
        <v>108.60618059484075</v>
      </c>
      <c r="HG238" s="201">
        <f t="shared" ca="1" si="844"/>
        <v>108.89496249271042</v>
      </c>
      <c r="HH238" s="201">
        <f t="shared" ca="1" si="844"/>
        <v>109.1846800442945</v>
      </c>
      <c r="HI238" s="201">
        <f t="shared" ca="1" si="844"/>
        <v>109.47533628111216</v>
      </c>
      <c r="HJ238" s="201">
        <f t="shared" ca="1" si="844"/>
        <v>109.76693424450477</v>
      </c>
      <c r="HK238" s="201">
        <f t="shared" ca="1" si="844"/>
        <v>110.05947698566763</v>
      </c>
      <c r="HL238" s="201">
        <f t="shared" ca="1" si="844"/>
        <v>110.35296756568187</v>
      </c>
      <c r="HM238" s="201">
        <f t="shared" ca="1" si="844"/>
        <v>110.64740905554662</v>
      </c>
      <c r="HN238" s="201">
        <f t="shared" ca="1" si="844"/>
        <v>110.94280453621097</v>
      </c>
      <c r="HO238" s="201">
        <f t="shared" ca="1" si="844"/>
        <v>111.23915709860633</v>
      </c>
      <c r="HP238" s="201">
        <f t="shared" ca="1" si="844"/>
        <v>111.5364698436787</v>
      </c>
      <c r="HQ238" s="201">
        <f t="shared" ca="1" si="844"/>
        <v>111.83474588242119</v>
      </c>
      <c r="HR238" s="201">
        <f t="shared" ca="1" si="844"/>
        <v>112.13398833590651</v>
      </c>
      <c r="HS238" s="201">
        <f t="shared" ca="1" si="844"/>
        <v>112.43420033531963</v>
      </c>
      <c r="HT238" s="201">
        <f t="shared" ca="1" si="844"/>
        <v>112.73538502199057</v>
      </c>
      <c r="HU238" s="201">
        <f t="shared" ca="1" si="844"/>
        <v>113.03754554742736</v>
      </c>
      <c r="HV238" s="201">
        <f t="shared" ca="1" si="844"/>
        <v>113.34068507334875</v>
      </c>
      <c r="HW238" s="201">
        <f t="shared" ca="1" si="844"/>
        <v>113.64480677171753</v>
      </c>
      <c r="HX238" s="201">
        <f t="shared" ca="1" si="844"/>
        <v>113.94991382477374</v>
      </c>
      <c r="HY238" s="201">
        <f t="shared" ca="1" si="844"/>
        <v>114.2560094250678</v>
      </c>
      <c r="HZ238" s="201">
        <f t="shared" ca="1" si="844"/>
        <v>114.56309677549397</v>
      </c>
      <c r="IA238" s="201">
        <f t="shared" ca="1" si="844"/>
        <v>114.87117908932402</v>
      </c>
      <c r="IB238" s="201">
        <f t="shared" ca="1" si="844"/>
        <v>115.18025959024051</v>
      </c>
      <c r="IC238" s="201">
        <f t="shared" ca="1" si="844"/>
        <v>115.49034151237095</v>
      </c>
      <c r="ID238" s="201">
        <f t="shared" ca="1" si="844"/>
        <v>115.80142810032133</v>
      </c>
      <c r="IE238" s="201">
        <f t="shared" ca="1" si="844"/>
        <v>116.11352260921016</v>
      </c>
      <c r="IF238" s="201">
        <f t="shared" ca="1" si="844"/>
        <v>116.42662830470258</v>
      </c>
      <c r="IG238" s="201">
        <f t="shared" ca="1" si="844"/>
        <v>116.74074846304444</v>
      </c>
      <c r="IH238" s="201">
        <f t="shared" ca="1" si="844"/>
        <v>117.05588637109665</v>
      </c>
      <c r="II238" s="201">
        <f t="shared" ca="1" si="844"/>
        <v>117.3720453263696</v>
      </c>
      <c r="IJ238" s="201">
        <f t="shared" ca="1" si="844"/>
        <v>117.68922863705751</v>
      </c>
      <c r="IK238" s="201">
        <f t="shared" ca="1" si="844"/>
        <v>118.00743962207332</v>
      </c>
      <c r="IL238" s="201">
        <f t="shared" ca="1" si="844"/>
        <v>118.32668161108305</v>
      </c>
      <c r="IM238" s="201">
        <f t="shared" ca="1" si="844"/>
        <v>118.64695794454099</v>
      </c>
      <c r="IN238" s="201">
        <f t="shared" ca="1" si="844"/>
        <v>118.96827197372446</v>
      </c>
      <c r="IO238" s="201">
        <f t="shared" ca="1" si="844"/>
        <v>119.2906270607689</v>
      </c>
      <c r="IP238" s="201">
        <f t="shared" ca="1" si="844"/>
        <v>119.61402657870315</v>
      </c>
      <c r="IQ238" s="201">
        <f t="shared" ca="1" si="844"/>
        <v>119.93847391148455</v>
      </c>
      <c r="IR238" s="201">
        <f t="shared" ca="1" si="844"/>
        <v>120.2639724540346</v>
      </c>
      <c r="IS238" s="201">
        <f t="shared" ca="1" si="844"/>
        <v>120.59052561227425</v>
      </c>
      <c r="IT238" s="201">
        <f t="shared" ca="1" si="844"/>
        <v>120.91813680315963</v>
      </c>
      <c r="IU238" s="201">
        <f t="shared" ca="1" si="844"/>
        <v>121.24680945471786</v>
      </c>
      <c r="IV238" s="201">
        <f t="shared" ca="1" si="844"/>
        <v>121.57654700608293</v>
      </c>
      <c r="IW238" s="201">
        <f t="shared" ca="1" si="844"/>
        <v>121.90735290753148</v>
      </c>
      <c r="IX238" s="201">
        <f t="shared" ca="1" si="844"/>
        <v>122.23923062051917</v>
      </c>
      <c r="IY238" s="201">
        <f t="shared" ca="1" si="844"/>
        <v>122.57218361771673</v>
      </c>
      <c r="IZ238" s="201">
        <f t="shared" ca="1" si="844"/>
        <v>122.90621538304639</v>
      </c>
      <c r="JA238" s="201">
        <f t="shared" ca="1" si="844"/>
        <v>123.24132941171825</v>
      </c>
      <c r="JB238" s="201">
        <f t="shared" ca="1" si="845"/>
        <v>123.57752921026687</v>
      </c>
      <c r="JC238" s="201">
        <f t="shared" ca="1" si="845"/>
        <v>123.91481829658805</v>
      </c>
      <c r="JD238" s="201">
        <f t="shared" ca="1" si="845"/>
        <v>124.25320019997555</v>
      </c>
      <c r="JE238" s="201">
        <f t="shared" ca="1" si="845"/>
        <v>124.59267846115807</v>
      </c>
      <c r="JF238" s="201">
        <f t="shared" ca="1" si="845"/>
        <v>124.93325663233627</v>
      </c>
      <c r="JG238" s="201">
        <f t="shared" ca="1" si="845"/>
        <v>125.2749382772198</v>
      </c>
      <c r="JH238" s="201">
        <f t="shared" ca="1" si="845"/>
        <v>125.61772697106501</v>
      </c>
      <c r="JI238" s="201">
        <f t="shared" ca="1" si="845"/>
        <v>125.96162630071188</v>
      </c>
      <c r="JJ238" s="201">
        <f t="shared" ca="1" si="845"/>
        <v>126.3066398646218</v>
      </c>
      <c r="JK238" s="201">
        <f t="shared" ca="1" si="845"/>
        <v>126.65277127291522</v>
      </c>
      <c r="JL238" s="201">
        <f t="shared" ca="1" si="845"/>
        <v>127.00002414740931</v>
      </c>
      <c r="JM238" s="201">
        <f t="shared" ca="1" si="845"/>
        <v>127.34840212165602</v>
      </c>
      <c r="JN238" s="201">
        <f t="shared" ca="1" si="845"/>
        <v>127.69790884097998</v>
      </c>
      <c r="JO238" s="201">
        <f t="shared" ca="1" si="845"/>
        <v>128.04854796251664</v>
      </c>
      <c r="JP238" s="201">
        <f t="shared" ca="1" si="845"/>
        <v>128.40032315525053</v>
      </c>
      <c r="JQ238" s="201">
        <f t="shared" ca="1" si="845"/>
        <v>128.75323810005398</v>
      </c>
      <c r="JR238" s="201">
        <f t="shared" ca="1" si="845"/>
        <v>129.10729648972492</v>
      </c>
      <c r="JS238" s="201">
        <f t="shared" ca="1" si="845"/>
        <v>129.46250202902627</v>
      </c>
      <c r="JT238" s="201">
        <f t="shared" ca="1" si="845"/>
        <v>129.81885843472426</v>
      </c>
      <c r="JU238" s="201">
        <f t="shared" ca="1" si="845"/>
        <v>130.17636943562741</v>
      </c>
      <c r="JV238" s="201">
        <f t="shared" ca="1" si="845"/>
        <v>130.5350387726258</v>
      </c>
      <c r="JW238" s="201">
        <f t="shared" ca="1" si="845"/>
        <v>130.89487019872971</v>
      </c>
      <c r="JX238" s="201">
        <f t="shared" ca="1" si="845"/>
        <v>131.25586747910938</v>
      </c>
      <c r="JY238" s="201">
        <f t="shared" ca="1" si="845"/>
        <v>131.61803439113407</v>
      </c>
      <c r="JZ238" s="201">
        <f t="shared" ca="1" si="845"/>
        <v>131.98137472441186</v>
      </c>
      <c r="KA238" s="201">
        <f t="shared" ca="1" si="845"/>
        <v>132.34589228082908</v>
      </c>
      <c r="KB238" s="201">
        <f t="shared" ca="1" si="845"/>
        <v>132.71159087459017</v>
      </c>
      <c r="KC238" s="201">
        <f t="shared" ca="1" si="845"/>
        <v>133.07847433225763</v>
      </c>
      <c r="KD238" s="201">
        <f t="shared" ca="1" si="845"/>
        <v>133.44654649279195</v>
      </c>
      <c r="KE238" s="201">
        <f t="shared" ca="1" si="845"/>
        <v>133.81581120759205</v>
      </c>
      <c r="KF238" s="201">
        <f t="shared" ca="1" si="845"/>
        <v>134.18627234053514</v>
      </c>
      <c r="KG238" s="201">
        <f t="shared" ca="1" si="845"/>
        <v>134.55793376801762</v>
      </c>
      <c r="KH238" s="201">
        <f t="shared" ca="1" si="845"/>
        <v>134.93079937899523</v>
      </c>
      <c r="KI238" s="201">
        <f t="shared" ca="1" si="845"/>
        <v>135.30487307502406</v>
      </c>
      <c r="KJ238" s="201">
        <f t="shared" ca="1" si="845"/>
        <v>135.6801587703012</v>
      </c>
      <c r="KK238" s="201">
        <f t="shared" ca="1" si="845"/>
        <v>136.05666039170572</v>
      </c>
      <c r="KL238" s="201">
        <f t="shared" ca="1" si="845"/>
        <v>136.43438187883987</v>
      </c>
      <c r="KM238" s="201">
        <f t="shared" ca="1" si="845"/>
        <v>136.81332718407012</v>
      </c>
      <c r="KN238" s="201">
        <f t="shared" ca="1" si="845"/>
        <v>137.19350027256866</v>
      </c>
      <c r="KO238" s="201">
        <f t="shared" ca="1" si="845"/>
        <v>137.57490512235481</v>
      </c>
      <c r="KP238" s="201">
        <f t="shared" ca="1" si="845"/>
        <v>137.95754572433665</v>
      </c>
      <c r="KQ238" s="201">
        <f t="shared" ca="1" si="845"/>
        <v>138.341426082353</v>
      </c>
      <c r="KR238" s="201">
        <f t="shared" ca="1" si="845"/>
        <v>138.72655021321486</v>
      </c>
      <c r="KS238" s="201">
        <f t="shared" ca="1" si="845"/>
        <v>139.11292214674791</v>
      </c>
      <c r="KT238" s="201">
        <f t="shared" ca="1" si="845"/>
        <v>139.5005459258343</v>
      </c>
      <c r="KU238" s="201">
        <f t="shared" ca="1" si="845"/>
        <v>139.88942560645526</v>
      </c>
      <c r="KV238" s="201">
        <f t="shared" ca="1" si="845"/>
        <v>140.27956525773331</v>
      </c>
      <c r="KW238" s="201">
        <f t="shared" ca="1" si="845"/>
        <v>140.67096896197498</v>
      </c>
      <c r="KX238" s="201">
        <f t="shared" ca="1" si="845"/>
        <v>141.06364081471352</v>
      </c>
      <c r="KY238" s="201">
        <f t="shared" ca="1" si="845"/>
        <v>141.45758492475161</v>
      </c>
      <c r="KZ238" s="201">
        <f t="shared" ca="1" si="845"/>
        <v>141.85280541420457</v>
      </c>
      <c r="LA238" s="201">
        <f t="shared" ca="1" si="845"/>
        <v>142.24930641854326</v>
      </c>
      <c r="LB238" s="201">
        <f t="shared" ca="1" si="845"/>
        <v>142.64709208663754</v>
      </c>
      <c r="LC238" s="201">
        <f t="shared" ca="1" si="845"/>
        <v>143.04616658079959</v>
      </c>
      <c r="LD238" s="201">
        <f t="shared" ca="1" si="845"/>
        <v>143.44653407682756</v>
      </c>
      <c r="LE238" s="201">
        <f t="shared" ca="1" si="845"/>
        <v>143.84819876404907</v>
      </c>
      <c r="LF238" s="201">
        <f t="shared" ca="1" si="845"/>
        <v>144.25116484536525</v>
      </c>
      <c r="LG238" s="201">
        <f t="shared" ca="1" si="845"/>
        <v>144.65543653729463</v>
      </c>
      <c r="LH238" s="201">
        <f t="shared" ca="1" si="845"/>
        <v>145.06101807001724</v>
      </c>
      <c r="LI238" s="201">
        <f t="shared" ca="1" si="845"/>
        <v>145.46791368741887</v>
      </c>
      <c r="LJ238" s="201">
        <f t="shared" ca="1" si="845"/>
        <v>145.87612764713558</v>
      </c>
      <c r="LK238" s="201">
        <f t="shared" ca="1" si="845"/>
        <v>146.28566422059814</v>
      </c>
      <c r="LL238" s="201">
        <f t="shared" ca="1" si="845"/>
        <v>146.69652769307675</v>
      </c>
      <c r="LM238" s="201">
        <f t="shared" ca="1" si="845"/>
        <v>147.10872236372592</v>
      </c>
      <c r="LN238" s="201">
        <f t="shared" ca="1" si="846"/>
        <v>147.52225254562933</v>
      </c>
      <c r="LO238" s="201">
        <f t="shared" ca="1" si="846"/>
        <v>147.93712256584521</v>
      </c>
      <c r="LP238" s="201">
        <f t="shared" ca="1" si="846"/>
        <v>148.35333676545136</v>
      </c>
      <c r="LQ238" s="201">
        <f t="shared" ca="1" si="846"/>
        <v>148.77089949959077</v>
      </c>
      <c r="LR238" s="201">
        <f t="shared" ca="1" si="846"/>
        <v>149.18981513751694</v>
      </c>
      <c r="LS238" s="201">
        <f t="shared" ca="1" si="846"/>
        <v>149.61008806263985</v>
      </c>
      <c r="LT238" s="201">
        <f t="shared" ca="1" si="846"/>
        <v>150.03172267257182</v>
      </c>
      <c r="LU238" s="201">
        <f t="shared" ca="1" si="846"/>
        <v>150.45472337917326</v>
      </c>
      <c r="LV238" s="201">
        <f t="shared" ca="1" si="846"/>
        <v>150.87909460859916</v>
      </c>
      <c r="LW238" s="201">
        <f t="shared" ca="1" si="846"/>
        <v>151.30484080134519</v>
      </c>
      <c r="LX238" s="201">
        <f t="shared" ca="1" si="846"/>
        <v>151.73196641229427</v>
      </c>
      <c r="LY238" s="201">
        <f t="shared" ca="1" si="846"/>
        <v>152.1604759107631</v>
      </c>
      <c r="LZ238" s="201">
        <f t="shared" ca="1" si="846"/>
        <v>152.59037378054899</v>
      </c>
      <c r="MA238" s="201">
        <f t="shared" ca="1" si="846"/>
        <v>153.02166451997678</v>
      </c>
      <c r="MB238" s="201">
        <f t="shared" ca="1" si="846"/>
        <v>153.45435264194586</v>
      </c>
      <c r="MC238" s="201">
        <f t="shared" ca="1" si="846"/>
        <v>153.88844267397744</v>
      </c>
      <c r="MD238" s="201">
        <f t="shared" ca="1" si="846"/>
        <v>154.32393915826191</v>
      </c>
      <c r="ME238" s="201">
        <f t="shared" ca="1" si="846"/>
        <v>154.76084665170629</v>
      </c>
      <c r="MF238" s="201">
        <f t="shared" ca="1" si="846"/>
        <v>155.1991697259821</v>
      </c>
      <c r="MG238" s="201">
        <f t="shared" ca="1" si="846"/>
        <v>155.63891296757302</v>
      </c>
      <c r="MH238" s="201">
        <f t="shared" ca="1" si="846"/>
        <v>156.08008097782292</v>
      </c>
      <c r="MI238" s="201">
        <f t="shared" ca="1" si="846"/>
        <v>156.52267837298405</v>
      </c>
      <c r="MJ238" s="201">
        <f t="shared" ca="1" si="846"/>
        <v>156.96670978426536</v>
      </c>
      <c r="MK238" s="201">
        <f t="shared" ca="1" si="846"/>
        <v>157.41217985788091</v>
      </c>
      <c r="ML238" s="201">
        <f t="shared" ca="1" si="846"/>
        <v>157.85909325509843</v>
      </c>
      <c r="MM238" s="201">
        <f t="shared" ca="1" si="846"/>
        <v>158.30745465228827</v>
      </c>
      <c r="MN238" s="201">
        <f t="shared" ca="1" si="846"/>
        <v>158.75726874097214</v>
      </c>
      <c r="MO238" s="201">
        <f t="shared" ca="1" si="846"/>
        <v>159.20854022787231</v>
      </c>
      <c r="MP238" s="201">
        <f t="shared" ca="1" si="846"/>
        <v>159.66127383496084</v>
      </c>
      <c r="MQ238" s="201">
        <f t="shared" ca="1" si="846"/>
        <v>160.11547429950903</v>
      </c>
      <c r="MR238" s="201">
        <f t="shared" ca="1" si="846"/>
        <v>160.57114637413687</v>
      </c>
      <c r="MS238" s="201">
        <f t="shared" ca="1" si="846"/>
        <v>161.02829482686289</v>
      </c>
      <c r="MT238" s="201">
        <f t="shared" ca="1" si="846"/>
        <v>161.48692444115403</v>
      </c>
      <c r="MU238" s="201">
        <f t="shared" ca="1" si="846"/>
        <v>161.9470400159756</v>
      </c>
      <c r="MV238" s="201">
        <f t="shared" ca="1" si="846"/>
        <v>162.40864636584161</v>
      </c>
      <c r="MW238" s="201">
        <f t="shared" ca="1" si="846"/>
        <v>162.87174832086504</v>
      </c>
      <c r="MX238" s="201">
        <f t="shared" ca="1" si="846"/>
        <v>163.33635072680858</v>
      </c>
      <c r="MY238" s="201">
        <f t="shared" ca="1" si="846"/>
        <v>163.80245844513502</v>
      </c>
      <c r="MZ238" s="201">
        <f t="shared" ca="1" si="846"/>
        <v>164.27007635305841</v>
      </c>
      <c r="NA238" s="201">
        <f t="shared" ca="1" si="846"/>
        <v>164.73920934359501</v>
      </c>
      <c r="NB238" s="201">
        <f t="shared" ca="1" si="846"/>
        <v>165.20986232561435</v>
      </c>
      <c r="NC238" s="201">
        <f t="shared" ca="1" si="846"/>
        <v>165.68204022389077</v>
      </c>
      <c r="ND238" s="201">
        <f t="shared" ca="1" si="846"/>
        <v>166.15574797915485</v>
      </c>
      <c r="NE238" s="201">
        <f t="shared" ca="1" si="846"/>
        <v>166.63099054814521</v>
      </c>
      <c r="NF238" s="201">
        <f t="shared" ca="1" si="846"/>
        <v>167.10777290366025</v>
      </c>
      <c r="NG238" s="201">
        <f t="shared" ca="1" si="846"/>
        <v>167.58610003461024</v>
      </c>
      <c r="NH238" s="201">
        <f t="shared" ca="1" si="846"/>
        <v>168.06597694606953</v>
      </c>
      <c r="NI238" s="201">
        <f t="shared" ca="1" si="846"/>
        <v>168.54740865932902</v>
      </c>
      <c r="NJ238" s="201">
        <f t="shared" ca="1" si="846"/>
        <v>169.03040021194838</v>
      </c>
      <c r="NK238" s="201">
        <f t="shared" ca="1" si="846"/>
        <v>169.51495665780919</v>
      </c>
      <c r="NL238" s="201">
        <f t="shared" ca="1" si="846"/>
        <v>170.00108306716751</v>
      </c>
      <c r="NM238" s="201">
        <f t="shared" ca="1" si="846"/>
        <v>170.48878452670709</v>
      </c>
      <c r="NN238" s="201">
        <f t="shared" ca="1" si="846"/>
        <v>170.97806613959247</v>
      </c>
      <c r="NO238" s="201">
        <f t="shared" ca="1" si="846"/>
        <v>171.46893302552246</v>
      </c>
      <c r="NP238" s="201">
        <f t="shared" ca="1" si="846"/>
        <v>171.96139032078381</v>
      </c>
      <c r="NQ238" s="201">
        <f t="shared" ca="1" si="846"/>
        <v>172.45544317830471</v>
      </c>
      <c r="NR238" s="201">
        <f t="shared" ca="1" si="846"/>
        <v>172.95109676770889</v>
      </c>
      <c r="NS238" s="201">
        <f t="shared" ca="1" si="846"/>
        <v>173.44835627536975</v>
      </c>
      <c r="NT238" s="201">
        <f t="shared" ca="1" si="846"/>
        <v>173.9472269044644</v>
      </c>
      <c r="NU238" s="201">
        <f t="shared" ca="1" si="846"/>
        <v>174.44771387502828</v>
      </c>
      <c r="NV238" s="201">
        <f t="shared" ca="1" si="846"/>
        <v>174.94982242400994</v>
      </c>
      <c r="NW238" s="201">
        <f t="shared" ca="1" si="846"/>
        <v>175.45355780532537</v>
      </c>
      <c r="NX238" s="201">
        <f t="shared" ca="1" si="846"/>
        <v>175.95892528991351</v>
      </c>
      <c r="NY238" s="201">
        <f t="shared" ca="1" si="846"/>
        <v>176.46593016579095</v>
      </c>
      <c r="NZ238" s="201">
        <f t="shared" ca="1" si="847"/>
        <v>176.97457773810757</v>
      </c>
      <c r="OA238" s="201">
        <f t="shared" ca="1" si="847"/>
        <v>177.48487332920186</v>
      </c>
      <c r="OB238" s="201">
        <f t="shared" ca="1" si="847"/>
        <v>177.99682227865679</v>
      </c>
      <c r="OC238" s="201">
        <f t="shared" ca="1" si="847"/>
        <v>178.51042994335558</v>
      </c>
      <c r="OD238" s="201">
        <f t="shared" ca="1" si="847"/>
        <v>179.02570169753758</v>
      </c>
      <c r="OE238" s="201">
        <f t="shared" ca="1" si="847"/>
        <v>179.54264293285493</v>
      </c>
      <c r="OF238" s="201">
        <f t="shared" ca="1" si="847"/>
        <v>180.06125905842865</v>
      </c>
      <c r="OG238" s="201">
        <f t="shared" ca="1" si="847"/>
        <v>180.5815555009051</v>
      </c>
      <c r="OH238" s="201">
        <f t="shared" ca="1" si="847"/>
        <v>181.10353770451343</v>
      </c>
      <c r="OI238" s="201">
        <f t="shared" ca="1" si="847"/>
        <v>181.62721113112167</v>
      </c>
      <c r="OJ238" s="201">
        <f t="shared" ca="1" si="847"/>
        <v>182.15258126029457</v>
      </c>
      <c r="OK238" s="201">
        <f t="shared" ca="1" si="847"/>
        <v>182.67965358935049</v>
      </c>
      <c r="OL238" s="201">
        <f t="shared" ca="1" si="847"/>
        <v>183.2084336334193</v>
      </c>
      <c r="OM238" s="201">
        <f t="shared" ca="1" si="847"/>
        <v>183.73892692549973</v>
      </c>
      <c r="ON238" s="201">
        <f t="shared" ca="1" si="847"/>
        <v>184.27113901651754</v>
      </c>
      <c r="OO238" s="201">
        <f t="shared" ca="1" si="847"/>
        <v>184.80507547538343</v>
      </c>
      <c r="OP238" s="201">
        <f t="shared" ca="1" si="847"/>
        <v>185.34074188905143</v>
      </c>
      <c r="OQ238" s="201">
        <f t="shared" ca="1" si="847"/>
        <v>185.8781438625773</v>
      </c>
      <c r="OR238" s="201">
        <f t="shared" ca="1" si="847"/>
        <v>186.41728701917717</v>
      </c>
      <c r="OS238" s="201">
        <f t="shared" ca="1" si="847"/>
        <v>186.95817700028641</v>
      </c>
      <c r="OT238" s="201">
        <f t="shared" ca="1" si="847"/>
        <v>187.5008194656186</v>
      </c>
      <c r="OU238" s="201">
        <f t="shared" ca="1" si="847"/>
        <v>188.04522009322486</v>
      </c>
      <c r="OV238" s="201">
        <f t="shared" ca="1" si="847"/>
        <v>188.59138457955319</v>
      </c>
      <c r="OW238" s="201">
        <f t="shared" ca="1" si="847"/>
        <v>189.1393186395081</v>
      </c>
      <c r="OX238" s="201">
        <f t="shared" ca="1" si="847"/>
        <v>189.68902800651037</v>
      </c>
      <c r="OY238" s="201">
        <f t="shared" ca="1" si="847"/>
        <v>190.240518432557</v>
      </c>
      <c r="OZ238" s="201">
        <f t="shared" ca="1" si="847"/>
        <v>190.79379568828165</v>
      </c>
      <c r="PA238" s="201">
        <f t="shared" ca="1" si="847"/>
        <v>191.3488655630147</v>
      </c>
      <c r="PB238" s="201">
        <f t="shared" ca="1" si="847"/>
        <v>191.90573386484397</v>
      </c>
      <c r="PC238" s="201">
        <f t="shared" ca="1" si="847"/>
        <v>192.4644064206756</v>
      </c>
      <c r="PD238" s="201">
        <f t="shared" ca="1" si="847"/>
        <v>193.02488907629481</v>
      </c>
      <c r="PE238" s="201">
        <f t="shared" ca="1" si="847"/>
        <v>193.58718769642718</v>
      </c>
      <c r="PF238" s="201">
        <f t="shared" ca="1" si="847"/>
        <v>194.15130816479999</v>
      </c>
      <c r="PG238" s="201">
        <f t="shared" ca="1" si="847"/>
        <v>194.71725638420395</v>
      </c>
      <c r="PH238" s="201">
        <f t="shared" ca="1" si="847"/>
        <v>195.28503827655464</v>
      </c>
      <c r="PI238" s="201">
        <f t="shared" ca="1" si="847"/>
        <v>195.85465978295474</v>
      </c>
      <c r="PJ238" s="201">
        <f t="shared" ca="1" si="847"/>
        <v>196.42612686375608</v>
      </c>
      <c r="PK238" s="201">
        <f t="shared" ca="1" si="847"/>
        <v>196.99944549862218</v>
      </c>
      <c r="PL238" s="201">
        <f t="shared" ca="1" si="847"/>
        <v>197.57462168659032</v>
      </c>
      <c r="PM238" s="201">
        <f t="shared" ca="1" si="847"/>
        <v>198.15166144613511</v>
      </c>
      <c r="PN238" s="201">
        <f t="shared" ca="1" si="847"/>
        <v>198.73057081523069</v>
      </c>
      <c r="PO238" s="201">
        <f t="shared" ca="1" si="847"/>
        <v>199.31135585141442</v>
      </c>
      <c r="PP238" s="201">
        <f t="shared" ca="1" si="847"/>
        <v>199.89402263184999</v>
      </c>
      <c r="PQ238" s="201">
        <f t="shared" ca="1" si="847"/>
        <v>200.47857725339125</v>
      </c>
      <c r="PR238" s="201">
        <f t="shared" ca="1" si="847"/>
        <v>201.06502583264572</v>
      </c>
      <c r="PS238" s="201">
        <f t="shared" ca="1" si="847"/>
        <v>201.65337450603877</v>
      </c>
      <c r="PT238" s="201">
        <f t="shared" ca="1" si="847"/>
        <v>202.24362942987781</v>
      </c>
      <c r="PU238" s="201">
        <f t="shared" ca="1" si="847"/>
        <v>202.83579678041673</v>
      </c>
      <c r="PV238" s="201">
        <f t="shared" ca="1" si="847"/>
        <v>203.42988275392045</v>
      </c>
      <c r="PW238" s="201">
        <f t="shared" ca="1" si="847"/>
        <v>204.02589356672982</v>
      </c>
      <c r="PX238" s="201">
        <f t="shared" ca="1" si="847"/>
        <v>204.62383545532654</v>
      </c>
      <c r="PY238" s="201">
        <f t="shared" ca="1" si="847"/>
        <v>205.22371467639869</v>
      </c>
      <c r="PZ238" s="201">
        <f t="shared" ca="1" si="847"/>
        <v>205.8255375069059</v>
      </c>
      <c r="QA238" s="201">
        <f t="shared" ca="1" si="847"/>
        <v>206.42931024414526</v>
      </c>
      <c r="QB238" s="201">
        <f t="shared" ca="1" si="847"/>
        <v>207.03503920581693</v>
      </c>
      <c r="QC238" s="201">
        <f t="shared" ca="1" si="847"/>
        <v>207.64273073009068</v>
      </c>
      <c r="QD238" s="201">
        <f t="shared" ca="1" si="847"/>
        <v>208.2523911756717</v>
      </c>
      <c r="QE238" s="201">
        <f t="shared" ca="1" si="847"/>
        <v>208.86402692186758</v>
      </c>
      <c r="QF238" s="201">
        <f t="shared" ca="1" si="847"/>
        <v>209.47764436865486</v>
      </c>
      <c r="QG238" s="201">
        <f t="shared" ca="1" si="847"/>
        <v>210.09324993674579</v>
      </c>
      <c r="QH238" s="201">
        <f t="shared" ca="1" si="847"/>
        <v>210.71085006765614</v>
      </c>
      <c r="QI238" s="201">
        <f t="shared" ca="1" si="847"/>
        <v>211.33045122377177</v>
      </c>
      <c r="QJ238" s="201">
        <f t="shared" ca="1" si="847"/>
        <v>211.95205988841704</v>
      </c>
      <c r="QK238" s="201">
        <f t="shared" ca="1" si="847"/>
        <v>212.57568256592197</v>
      </c>
      <c r="QL238" s="201">
        <f t="shared" ca="1" si="848"/>
        <v>213.20132578169083</v>
      </c>
      <c r="QM238" s="201">
        <f t="shared" ca="1" si="848"/>
        <v>213.82899608227032</v>
      </c>
      <c r="QN238" s="201">
        <f t="shared" ca="1" si="848"/>
        <v>214.45870003541748</v>
      </c>
      <c r="QO238" s="201">
        <f t="shared" ca="1" si="848"/>
        <v>215.09044423016945</v>
      </c>
      <c r="QP238" s="201">
        <f t="shared" ca="1" si="848"/>
        <v>215.72423527691151</v>
      </c>
      <c r="QQ238" s="201">
        <f t="shared" ca="1" si="848"/>
        <v>216.36007980744668</v>
      </c>
      <c r="QR238" s="201">
        <f t="shared" ca="1" si="848"/>
        <v>216.9979844750651</v>
      </c>
      <c r="QS238" s="201">
        <f t="shared" ca="1" si="848"/>
        <v>217.63795595461349</v>
      </c>
      <c r="QT238" s="201">
        <f t="shared" ca="1" si="848"/>
        <v>218.28000094256512</v>
      </c>
      <c r="QU238" s="201">
        <f t="shared" ca="1" si="848"/>
        <v>218.92412615708983</v>
      </c>
      <c r="QV238" s="201">
        <f t="shared" ca="1" si="848"/>
        <v>219.57033833812443</v>
      </c>
      <c r="QW238" s="201">
        <f t="shared" ca="1" si="848"/>
        <v>220.21864424744291</v>
      </c>
      <c r="QX238" s="201">
        <f t="shared" ca="1" si="848"/>
        <v>220.86905066872765</v>
      </c>
      <c r="QY238" s="201">
        <f t="shared" ca="1" si="848"/>
        <v>221.52156440764011</v>
      </c>
      <c r="QZ238" s="201">
        <f t="shared" ca="1" si="848"/>
        <v>222.17619229189197</v>
      </c>
      <c r="RA238" s="201">
        <f t="shared" ca="1" si="848"/>
        <v>222.83294117131689</v>
      </c>
      <c r="RB238" s="201">
        <f t="shared" ca="1" si="848"/>
        <v>223.49181791794192</v>
      </c>
      <c r="RC238" s="201">
        <f t="shared" ca="1" si="848"/>
        <v>224.15282942605938</v>
      </c>
      <c r="RD238" s="201">
        <f t="shared" ca="1" si="848"/>
        <v>224.81598261229925</v>
      </c>
      <c r="RE238" s="201">
        <f t="shared" ca="1" si="848"/>
        <v>225.48128441570145</v>
      </c>
      <c r="RF238" s="201">
        <f t="shared" ca="1" si="848"/>
        <v>226.14874179778815</v>
      </c>
      <c r="RG238" s="201">
        <f t="shared" ca="1" si="848"/>
        <v>226.81836174263711</v>
      </c>
      <c r="RH238" s="201">
        <f t="shared" ca="1" si="848"/>
        <v>227.49015125695439</v>
      </c>
      <c r="RI238" s="201">
        <f t="shared" ca="1" si="848"/>
        <v>228.16411737014784</v>
      </c>
      <c r="RJ238" s="201">
        <f t="shared" ca="1" si="848"/>
        <v>228.84026713440053</v>
      </c>
      <c r="RK238" s="201">
        <f t="shared" ca="1" si="848"/>
        <v>229.51860762474465</v>
      </c>
      <c r="RL238" s="201">
        <f t="shared" ca="1" si="848"/>
        <v>230.19914593913558</v>
      </c>
      <c r="RM238" s="201">
        <f t="shared" ca="1" si="848"/>
        <v>230.88188919852598</v>
      </c>
      <c r="RN238" s="201">
        <f t="shared" ca="1" si="848"/>
        <v>231.56684454694033</v>
      </c>
      <c r="RO238" s="201">
        <f t="shared" ca="1" si="848"/>
        <v>232.25401915155001</v>
      </c>
      <c r="RP238" s="201">
        <f t="shared" ca="1" si="848"/>
        <v>232.94342020274783</v>
      </c>
      <c r="RQ238" s="201">
        <f t="shared" ca="1" si="848"/>
        <v>233.63505491422362</v>
      </c>
      <c r="RR238" s="201">
        <f t="shared" ca="1" si="848"/>
        <v>234.32893052303942</v>
      </c>
      <c r="RS238" s="201"/>
    </row>
    <row r="239" spans="1:487">
      <c r="D239" s="9" t="str">
        <f t="shared" si="849"/>
        <v>Henry Hub Linked Gas</v>
      </c>
      <c r="E239" s="201">
        <f t="shared" ref="E239:BP239" si="851">600*E203</f>
        <v>57.396960000000007</v>
      </c>
      <c r="F239" s="201">
        <f t="shared" ca="1" si="851"/>
        <v>57.438169055055404</v>
      </c>
      <c r="G239" s="201">
        <f t="shared" ca="1" si="851"/>
        <v>57.479511605241555</v>
      </c>
      <c r="H239" s="201">
        <f t="shared" ca="1" si="851"/>
        <v>57.520988083010756</v>
      </c>
      <c r="I239" s="201">
        <f t="shared" ca="1" si="851"/>
        <v>57.562598922216189</v>
      </c>
      <c r="J239" s="201">
        <f t="shared" ca="1" si="851"/>
        <v>57.604344558116509</v>
      </c>
      <c r="K239" s="201">
        <f t="shared" ca="1" si="851"/>
        <v>57.646225427380351</v>
      </c>
      <c r="L239" s="201">
        <f t="shared" ca="1" si="851"/>
        <v>57.688241968090949</v>
      </c>
      <c r="M239" s="201">
        <f t="shared" ca="1" si="851"/>
        <v>57.730394619750662</v>
      </c>
      <c r="N239" s="201">
        <f t="shared" ca="1" si="851"/>
        <v>57.772683823285639</v>
      </c>
      <c r="O239" s="201">
        <f t="shared" ca="1" si="851"/>
        <v>57.815110021050344</v>
      </c>
      <c r="P239" s="201">
        <f t="shared" ca="1" si="851"/>
        <v>57.857673656832269</v>
      </c>
      <c r="Q239" s="201">
        <f t="shared" ca="1" si="851"/>
        <v>57.900375175856524</v>
      </c>
      <c r="R239" s="201">
        <f t="shared" ca="1" si="851"/>
        <v>57.94321502479049</v>
      </c>
      <c r="S239" s="201">
        <f t="shared" ca="1" si="851"/>
        <v>57.98619365174855</v>
      </c>
      <c r="T239" s="201">
        <f t="shared" ca="1" si="851"/>
        <v>58.029311506296715</v>
      </c>
      <c r="U239" s="201">
        <f t="shared" ca="1" si="851"/>
        <v>58.072569039457342</v>
      </c>
      <c r="V239" s="201">
        <f t="shared" ca="1" si="851"/>
        <v>58.115966703713838</v>
      </c>
      <c r="W239" s="201">
        <f t="shared" ca="1" si="851"/>
        <v>58.159504953015464</v>
      </c>
      <c r="X239" s="201">
        <f t="shared" ca="1" si="851"/>
        <v>58.203184242782008</v>
      </c>
      <c r="Y239" s="201">
        <f t="shared" ca="1" si="851"/>
        <v>58.247005029908557</v>
      </c>
      <c r="Z239" s="201">
        <f t="shared" ca="1" si="851"/>
        <v>58.290967772770315</v>
      </c>
      <c r="AA239" s="201">
        <f t="shared" ca="1" si="851"/>
        <v>58.335072931227344</v>
      </c>
      <c r="AB239" s="201">
        <f t="shared" ca="1" si="851"/>
        <v>58.379320966629443</v>
      </c>
      <c r="AC239" s="201">
        <f t="shared" ca="1" si="851"/>
        <v>58.423712341820902</v>
      </c>
      <c r="AD239" s="201">
        <f t="shared" ca="1" si="851"/>
        <v>58.468247521145422</v>
      </c>
      <c r="AE239" s="201">
        <f t="shared" ca="1" si="851"/>
        <v>58.512926970450863</v>
      </c>
      <c r="AF239" s="201">
        <f t="shared" ca="1" si="851"/>
        <v>58.557751157094238</v>
      </c>
      <c r="AG239" s="201">
        <f t="shared" ca="1" si="851"/>
        <v>58.602720549946504</v>
      </c>
      <c r="AH239" s="201">
        <f t="shared" ca="1" si="851"/>
        <v>58.647835619397554</v>
      </c>
      <c r="AI239" s="201">
        <f t="shared" ca="1" si="851"/>
        <v>58.693096837361033</v>
      </c>
      <c r="AJ239" s="201">
        <f t="shared" ca="1" si="851"/>
        <v>58.738504677279373</v>
      </c>
      <c r="AK239" s="201">
        <f t="shared" ca="1" si="851"/>
        <v>58.784059614128708</v>
      </c>
      <c r="AL239" s="201">
        <f t="shared" ca="1" si="851"/>
        <v>58.829762124423802</v>
      </c>
      <c r="AM239" s="201">
        <f t="shared" ca="1" si="851"/>
        <v>58.8756126862231</v>
      </c>
      <c r="AN239" s="201">
        <f t="shared" ca="1" si="851"/>
        <v>58.921611779133691</v>
      </c>
      <c r="AO239" s="201">
        <f t="shared" ca="1" si="851"/>
        <v>58.967759884316337</v>
      </c>
      <c r="AP239" s="201">
        <f t="shared" ca="1" si="851"/>
        <v>59.014057484490479</v>
      </c>
      <c r="AQ239" s="201">
        <f t="shared" ca="1" si="851"/>
        <v>59.060505063939345</v>
      </c>
      <c r="AR239" s="201">
        <f t="shared" ca="1" si="851"/>
        <v>59.107103108514956</v>
      </c>
      <c r="AS239" s="201">
        <f t="shared" ca="1" si="851"/>
        <v>59.153852105643239</v>
      </c>
      <c r="AT239" s="201">
        <f t="shared" ca="1" si="851"/>
        <v>59.200752544329113</v>
      </c>
      <c r="AU239" s="201">
        <f t="shared" ca="1" si="851"/>
        <v>59.247804915161609</v>
      </c>
      <c r="AV239" s="201">
        <f t="shared" ca="1" si="851"/>
        <v>59.295009710319007</v>
      </c>
      <c r="AW239" s="201">
        <f t="shared" ca="1" si="851"/>
        <v>59.342367423573975</v>
      </c>
      <c r="AX239" s="201">
        <f t="shared" ca="1" si="851"/>
        <v>59.389878550298739</v>
      </c>
      <c r="AY239" s="201">
        <f t="shared" ca="1" si="851"/>
        <v>59.437543587470287</v>
      </c>
      <c r="AZ239" s="201">
        <f t="shared" ca="1" si="851"/>
        <v>59.485363033675505</v>
      </c>
      <c r="BA239" s="201">
        <f t="shared" ca="1" si="851"/>
        <v>59.533337389116454</v>
      </c>
      <c r="BB239" s="201">
        <f t="shared" ca="1" si="851"/>
        <v>59.581467155615591</v>
      </c>
      <c r="BC239" s="201">
        <f t="shared" ca="1" si="851"/>
        <v>59.629752836620973</v>
      </c>
      <c r="BD239" s="201">
        <f t="shared" ca="1" si="851"/>
        <v>59.678194937211579</v>
      </c>
      <c r="BE239" s="201">
        <f t="shared" ca="1" si="851"/>
        <v>59.726793964102583</v>
      </c>
      <c r="BF239" s="201">
        <f t="shared" ca="1" si="851"/>
        <v>59.775550425650628</v>
      </c>
      <c r="BG239" s="201">
        <f t="shared" ca="1" si="851"/>
        <v>59.824464831859153</v>
      </c>
      <c r="BH239" s="201">
        <f t="shared" ca="1" si="851"/>
        <v>59.873537694383757</v>
      </c>
      <c r="BI239" s="201">
        <f t="shared" ca="1" si="851"/>
        <v>59.922769526537486</v>
      </c>
      <c r="BJ239" s="201">
        <f t="shared" ca="1" si="851"/>
        <v>59.972160843296294</v>
      </c>
      <c r="BK239" s="201">
        <f t="shared" ca="1" si="851"/>
        <v>60.021712161304343</v>
      </c>
      <c r="BL239" s="201">
        <f t="shared" ca="1" si="851"/>
        <v>60.071423998879439</v>
      </c>
      <c r="BM239" s="201">
        <f t="shared" ca="1" si="851"/>
        <v>60.121296876018533</v>
      </c>
      <c r="BN239" s="201">
        <f t="shared" ca="1" si="851"/>
        <v>60.171331314402963</v>
      </c>
      <c r="BO239" s="201">
        <f t="shared" ca="1" si="851"/>
        <v>60.221527837404111</v>
      </c>
      <c r="BP239" s="201">
        <f t="shared" ca="1" si="851"/>
        <v>60.271886970088822</v>
      </c>
      <c r="BQ239" s="201">
        <f t="shared" ref="BQ239:EB239" ca="1" si="852">600*BQ203</f>
        <v>60.322409239224811</v>
      </c>
      <c r="BR239" s="201">
        <f t="shared" ca="1" si="852"/>
        <v>60.373095173286288</v>
      </c>
      <c r="BS239" s="201">
        <f t="shared" ca="1" si="852"/>
        <v>60.423945302459387</v>
      </c>
      <c r="BT239" s="201">
        <f t="shared" ca="1" si="852"/>
        <v>60.474960158647782</v>
      </c>
      <c r="BU239" s="201">
        <f t="shared" ca="1" si="852"/>
        <v>60.526140275478269</v>
      </c>
      <c r="BV239" s="201">
        <f t="shared" ca="1" si="852"/>
        <v>60.577486188306224</v>
      </c>
      <c r="BW239" s="201">
        <f t="shared" ca="1" si="852"/>
        <v>60.628998434221366</v>
      </c>
      <c r="BX239" s="201">
        <f t="shared" ca="1" si="852"/>
        <v>60.680677552053233</v>
      </c>
      <c r="BY239" s="201">
        <f t="shared" ca="1" si="852"/>
        <v>60.732524082376933</v>
      </c>
      <c r="BZ239" s="201">
        <f t="shared" ca="1" si="852"/>
        <v>60.784538567518702</v>
      </c>
      <c r="CA239" s="201">
        <f t="shared" ca="1" si="852"/>
        <v>60.836721551561645</v>
      </c>
      <c r="CB239" s="201">
        <f t="shared" ca="1" si="852"/>
        <v>60.889073580351386</v>
      </c>
      <c r="CC239" s="201">
        <f t="shared" ca="1" si="852"/>
        <v>60.941595201501833</v>
      </c>
      <c r="CD239" s="201">
        <f t="shared" ca="1" si="852"/>
        <v>60.994286964400821</v>
      </c>
      <c r="CE239" s="201">
        <f t="shared" ca="1" si="852"/>
        <v>61.047149420215938</v>
      </c>
      <c r="CF239" s="201">
        <f t="shared" ca="1" si="852"/>
        <v>61.100183121900237</v>
      </c>
      <c r="CG239" s="201">
        <f t="shared" ca="1" si="852"/>
        <v>61.153388624198037</v>
      </c>
      <c r="CH239" s="201">
        <f t="shared" ca="1" si="852"/>
        <v>61.206766483650767</v>
      </c>
      <c r="CI239" s="201">
        <f t="shared" ca="1" si="852"/>
        <v>61.260317258602711</v>
      </c>
      <c r="CJ239" s="201">
        <f t="shared" ca="1" si="852"/>
        <v>61.314041509206923</v>
      </c>
      <c r="CK239" s="201">
        <f t="shared" ca="1" si="852"/>
        <v>61.367939797430992</v>
      </c>
      <c r="CL239" s="201">
        <f t="shared" ca="1" si="852"/>
        <v>61.422012687063038</v>
      </c>
      <c r="CM239" s="201">
        <f t="shared" ca="1" si="852"/>
        <v>61.476260743717539</v>
      </c>
      <c r="CN239" s="201">
        <f t="shared" ca="1" si="852"/>
        <v>61.530684534841235</v>
      </c>
      <c r="CO239" s="201">
        <f t="shared" ca="1" si="852"/>
        <v>61.585284629719112</v>
      </c>
      <c r="CP239" s="201">
        <f t="shared" ca="1" si="852"/>
        <v>61.640061599480319</v>
      </c>
      <c r="CQ239" s="201">
        <f t="shared" ca="1" si="852"/>
        <v>61.695016017104159</v>
      </c>
      <c r="CR239" s="201">
        <f t="shared" ca="1" si="852"/>
        <v>61.750148457426086</v>
      </c>
      <c r="CS239" s="201">
        <f t="shared" ca="1" si="852"/>
        <v>61.805459497143708</v>
      </c>
      <c r="CT239" s="201">
        <f t="shared" ca="1" si="852"/>
        <v>61.860949714822802</v>
      </c>
      <c r="CU239" s="201">
        <f t="shared" ca="1" si="852"/>
        <v>61.91661969090341</v>
      </c>
      <c r="CV239" s="201">
        <f t="shared" ca="1" si="852"/>
        <v>61.972470007705887</v>
      </c>
      <c r="CW239" s="201">
        <f t="shared" ca="1" si="852"/>
        <v>62.028501249436985</v>
      </c>
      <c r="CX239" s="201">
        <f t="shared" ca="1" si="852"/>
        <v>62.084714002195959</v>
      </c>
      <c r="CY239" s="201">
        <f t="shared" ca="1" si="852"/>
        <v>62.141108853980754</v>
      </c>
      <c r="CZ239" s="201">
        <f t="shared" ca="1" si="852"/>
        <v>62.197686394694045</v>
      </c>
      <c r="DA239" s="201">
        <f t="shared" ca="1" si="852"/>
        <v>62.254447216149543</v>
      </c>
      <c r="DB239" s="201">
        <f t="shared" ca="1" si="852"/>
        <v>62.311391912078051</v>
      </c>
      <c r="DC239" s="201">
        <f t="shared" ca="1" si="852"/>
        <v>62.368521078133789</v>
      </c>
      <c r="DD239" s="201">
        <f t="shared" ca="1" si="852"/>
        <v>62.425835311900542</v>
      </c>
      <c r="DE239" s="201">
        <f t="shared" ca="1" si="852"/>
        <v>62.483335212897991</v>
      </c>
      <c r="DF239" s="201">
        <f t="shared" ca="1" si="852"/>
        <v>62.541021382587878</v>
      </c>
      <c r="DG239" s="201">
        <f t="shared" ca="1" si="852"/>
        <v>62.598894424380404</v>
      </c>
      <c r="DH239" s="201">
        <f t="shared" ca="1" si="852"/>
        <v>62.656954943640457</v>
      </c>
      <c r="DI239" s="201">
        <f t="shared" ca="1" si="852"/>
        <v>62.71520354769401</v>
      </c>
      <c r="DJ239" s="201">
        <f t="shared" ca="1" si="852"/>
        <v>62.773640845834443</v>
      </c>
      <c r="DK239" s="201">
        <f t="shared" ca="1" si="852"/>
        <v>62.832267449328896</v>
      </c>
      <c r="DL239" s="201">
        <f t="shared" ca="1" si="852"/>
        <v>62.89108397142472</v>
      </c>
      <c r="DM239" s="201">
        <f t="shared" ca="1" si="852"/>
        <v>62.950091027355796</v>
      </c>
      <c r="DN239" s="201">
        <f t="shared" ca="1" si="852"/>
        <v>63.009289234349119</v>
      </c>
      <c r="DO239" s="201">
        <f t="shared" ca="1" si="852"/>
        <v>63.068679211631093</v>
      </c>
      <c r="DP239" s="201">
        <f t="shared" ca="1" si="852"/>
        <v>63.128261580434106</v>
      </c>
      <c r="DQ239" s="201">
        <f t="shared" ca="1" si="852"/>
        <v>63.188036964003025</v>
      </c>
      <c r="DR239" s="201">
        <f t="shared" ca="1" si="852"/>
        <v>63.248005987601637</v>
      </c>
      <c r="DS239" s="201">
        <f t="shared" ca="1" si="852"/>
        <v>63.308169278519337</v>
      </c>
      <c r="DT239" s="201">
        <f t="shared" ca="1" si="852"/>
        <v>63.368527466077509</v>
      </c>
      <c r="DU239" s="201">
        <f t="shared" ca="1" si="852"/>
        <v>63.429081181636256</v>
      </c>
      <c r="DV239" s="201">
        <f t="shared" ca="1" si="852"/>
        <v>63.48983105860092</v>
      </c>
      <c r="DW239" s="201">
        <f t="shared" ca="1" si="852"/>
        <v>63.550777732428735</v>
      </c>
      <c r="DX239" s="201">
        <f t="shared" ca="1" si="852"/>
        <v>63.611921840635532</v>
      </c>
      <c r="DY239" s="201">
        <f t="shared" ca="1" si="852"/>
        <v>63.673264022802236</v>
      </c>
      <c r="DZ239" s="201">
        <f t="shared" ca="1" si="852"/>
        <v>63.734804920581773</v>
      </c>
      <c r="EA239" s="201">
        <f t="shared" ca="1" si="852"/>
        <v>63.796545177705646</v>
      </c>
      <c r="EB239" s="201">
        <f t="shared" ca="1" si="852"/>
        <v>63.858485439990673</v>
      </c>
      <c r="EC239" s="201">
        <f t="shared" ca="1" si="842"/>
        <v>63.920626355345803</v>
      </c>
      <c r="ED239" s="201">
        <f t="shared" ca="1" si="843"/>
        <v>63.982968573778848</v>
      </c>
      <c r="EE239" s="201">
        <f t="shared" ca="1" si="843"/>
        <v>64.045512747403308</v>
      </c>
      <c r="EF239" s="201">
        <f t="shared" ca="1" si="843"/>
        <v>64.108259530445153</v>
      </c>
      <c r="EG239" s="201">
        <f t="shared" ca="1" si="843"/>
        <v>64.171209579249719</v>
      </c>
      <c r="EH239" s="201">
        <f t="shared" ca="1" si="843"/>
        <v>64.234363552288542</v>
      </c>
      <c r="EI239" s="201">
        <f t="shared" ca="1" si="843"/>
        <v>64.29772211016622</v>
      </c>
      <c r="EJ239" s="201">
        <f t="shared" ca="1" si="843"/>
        <v>64.361285915627406</v>
      </c>
      <c r="EK239" s="201">
        <f t="shared" ca="1" si="843"/>
        <v>64.425055633563673</v>
      </c>
      <c r="EL239" s="201">
        <f t="shared" ca="1" si="843"/>
        <v>64.489031931020435</v>
      </c>
      <c r="EM239" s="201">
        <f t="shared" ca="1" si="843"/>
        <v>64.553215477204049</v>
      </c>
      <c r="EN239" s="201">
        <f t="shared" ca="1" si="843"/>
        <v>64.617606943488681</v>
      </c>
      <c r="EO239" s="201">
        <f t="shared" ca="1" si="843"/>
        <v>64.682207003423414</v>
      </c>
      <c r="EP239" s="201">
        <f t="shared" ca="1" si="843"/>
        <v>64.747016332739264</v>
      </c>
      <c r="EQ239" s="201">
        <f t="shared" ca="1" si="843"/>
        <v>64.812035609356258</v>
      </c>
      <c r="ER239" s="201">
        <f t="shared" ca="1" si="843"/>
        <v>64.877265513390498</v>
      </c>
      <c r="ES239" s="201">
        <f t="shared" ca="1" si="843"/>
        <v>64.942706727161337</v>
      </c>
      <c r="ET239" s="201">
        <f t="shared" ca="1" si="843"/>
        <v>65.008359935198399</v>
      </c>
      <c r="EU239" s="201">
        <f t="shared" ca="1" si="843"/>
        <v>65.074225824248899</v>
      </c>
      <c r="EV239" s="201">
        <f t="shared" ca="1" si="843"/>
        <v>65.140305083284687</v>
      </c>
      <c r="EW239" s="201">
        <f t="shared" ca="1" si="843"/>
        <v>65.206598403509545</v>
      </c>
      <c r="EX239" s="201">
        <f t="shared" ca="1" si="843"/>
        <v>65.273106478366373</v>
      </c>
      <c r="EY239" s="201">
        <f t="shared" ca="1" si="843"/>
        <v>65.339830003544407</v>
      </c>
      <c r="EZ239" s="201">
        <f t="shared" ca="1" si="843"/>
        <v>65.406769676986613</v>
      </c>
      <c r="FA239" s="201">
        <f t="shared" ca="1" si="843"/>
        <v>65.473926198896905</v>
      </c>
      <c r="FB239" s="201">
        <f t="shared" ca="1" si="843"/>
        <v>65.541300271747417</v>
      </c>
      <c r="FC239" s="201">
        <f t="shared" ca="1" si="843"/>
        <v>65.608892600285969</v>
      </c>
      <c r="FD239" s="201">
        <f t="shared" ca="1" si="843"/>
        <v>65.676703891543397</v>
      </c>
      <c r="FE239" s="201">
        <f t="shared" ca="1" si="843"/>
        <v>65.744734854840871</v>
      </c>
      <c r="FF239" s="201">
        <f t="shared" ca="1" si="843"/>
        <v>65.812986201797457</v>
      </c>
      <c r="FG239" s="201">
        <f t="shared" ca="1" si="843"/>
        <v>65.881458646337421</v>
      </c>
      <c r="FH239" s="201">
        <f t="shared" ca="1" si="843"/>
        <v>65.950152904697802</v>
      </c>
      <c r="FI239" s="201">
        <f t="shared" ca="1" si="843"/>
        <v>66.019069695435803</v>
      </c>
      <c r="FJ239" s="201">
        <f t="shared" ca="1" si="843"/>
        <v>66.088209739436451</v>
      </c>
      <c r="FK239" s="201">
        <f t="shared" ca="1" si="843"/>
        <v>66.157573759919984</v>
      </c>
      <c r="FL239" s="201">
        <f t="shared" ca="1" si="843"/>
        <v>66.227162482449515</v>
      </c>
      <c r="FM239" s="201">
        <f t="shared" ca="1" si="843"/>
        <v>66.296976634938559</v>
      </c>
      <c r="FN239" s="201">
        <f t="shared" ca="1" si="843"/>
        <v>66.367016947658726</v>
      </c>
      <c r="FO239" s="201">
        <f t="shared" ca="1" si="843"/>
        <v>66.437284153247276</v>
      </c>
      <c r="FP239" s="201">
        <f t="shared" ca="1" si="843"/>
        <v>66.507778986714825</v>
      </c>
      <c r="FQ239" s="201">
        <f t="shared" ca="1" si="843"/>
        <v>66.578502185453047</v>
      </c>
      <c r="FR239" s="201">
        <f t="shared" ca="1" si="843"/>
        <v>66.649454489242316</v>
      </c>
      <c r="FS239" s="201">
        <f t="shared" ca="1" si="843"/>
        <v>66.720636640259585</v>
      </c>
      <c r="FT239" s="201">
        <f t="shared" ca="1" si="843"/>
        <v>66.792049383085967</v>
      </c>
      <c r="FU239" s="201">
        <f t="shared" ca="1" si="843"/>
        <v>66.863693464714686</v>
      </c>
      <c r="FV239" s="201">
        <f t="shared" ca="1" si="843"/>
        <v>66.93556963455876</v>
      </c>
      <c r="FW239" s="201">
        <f t="shared" ca="1" si="843"/>
        <v>67.007678644458963</v>
      </c>
      <c r="FX239" s="201">
        <f t="shared" ca="1" si="843"/>
        <v>67.080021248691594</v>
      </c>
      <c r="FY239" s="201">
        <f t="shared" ca="1" si="843"/>
        <v>67.152598203976382</v>
      </c>
      <c r="FZ239" s="201">
        <f t="shared" ca="1" si="843"/>
        <v>67.22541026948447</v>
      </c>
      <c r="GA239" s="201">
        <f t="shared" ca="1" si="843"/>
        <v>67.298458206846263</v>
      </c>
      <c r="GB239" s="201">
        <f t="shared" ca="1" si="843"/>
        <v>67.371742780159479</v>
      </c>
      <c r="GC239" s="201">
        <f t="shared" ca="1" si="843"/>
        <v>67.445264755997044</v>
      </c>
      <c r="GD239" s="201">
        <f t="shared" ca="1" si="843"/>
        <v>67.519024903415243</v>
      </c>
      <c r="GE239" s="201">
        <f t="shared" ca="1" si="843"/>
        <v>67.593023993961609</v>
      </c>
      <c r="GF239" s="201">
        <f t="shared" ca="1" si="843"/>
        <v>67.667262801683123</v>
      </c>
      <c r="GG239" s="201">
        <f t="shared" ca="1" si="843"/>
        <v>67.741742103134257</v>
      </c>
      <c r="GH239" s="201">
        <f t="shared" ca="1" si="843"/>
        <v>67.816462677385076</v>
      </c>
      <c r="GI239" s="201">
        <f t="shared" ca="1" si="843"/>
        <v>67.891425306029433</v>
      </c>
      <c r="GJ239" s="201">
        <f t="shared" ca="1" si="843"/>
        <v>67.966630773193131</v>
      </c>
      <c r="GK239" s="201">
        <f t="shared" ca="1" si="843"/>
        <v>68.042079865542092</v>
      </c>
      <c r="GL239" s="201">
        <f t="shared" ca="1" si="843"/>
        <v>68.117773372290642</v>
      </c>
      <c r="GM239" s="201">
        <f t="shared" ca="1" si="843"/>
        <v>68.193712085209711</v>
      </c>
      <c r="GN239" s="201">
        <f t="shared" ca="1" si="843"/>
        <v>68.269896798635159</v>
      </c>
      <c r="GO239" s="201">
        <f t="shared" ca="1" si="843"/>
        <v>68.346328309476036</v>
      </c>
      <c r="GP239" s="201">
        <f t="shared" ca="1" si="844"/>
        <v>68.423007417222976</v>
      </c>
      <c r="GQ239" s="201">
        <f t="shared" ca="1" si="844"/>
        <v>68.499934923956516</v>
      </c>
      <c r="GR239" s="201">
        <f t="shared" ca="1" si="844"/>
        <v>68.57711163435556</v>
      </c>
      <c r="GS239" s="201">
        <f t="shared" ca="1" si="844"/>
        <v>68.654538355705625</v>
      </c>
      <c r="GT239" s="201">
        <f t="shared" ca="1" si="844"/>
        <v>68.732215897907494</v>
      </c>
      <c r="GU239" s="201">
        <f t="shared" ca="1" si="844"/>
        <v>68.810145073485543</v>
      </c>
      <c r="GV239" s="201">
        <f t="shared" ca="1" si="844"/>
        <v>68.888326697596341</v>
      </c>
      <c r="GW239" s="201">
        <f t="shared" ca="1" si="844"/>
        <v>68.966761588037045</v>
      </c>
      <c r="GX239" s="201">
        <f t="shared" ca="1" si="844"/>
        <v>69.045450565254086</v>
      </c>
      <c r="GY239" s="201">
        <f t="shared" ca="1" si="844"/>
        <v>69.124394452351723</v>
      </c>
      <c r="GZ239" s="201">
        <f t="shared" ca="1" si="844"/>
        <v>69.203594075100554</v>
      </c>
      <c r="HA239" s="201">
        <f t="shared" ca="1" si="844"/>
        <v>69.2830502619463</v>
      </c>
      <c r="HB239" s="201">
        <f t="shared" ca="1" si="844"/>
        <v>69.362763844018374</v>
      </c>
      <c r="HC239" s="201">
        <f t="shared" ca="1" si="844"/>
        <v>69.442735655138605</v>
      </c>
      <c r="HD239" s="201">
        <f t="shared" ca="1" si="844"/>
        <v>69.522966531829908</v>
      </c>
      <c r="HE239" s="201">
        <f t="shared" ca="1" si="844"/>
        <v>69.603457313325151</v>
      </c>
      <c r="HF239" s="201">
        <f t="shared" ca="1" si="844"/>
        <v>69.684208841575852</v>
      </c>
      <c r="HG239" s="201">
        <f t="shared" ca="1" si="844"/>
        <v>69.765221961260963</v>
      </c>
      <c r="HH239" s="201">
        <f t="shared" ca="1" si="844"/>
        <v>69.846497519795747</v>
      </c>
      <c r="HI239" s="201">
        <f t="shared" ca="1" si="844"/>
        <v>69.928036367340667</v>
      </c>
      <c r="HJ239" s="201">
        <f t="shared" ca="1" si="844"/>
        <v>70.009839356810218</v>
      </c>
      <c r="HK239" s="201">
        <f t="shared" ca="1" si="844"/>
        <v>70.091907343881914</v>
      </c>
      <c r="HL239" s="201">
        <f t="shared" ca="1" si="844"/>
        <v>70.174241187005151</v>
      </c>
      <c r="HM239" s="201">
        <f t="shared" ca="1" si="844"/>
        <v>70.256841747410277</v>
      </c>
      <c r="HN239" s="201">
        <f t="shared" ca="1" si="844"/>
        <v>70.339709889117543</v>
      </c>
      <c r="HO239" s="201">
        <f t="shared" ca="1" si="844"/>
        <v>70.422846478946184</v>
      </c>
      <c r="HP239" s="201">
        <f t="shared" ca="1" si="844"/>
        <v>70.506252386523414</v>
      </c>
      <c r="HQ239" s="201">
        <f t="shared" ca="1" si="844"/>
        <v>70.589928484293651</v>
      </c>
      <c r="HR239" s="201">
        <f t="shared" ca="1" si="844"/>
        <v>70.673875647527481</v>
      </c>
      <c r="HS239" s="201">
        <f t="shared" ca="1" si="844"/>
        <v>70.758094754330926</v>
      </c>
      <c r="HT239" s="201">
        <f t="shared" ca="1" si="844"/>
        <v>70.842586685654609</v>
      </c>
      <c r="HU239" s="201">
        <f t="shared" ca="1" si="844"/>
        <v>70.927352325302948</v>
      </c>
      <c r="HV239" s="201">
        <f t="shared" ca="1" si="844"/>
        <v>71.012392559943436</v>
      </c>
      <c r="HW239" s="201">
        <f t="shared" ca="1" si="844"/>
        <v>71.097708279115821</v>
      </c>
      <c r="HX239" s="201">
        <f t="shared" ca="1" si="844"/>
        <v>71.183300375241572</v>
      </c>
      <c r="HY239" s="201">
        <f t="shared" ca="1" si="844"/>
        <v>71.269169743633057</v>
      </c>
      <c r="HZ239" s="201">
        <f t="shared" ca="1" si="844"/>
        <v>71.355317282503009</v>
      </c>
      <c r="IA239" s="201">
        <f t="shared" ca="1" si="844"/>
        <v>71.441743892973847</v>
      </c>
      <c r="IB239" s="201">
        <f t="shared" ca="1" si="844"/>
        <v>71.528450479087184</v>
      </c>
      <c r="IC239" s="201">
        <f t="shared" ca="1" si="844"/>
        <v>71.61543794781322</v>
      </c>
      <c r="ID239" s="201">
        <f t="shared" ca="1" si="844"/>
        <v>71.70270720906025</v>
      </c>
      <c r="IE239" s="201">
        <f t="shared" ca="1" si="844"/>
        <v>71.79025917568417</v>
      </c>
      <c r="IF239" s="201">
        <f t="shared" ca="1" si="844"/>
        <v>71.878094763498083</v>
      </c>
      <c r="IG239" s="201">
        <f t="shared" ca="1" si="844"/>
        <v>71.966214891281766</v>
      </c>
      <c r="IH239" s="201">
        <f t="shared" ca="1" si="844"/>
        <v>72.054620480791399</v>
      </c>
      <c r="II239" s="201">
        <f t="shared" ca="1" si="844"/>
        <v>72.143312456769152</v>
      </c>
      <c r="IJ239" s="201">
        <f t="shared" ca="1" si="844"/>
        <v>72.232291746952811</v>
      </c>
      <c r="IK239" s="201">
        <f t="shared" ca="1" si="844"/>
        <v>72.321559282085616</v>
      </c>
      <c r="IL239" s="201">
        <f t="shared" ca="1" si="844"/>
        <v>72.411115995925826</v>
      </c>
      <c r="IM239" s="201">
        <f t="shared" ca="1" si="844"/>
        <v>72.500962825256636</v>
      </c>
      <c r="IN239" s="201">
        <f t="shared" ca="1" si="844"/>
        <v>72.591100709895883</v>
      </c>
      <c r="IO239" s="201">
        <f t="shared" ca="1" si="844"/>
        <v>72.681530592705911</v>
      </c>
      <c r="IP239" s="201">
        <f t="shared" ca="1" si="844"/>
        <v>72.772253419603459</v>
      </c>
      <c r="IQ239" s="201">
        <f t="shared" ca="1" si="844"/>
        <v>72.863270139569465</v>
      </c>
      <c r="IR239" s="201">
        <f t="shared" ca="1" si="844"/>
        <v>72.95458170465912</v>
      </c>
      <c r="IS239" s="201">
        <f t="shared" ca="1" si="844"/>
        <v>73.046189070011735</v>
      </c>
      <c r="IT239" s="201">
        <f t="shared" ca="1" si="844"/>
        <v>73.138093193860726</v>
      </c>
      <c r="IU239" s="201">
        <f t="shared" ca="1" si="844"/>
        <v>73.230295037543726</v>
      </c>
      <c r="IV239" s="201">
        <f t="shared" ca="1" si="844"/>
        <v>73.322795565512578</v>
      </c>
      <c r="IW239" s="201">
        <f t="shared" ca="1" si="844"/>
        <v>73.415595745343325</v>
      </c>
      <c r="IX239" s="201">
        <f t="shared" ca="1" si="844"/>
        <v>73.508696547746595</v>
      </c>
      <c r="IY239" s="201">
        <f t="shared" ca="1" si="844"/>
        <v>73.60209894657747</v>
      </c>
      <c r="IZ239" s="201">
        <f t="shared" ca="1" si="844"/>
        <v>73.695803918845883</v>
      </c>
      <c r="JA239" s="201">
        <f t="shared" ca="1" si="844"/>
        <v>73.789812444726692</v>
      </c>
      <c r="JB239" s="201">
        <f t="shared" ca="1" si="845"/>
        <v>73.884125507570005</v>
      </c>
      <c r="JC239" s="201">
        <f t="shared" ca="1" si="845"/>
        <v>73.978744093911473</v>
      </c>
      <c r="JD239" s="201">
        <f t="shared" ca="1" si="845"/>
        <v>74.073669193482601</v>
      </c>
      <c r="JE239" s="201">
        <f t="shared" ca="1" si="845"/>
        <v>74.168901799221061</v>
      </c>
      <c r="JF239" s="201">
        <f t="shared" ca="1" si="845"/>
        <v>74.264442907281122</v>
      </c>
      <c r="JG239" s="201">
        <f t="shared" ca="1" si="845"/>
        <v>74.360293517044028</v>
      </c>
      <c r="JH239" s="201">
        <f t="shared" ca="1" si="845"/>
        <v>74.456454631128551</v>
      </c>
      <c r="JI239" s="201">
        <f t="shared" ca="1" si="845"/>
        <v>74.552927255401315</v>
      </c>
      <c r="JJ239" s="201">
        <f t="shared" ca="1" si="845"/>
        <v>74.649712398987504</v>
      </c>
      <c r="JK239" s="201">
        <f t="shared" ca="1" si="845"/>
        <v>74.74681107428124</v>
      </c>
      <c r="JL239" s="201">
        <f t="shared" ca="1" si="845"/>
        <v>74.844224296956298</v>
      </c>
      <c r="JM239" s="201">
        <f t="shared" ca="1" si="845"/>
        <v>74.941953085976692</v>
      </c>
      <c r="JN239" s="201">
        <f t="shared" ca="1" si="845"/>
        <v>75.039998463607319</v>
      </c>
      <c r="JO239" s="201">
        <f t="shared" ca="1" si="845"/>
        <v>75.138361455424686</v>
      </c>
      <c r="JP239" s="201">
        <f t="shared" ca="1" si="845"/>
        <v>75.23704309032756</v>
      </c>
      <c r="JQ239" s="201">
        <f t="shared" ca="1" si="845"/>
        <v>75.336044400547848</v>
      </c>
      <c r="JR239" s="201">
        <f t="shared" ca="1" si="845"/>
        <v>75.435366421661271</v>
      </c>
      <c r="JS239" s="201">
        <f t="shared" ca="1" si="845"/>
        <v>75.535010192598321</v>
      </c>
      <c r="JT239" s="201">
        <f t="shared" ca="1" si="845"/>
        <v>75.634976755655032</v>
      </c>
      <c r="JU239" s="201">
        <f t="shared" ca="1" si="845"/>
        <v>75.735267156503909</v>
      </c>
      <c r="JV239" s="201">
        <f t="shared" ca="1" si="845"/>
        <v>75.835882444204913</v>
      </c>
      <c r="JW239" s="201">
        <f t="shared" ca="1" si="845"/>
        <v>75.936823671216317</v>
      </c>
      <c r="JX239" s="201">
        <f t="shared" ca="1" si="845"/>
        <v>76.038091893405863</v>
      </c>
      <c r="JY239" s="201">
        <f t="shared" ca="1" si="845"/>
        <v>76.139688170061703</v>
      </c>
      <c r="JZ239" s="201">
        <f t="shared" ca="1" si="845"/>
        <v>76.241613563903528</v>
      </c>
      <c r="KA239" s="201">
        <f t="shared" ca="1" si="845"/>
        <v>76.343869141093634</v>
      </c>
      <c r="KB239" s="201">
        <f t="shared" ca="1" si="845"/>
        <v>76.44645597124817</v>
      </c>
      <c r="KC239" s="201">
        <f t="shared" ca="1" si="845"/>
        <v>76.549375127448201</v>
      </c>
      <c r="KD239" s="201">
        <f t="shared" ca="1" si="845"/>
        <v>76.652627686251023</v>
      </c>
      <c r="KE239" s="201">
        <f t="shared" ca="1" si="845"/>
        <v>76.756214727701405</v>
      </c>
      <c r="KF239" s="201">
        <f t="shared" ca="1" si="845"/>
        <v>76.860137335342898</v>
      </c>
      <c r="KG239" s="201">
        <f t="shared" ca="1" si="845"/>
        <v>76.964396596229065</v>
      </c>
      <c r="KH239" s="201">
        <f t="shared" ca="1" si="845"/>
        <v>77.068993600935059</v>
      </c>
      <c r="KI239" s="201">
        <f t="shared" ca="1" si="845"/>
        <v>77.173929443568795</v>
      </c>
      <c r="KJ239" s="201">
        <f t="shared" ca="1" si="845"/>
        <v>77.279205221782576</v>
      </c>
      <c r="KK239" s="201">
        <f t="shared" ca="1" si="845"/>
        <v>77.384822036784527</v>
      </c>
      <c r="KL239" s="201">
        <f t="shared" ca="1" si="845"/>
        <v>77.490780993349986</v>
      </c>
      <c r="KM239" s="201">
        <f t="shared" ca="1" si="845"/>
        <v>77.597083199833278</v>
      </c>
      <c r="KN239" s="201">
        <f t="shared" ca="1" si="845"/>
        <v>77.703729768179173</v>
      </c>
      <c r="KO239" s="201">
        <f t="shared" ca="1" si="845"/>
        <v>77.810721813934521</v>
      </c>
      <c r="KP239" s="201">
        <f t="shared" ca="1" si="845"/>
        <v>77.918060456259909</v>
      </c>
      <c r="KQ239" s="201">
        <f t="shared" ca="1" si="845"/>
        <v>78.025746817941481</v>
      </c>
      <c r="KR239" s="201">
        <f t="shared" ca="1" si="845"/>
        <v>78.133782025402581</v>
      </c>
      <c r="KS239" s="201">
        <f t="shared" ca="1" si="845"/>
        <v>78.242167208715514</v>
      </c>
      <c r="KT239" s="201">
        <f t="shared" ca="1" si="845"/>
        <v>78.350903501613416</v>
      </c>
      <c r="KU239" s="201">
        <f t="shared" ca="1" si="845"/>
        <v>78.45999204150219</v>
      </c>
      <c r="KV239" s="201">
        <f t="shared" ca="1" si="845"/>
        <v>78.569433969472215</v>
      </c>
      <c r="KW239" s="201">
        <f t="shared" ca="1" si="845"/>
        <v>78.679230430310426</v>
      </c>
      <c r="KX239" s="201">
        <f t="shared" ca="1" si="845"/>
        <v>78.789382572512281</v>
      </c>
      <c r="KY239" s="201">
        <f t="shared" ca="1" si="845"/>
        <v>78.899891548293709</v>
      </c>
      <c r="KZ239" s="201">
        <f t="shared" ca="1" si="845"/>
        <v>79.010758513603221</v>
      </c>
      <c r="LA239" s="201">
        <f t="shared" ca="1" si="845"/>
        <v>79.121984628133958</v>
      </c>
      <c r="LB239" s="201">
        <f t="shared" ca="1" si="845"/>
        <v>79.233571055335858</v>
      </c>
      <c r="LC239" s="201">
        <f t="shared" ca="1" si="845"/>
        <v>79.345518962427789</v>
      </c>
      <c r="LD239" s="201">
        <f t="shared" ca="1" si="845"/>
        <v>79.457829520409817</v>
      </c>
      <c r="LE239" s="201">
        <f t="shared" ca="1" si="845"/>
        <v>79.570503904075366</v>
      </c>
      <c r="LF239" s="201">
        <f t="shared" ca="1" si="845"/>
        <v>79.6835432920236</v>
      </c>
      <c r="LG239" s="201">
        <f t="shared" ca="1" si="845"/>
        <v>79.796948866671684</v>
      </c>
      <c r="LH239" s="201">
        <f t="shared" ca="1" si="845"/>
        <v>79.910721814267177</v>
      </c>
      <c r="LI239" s="201">
        <f t="shared" ca="1" si="845"/>
        <v>80.02486332490048</v>
      </c>
      <c r="LJ239" s="201">
        <f t="shared" ca="1" si="845"/>
        <v>80.1393745925172</v>
      </c>
      <c r="LK239" s="201">
        <f t="shared" ca="1" si="845"/>
        <v>80.254256814930741</v>
      </c>
      <c r="LL239" s="201">
        <f t="shared" ca="1" si="845"/>
        <v>80.369511193834626</v>
      </c>
      <c r="LM239" s="201">
        <f t="shared" ca="1" si="845"/>
        <v>80.485138934815453</v>
      </c>
      <c r="LN239" s="201">
        <f t="shared" ca="1" si="846"/>
        <v>80.601141247365078</v>
      </c>
      <c r="LO239" s="201">
        <f t="shared" ca="1" si="846"/>
        <v>80.717519344893546</v>
      </c>
      <c r="LP239" s="201">
        <f t="shared" ca="1" si="846"/>
        <v>80.834274444741666</v>
      </c>
      <c r="LQ239" s="201">
        <f t="shared" ca="1" si="846"/>
        <v>80.951407768193789</v>
      </c>
      <c r="LR239" s="201">
        <f t="shared" ca="1" si="846"/>
        <v>81.068920540490581</v>
      </c>
      <c r="LS239" s="201">
        <f t="shared" ca="1" si="846"/>
        <v>81.186813990841799</v>
      </c>
      <c r="LT239" s="201">
        <f t="shared" ca="1" si="846"/>
        <v>81.305089352439225</v>
      </c>
      <c r="LU239" s="201">
        <f t="shared" ca="1" si="846"/>
        <v>81.423747862469412</v>
      </c>
      <c r="LV239" s="201">
        <f t="shared" ca="1" si="846"/>
        <v>81.54279076212687</v>
      </c>
      <c r="LW239" s="201">
        <f t="shared" ca="1" si="846"/>
        <v>81.662219296626802</v>
      </c>
      <c r="LX239" s="201">
        <f t="shared" ca="1" si="846"/>
        <v>81.782034715218316</v>
      </c>
      <c r="LY239" s="201">
        <f t="shared" ca="1" si="846"/>
        <v>81.902238271197362</v>
      </c>
      <c r="LZ239" s="201">
        <f t="shared" ca="1" si="846"/>
        <v>82.022831221919873</v>
      </c>
      <c r="MA239" s="201">
        <f t="shared" ca="1" si="846"/>
        <v>82.143814828815024</v>
      </c>
      <c r="MB239" s="201">
        <f t="shared" ca="1" si="846"/>
        <v>82.265190357398239</v>
      </c>
      <c r="MC239" s="201">
        <f t="shared" ca="1" si="846"/>
        <v>82.386959077284644</v>
      </c>
      <c r="MD239" s="201">
        <f t="shared" ca="1" si="846"/>
        <v>82.509122262202098</v>
      </c>
      <c r="ME239" s="201">
        <f t="shared" ca="1" si="846"/>
        <v>82.631681190004798</v>
      </c>
      <c r="MF239" s="201">
        <f t="shared" ca="1" si="846"/>
        <v>82.754637142686363</v>
      </c>
      <c r="MG239" s="201">
        <f t="shared" ca="1" si="846"/>
        <v>82.877991406393463</v>
      </c>
      <c r="MH239" s="201">
        <f t="shared" ca="1" si="846"/>
        <v>83.001745271439191</v>
      </c>
      <c r="MI239" s="201">
        <f t="shared" ca="1" si="846"/>
        <v>83.125900032316508</v>
      </c>
      <c r="MJ239" s="201">
        <f t="shared" ca="1" si="846"/>
        <v>83.250456987711885</v>
      </c>
      <c r="MK239" s="201">
        <f t="shared" ca="1" si="846"/>
        <v>83.375417440518817</v>
      </c>
      <c r="ML239" s="201">
        <f t="shared" ca="1" si="846"/>
        <v>83.500782697851463</v>
      </c>
      <c r="MM239" s="201">
        <f t="shared" ca="1" si="846"/>
        <v>83.626554071058322</v>
      </c>
      <c r="MN239" s="201">
        <f t="shared" ca="1" si="846"/>
        <v>83.752732875736015</v>
      </c>
      <c r="MO239" s="201">
        <f t="shared" ca="1" si="846"/>
        <v>83.879320431742883</v>
      </c>
      <c r="MP239" s="201">
        <f t="shared" ca="1" si="846"/>
        <v>84.006318063213016</v>
      </c>
      <c r="MQ239" s="201">
        <f t="shared" ca="1" si="846"/>
        <v>84.133727098569864</v>
      </c>
      <c r="MR239" s="201">
        <f t="shared" ca="1" si="846"/>
        <v>84.261548870540381</v>
      </c>
      <c r="MS239" s="201">
        <f t="shared" ca="1" si="846"/>
        <v>84.389784716168734</v>
      </c>
      <c r="MT239" s="201">
        <f t="shared" ca="1" si="846"/>
        <v>84.518435976830403</v>
      </c>
      <c r="MU239" s="201">
        <f t="shared" ca="1" si="846"/>
        <v>84.647503998246293</v>
      </c>
      <c r="MV239" s="201">
        <f t="shared" ca="1" si="846"/>
        <v>84.776990130496586</v>
      </c>
      <c r="MW239" s="201">
        <f t="shared" ca="1" si="846"/>
        <v>84.90689572803511</v>
      </c>
      <c r="MX239" s="201">
        <f t="shared" ca="1" si="846"/>
        <v>85.037222149703339</v>
      </c>
      <c r="MY239" s="201">
        <f t="shared" ca="1" si="846"/>
        <v>85.167970758744659</v>
      </c>
      <c r="MZ239" s="201">
        <f t="shared" ca="1" si="846"/>
        <v>85.299142922818675</v>
      </c>
      <c r="NA239" s="201">
        <f t="shared" ca="1" si="846"/>
        <v>85.430740014015385</v>
      </c>
      <c r="NB239" s="201">
        <f t="shared" ca="1" si="846"/>
        <v>85.562763408869699</v>
      </c>
      <c r="NC239" s="201">
        <f t="shared" ca="1" si="846"/>
        <v>85.695214488375754</v>
      </c>
      <c r="ND239" s="201">
        <f t="shared" ca="1" si="846"/>
        <v>85.828094638001332</v>
      </c>
      <c r="NE239" s="201">
        <f t="shared" ca="1" si="846"/>
        <v>85.961405247702345</v>
      </c>
      <c r="NF239" s="201">
        <f t="shared" ca="1" si="846"/>
        <v>86.095147711937514</v>
      </c>
      <c r="NG239" s="201">
        <f t="shared" ca="1" si="846"/>
        <v>86.229323429682793</v>
      </c>
      <c r="NH239" s="201">
        <f t="shared" ca="1" si="846"/>
        <v>86.363933804446063</v>
      </c>
      <c r="NI239" s="201">
        <f t="shared" ca="1" si="846"/>
        <v>86.498980244281853</v>
      </c>
      <c r="NJ239" s="201">
        <f t="shared" ca="1" si="846"/>
        <v>86.634464161805951</v>
      </c>
      <c r="NK239" s="201">
        <f t="shared" ca="1" si="846"/>
        <v>86.770386974210339</v>
      </c>
      <c r="NL239" s="201">
        <f t="shared" ca="1" si="846"/>
        <v>86.906750103277929</v>
      </c>
      <c r="NM239" s="201">
        <f t="shared" ca="1" si="846"/>
        <v>87.043554975397399</v>
      </c>
      <c r="NN239" s="201">
        <f t="shared" ca="1" si="846"/>
        <v>87.180803021578157</v>
      </c>
      <c r="NO239" s="201">
        <f t="shared" ca="1" si="846"/>
        <v>87.318495677465407</v>
      </c>
      <c r="NP239" s="201">
        <f t="shared" ca="1" si="846"/>
        <v>87.45663438335491</v>
      </c>
      <c r="NQ239" s="201">
        <f t="shared" ca="1" si="846"/>
        <v>87.595220584208363</v>
      </c>
      <c r="NR239" s="201">
        <f t="shared" ca="1" si="846"/>
        <v>87.734255729668249</v>
      </c>
      <c r="NS239" s="201">
        <f t="shared" ca="1" si="846"/>
        <v>87.873741274073197</v>
      </c>
      <c r="NT239" s="201">
        <f t="shared" ca="1" si="846"/>
        <v>88.01367867647302</v>
      </c>
      <c r="NU239" s="201">
        <f t="shared" ca="1" si="846"/>
        <v>88.154069400644147</v>
      </c>
      <c r="NV239" s="201">
        <f t="shared" ca="1" si="846"/>
        <v>88.29491491510484</v>
      </c>
      <c r="NW239" s="201">
        <f t="shared" ca="1" si="846"/>
        <v>88.436216693130504</v>
      </c>
      <c r="NX239" s="201">
        <f t="shared" ca="1" si="846"/>
        <v>88.577976212769215</v>
      </c>
      <c r="NY239" s="201">
        <f t="shared" ca="1" si="846"/>
        <v>88.720194956857142</v>
      </c>
      <c r="NZ239" s="201">
        <f t="shared" ca="1" si="847"/>
        <v>88.862874413034035</v>
      </c>
      <c r="OA239" s="201">
        <f t="shared" ca="1" si="847"/>
        <v>89.006016073758758</v>
      </c>
      <c r="OB239" s="201">
        <f t="shared" ca="1" si="847"/>
        <v>89.149621436324963</v>
      </c>
      <c r="OC239" s="201">
        <f t="shared" ca="1" si="847"/>
        <v>89.293692002876739</v>
      </c>
      <c r="OD239" s="201">
        <f t="shared" ca="1" si="847"/>
        <v>89.438229280424309</v>
      </c>
      <c r="OE239" s="201">
        <f t="shared" ca="1" si="847"/>
        <v>89.583234780859769</v>
      </c>
      <c r="OF239" s="201">
        <f t="shared" ca="1" si="847"/>
        <v>89.72871002097294</v>
      </c>
      <c r="OG239" s="201">
        <f t="shared" ca="1" si="847"/>
        <v>89.874656522467276</v>
      </c>
      <c r="OH239" s="201">
        <f t="shared" ca="1" si="847"/>
        <v>90.021075811975649</v>
      </c>
      <c r="OI239" s="201">
        <f t="shared" ca="1" si="847"/>
        <v>90.16796942107645</v>
      </c>
      <c r="OJ239" s="201">
        <f t="shared" ca="1" si="847"/>
        <v>90.315338886309561</v>
      </c>
      <c r="OK239" s="201">
        <f t="shared" ca="1" si="847"/>
        <v>90.463185749192377</v>
      </c>
      <c r="OL239" s="201">
        <f t="shared" ca="1" si="847"/>
        <v>90.611511556236053</v>
      </c>
      <c r="OM239" s="201">
        <f t="shared" ca="1" si="847"/>
        <v>90.760317858961542</v>
      </c>
      <c r="ON239" s="201">
        <f t="shared" ca="1" si="847"/>
        <v>90.909606213915936</v>
      </c>
      <c r="OO239" s="201">
        <f t="shared" ca="1" si="847"/>
        <v>91.059378182688661</v>
      </c>
      <c r="OP239" s="201">
        <f t="shared" ca="1" si="847"/>
        <v>91.209635331927842</v>
      </c>
      <c r="OQ239" s="201">
        <f t="shared" ca="1" si="847"/>
        <v>91.360379233356781</v>
      </c>
      <c r="OR239" s="201">
        <f t="shared" ca="1" si="847"/>
        <v>91.511611463790217</v>
      </c>
      <c r="OS239" s="201">
        <f t="shared" ca="1" si="847"/>
        <v>91.663333605150981</v>
      </c>
      <c r="OT239" s="201">
        <f t="shared" ca="1" si="847"/>
        <v>91.815547244486467</v>
      </c>
      <c r="OU239" s="201">
        <f t="shared" ca="1" si="847"/>
        <v>91.968253973985227</v>
      </c>
      <c r="OV239" s="201">
        <f t="shared" ca="1" si="847"/>
        <v>92.121455390993688</v>
      </c>
      <c r="OW239" s="201">
        <f t="shared" ca="1" si="847"/>
        <v>92.275153098032774</v>
      </c>
      <c r="OX239" s="201">
        <f t="shared" ca="1" si="847"/>
        <v>92.429348702814764</v>
      </c>
      <c r="OY239" s="201">
        <f t="shared" ca="1" si="847"/>
        <v>92.584043818259971</v>
      </c>
      <c r="OZ239" s="201">
        <f t="shared" ca="1" si="847"/>
        <v>92.739240062513801</v>
      </c>
      <c r="PA239" s="201">
        <f t="shared" ca="1" si="847"/>
        <v>92.894939058963544</v>
      </c>
      <c r="PB239" s="201">
        <f t="shared" ca="1" si="847"/>
        <v>93.051142436255304</v>
      </c>
      <c r="PC239" s="201">
        <f t="shared" ca="1" si="847"/>
        <v>93.207851828311291</v>
      </c>
      <c r="PD239" s="201">
        <f t="shared" ca="1" si="847"/>
        <v>93.365068874346619</v>
      </c>
      <c r="PE239" s="201">
        <f t="shared" ca="1" si="847"/>
        <v>93.522795218886586</v>
      </c>
      <c r="PF239" s="201">
        <f t="shared" ca="1" si="847"/>
        <v>93.681032511783911</v>
      </c>
      <c r="PG239" s="201">
        <f t="shared" ca="1" si="847"/>
        <v>93.839782408235877</v>
      </c>
      <c r="PH239" s="201">
        <f t="shared" ca="1" si="847"/>
        <v>93.999046568801802</v>
      </c>
      <c r="PI239" s="201">
        <f t="shared" ca="1" si="847"/>
        <v>94.158826659420257</v>
      </c>
      <c r="PJ239" s="201">
        <f t="shared" ca="1" si="847"/>
        <v>94.319124351426581</v>
      </c>
      <c r="PK239" s="201">
        <f t="shared" ca="1" si="847"/>
        <v>94.479941321570337</v>
      </c>
      <c r="PL239" s="201">
        <f t="shared" ca="1" si="847"/>
        <v>94.641279252032874</v>
      </c>
      <c r="PM239" s="201">
        <f t="shared" ca="1" si="847"/>
        <v>94.80313983044482</v>
      </c>
      <c r="PN239" s="201">
        <f t="shared" ca="1" si="847"/>
        <v>94.965524749903963</v>
      </c>
      <c r="PO239" s="201">
        <f t="shared" ca="1" si="847"/>
        <v>95.128435708992626</v>
      </c>
      <c r="PP239" s="201">
        <f t="shared" ca="1" si="847"/>
        <v>95.291874411795774</v>
      </c>
      <c r="PQ239" s="201">
        <f t="shared" ca="1" si="847"/>
        <v>95.45584256791868</v>
      </c>
      <c r="PR239" s="201">
        <f t="shared" ca="1" si="847"/>
        <v>95.620341892504698</v>
      </c>
      <c r="PS239" s="201">
        <f t="shared" ca="1" si="847"/>
        <v>95.785374106253457</v>
      </c>
      <c r="PT239" s="201">
        <f t="shared" ca="1" si="847"/>
        <v>95.950940935438624</v>
      </c>
      <c r="PU239" s="201">
        <f t="shared" ca="1" si="847"/>
        <v>96.117044111926162</v>
      </c>
      <c r="PV239" s="201">
        <f t="shared" ca="1" si="847"/>
        <v>96.283685373192242</v>
      </c>
      <c r="PW239" s="201">
        <f t="shared" ca="1" si="847"/>
        <v>96.450866462341651</v>
      </c>
      <c r="PX239" s="201">
        <f t="shared" ca="1" si="847"/>
        <v>96.61858912812572</v>
      </c>
      <c r="PY239" s="201">
        <f t="shared" ca="1" si="847"/>
        <v>96.786855124960951</v>
      </c>
      <c r="PZ239" s="201">
        <f t="shared" ca="1" si="847"/>
        <v>96.955666212947094</v>
      </c>
      <c r="QA239" s="201">
        <f t="shared" ca="1" si="847"/>
        <v>97.12502415788579</v>
      </c>
      <c r="QB239" s="201">
        <f t="shared" ca="1" si="847"/>
        <v>97.294930731298834</v>
      </c>
      <c r="QC239" s="201">
        <f t="shared" ca="1" si="847"/>
        <v>97.465387710446805</v>
      </c>
      <c r="QD239" s="201">
        <f t="shared" ca="1" si="847"/>
        <v>97.636396878347725</v>
      </c>
      <c r="QE239" s="201">
        <f t="shared" ca="1" si="847"/>
        <v>97.80796002379553</v>
      </c>
      <c r="QF239" s="201">
        <f t="shared" ca="1" si="847"/>
        <v>97.980078941378906</v>
      </c>
      <c r="QG239" s="201">
        <f t="shared" ca="1" si="847"/>
        <v>98.152755431500154</v>
      </c>
      <c r="QH239" s="201">
        <f t="shared" ca="1" si="847"/>
        <v>98.325991300393767</v>
      </c>
      <c r="QI239" s="201">
        <f t="shared" ca="1" si="847"/>
        <v>98.49978836014553</v>
      </c>
      <c r="QJ239" s="201">
        <f t="shared" ca="1" si="847"/>
        <v>98.674148428711376</v>
      </c>
      <c r="QK239" s="201">
        <f t="shared" ca="1" si="847"/>
        <v>98.849073329936459</v>
      </c>
      <c r="QL239" s="201">
        <f t="shared" ca="1" si="848"/>
        <v>99.024564893574265</v>
      </c>
      <c r="QM239" s="201">
        <f t="shared" ca="1" si="848"/>
        <v>99.200624955305543</v>
      </c>
      <c r="QN239" s="201">
        <f t="shared" ca="1" si="848"/>
        <v>99.3772553567578</v>
      </c>
      <c r="QO239" s="201">
        <f t="shared" ca="1" si="848"/>
        <v>99.554457945524391</v>
      </c>
      <c r="QP239" s="201">
        <f t="shared" ca="1" si="848"/>
        <v>99.732234575183796</v>
      </c>
      <c r="QQ239" s="201">
        <f t="shared" ca="1" si="848"/>
        <v>99.910587105319252</v>
      </c>
      <c r="QR239" s="201">
        <f t="shared" ca="1" si="848"/>
        <v>100.08951740153788</v>
      </c>
      <c r="QS239" s="201">
        <f t="shared" ca="1" si="848"/>
        <v>100.26902733549048</v>
      </c>
      <c r="QT239" s="201">
        <f t="shared" ca="1" si="848"/>
        <v>100.44911878489084</v>
      </c>
      <c r="QU239" s="201">
        <f t="shared" ca="1" si="848"/>
        <v>100.6297936335358</v>
      </c>
      <c r="QV239" s="201">
        <f t="shared" ca="1" si="848"/>
        <v>100.81105377132435</v>
      </c>
      <c r="QW239" s="201">
        <f t="shared" ca="1" si="848"/>
        <v>100.99290109427801</v>
      </c>
      <c r="QX239" s="201">
        <f t="shared" ca="1" si="848"/>
        <v>101.17533750456018</v>
      </c>
      <c r="QY239" s="201">
        <f t="shared" ca="1" si="848"/>
        <v>101.3583649104965</v>
      </c>
      <c r="QZ239" s="201">
        <f t="shared" ca="1" si="848"/>
        <v>101.54198522659422</v>
      </c>
      <c r="RA239" s="201">
        <f t="shared" ca="1" si="848"/>
        <v>101.72620037356288</v>
      </c>
      <c r="RB239" s="201">
        <f t="shared" ca="1" si="848"/>
        <v>101.91101227833389</v>
      </c>
      <c r="RC239" s="201">
        <f t="shared" ca="1" si="848"/>
        <v>102.09642287408094</v>
      </c>
      <c r="RD239" s="201">
        <f t="shared" ca="1" si="848"/>
        <v>102.28243410024017</v>
      </c>
      <c r="RE239" s="201">
        <f t="shared" ca="1" si="848"/>
        <v>102.46904790253041</v>
      </c>
      <c r="RF239" s="201">
        <f t="shared" ca="1" si="848"/>
        <v>102.65626623297359</v>
      </c>
      <c r="RG239" s="201">
        <f t="shared" ca="1" si="848"/>
        <v>102.84409104991519</v>
      </c>
      <c r="RH239" s="201">
        <f t="shared" ca="1" si="848"/>
        <v>103.03252431804461</v>
      </c>
      <c r="RI239" s="201">
        <f t="shared" ca="1" si="848"/>
        <v>103.22156800841576</v>
      </c>
      <c r="RJ239" s="201">
        <f t="shared" ca="1" si="848"/>
        <v>103.41122409846783</v>
      </c>
      <c r="RK239" s="201">
        <f t="shared" ca="1" si="848"/>
        <v>103.60149457204571</v>
      </c>
      <c r="RL239" s="201">
        <f t="shared" ca="1" si="848"/>
        <v>103.79238141942089</v>
      </c>
      <c r="RM239" s="201">
        <f t="shared" ca="1" si="848"/>
        <v>103.98388663731239</v>
      </c>
      <c r="RN239" s="201">
        <f t="shared" ca="1" si="848"/>
        <v>104.17601222890738</v>
      </c>
      <c r="RO239" s="201">
        <f t="shared" ca="1" si="848"/>
        <v>104.36876020388236</v>
      </c>
      <c r="RP239" s="201">
        <f t="shared" ca="1" si="848"/>
        <v>104.5621325784241</v>
      </c>
      <c r="RQ239" s="201">
        <f t="shared" ca="1" si="848"/>
        <v>104.7561313752507</v>
      </c>
      <c r="RR239" s="201">
        <f t="shared" ca="1" si="848"/>
        <v>104.95075862363278</v>
      </c>
      <c r="RS239" s="201"/>
    </row>
    <row r="240" spans="1:487">
      <c r="D240" s="9" t="str">
        <f t="shared" si="849"/>
        <v>RE PPA Weighted Avg</v>
      </c>
      <c r="E240" s="201">
        <f t="shared" si="850"/>
        <v>78.248627568402384</v>
      </c>
      <c r="F240" s="201">
        <f t="shared" ref="F240:BQ241" si="853">600*F204</f>
        <v>78.248627568402384</v>
      </c>
      <c r="G240" s="201">
        <f t="shared" si="853"/>
        <v>78.248627568402384</v>
      </c>
      <c r="H240" s="201">
        <f t="shared" si="853"/>
        <v>78.248627568402384</v>
      </c>
      <c r="I240" s="201">
        <f t="shared" si="853"/>
        <v>78.248627568402384</v>
      </c>
      <c r="J240" s="201">
        <f t="shared" si="853"/>
        <v>78.248627568402384</v>
      </c>
      <c r="K240" s="201">
        <f t="shared" si="853"/>
        <v>78.248627568402384</v>
      </c>
      <c r="L240" s="201">
        <f t="shared" si="853"/>
        <v>78.248627568402384</v>
      </c>
      <c r="M240" s="201">
        <f t="shared" si="853"/>
        <v>78.248627568402384</v>
      </c>
      <c r="N240" s="201">
        <f t="shared" si="853"/>
        <v>78.248627568402384</v>
      </c>
      <c r="O240" s="201">
        <f t="shared" si="853"/>
        <v>78.248627568402384</v>
      </c>
      <c r="P240" s="201">
        <f t="shared" si="853"/>
        <v>78.248627568402384</v>
      </c>
      <c r="Q240" s="201">
        <f t="shared" si="853"/>
        <v>78.248627568402384</v>
      </c>
      <c r="R240" s="201">
        <f t="shared" si="853"/>
        <v>78.248627568402384</v>
      </c>
      <c r="S240" s="201">
        <f t="shared" si="853"/>
        <v>78.248627568402384</v>
      </c>
      <c r="T240" s="201">
        <f t="shared" si="853"/>
        <v>78.248627568402384</v>
      </c>
      <c r="U240" s="201">
        <f t="shared" si="853"/>
        <v>78.248627568402384</v>
      </c>
      <c r="V240" s="201">
        <f t="shared" si="853"/>
        <v>78.248627568402384</v>
      </c>
      <c r="W240" s="201">
        <f t="shared" si="853"/>
        <v>78.248627568402384</v>
      </c>
      <c r="X240" s="201">
        <f t="shared" si="853"/>
        <v>78.248627568402384</v>
      </c>
      <c r="Y240" s="201">
        <f t="shared" si="853"/>
        <v>78.248627568402384</v>
      </c>
      <c r="Z240" s="201">
        <f t="shared" si="853"/>
        <v>78.248627568402384</v>
      </c>
      <c r="AA240" s="201">
        <f t="shared" si="853"/>
        <v>78.248627568402384</v>
      </c>
      <c r="AB240" s="201">
        <f t="shared" si="853"/>
        <v>78.248627568402384</v>
      </c>
      <c r="AC240" s="201">
        <f t="shared" si="853"/>
        <v>78.248627568402384</v>
      </c>
      <c r="AD240" s="201">
        <f t="shared" si="853"/>
        <v>78.248627568402384</v>
      </c>
      <c r="AE240" s="201">
        <f t="shared" si="853"/>
        <v>78.248627568402384</v>
      </c>
      <c r="AF240" s="201">
        <f t="shared" si="853"/>
        <v>78.248627568402384</v>
      </c>
      <c r="AG240" s="201">
        <f t="shared" si="853"/>
        <v>78.248627568402384</v>
      </c>
      <c r="AH240" s="201">
        <f t="shared" si="853"/>
        <v>78.248627568402384</v>
      </c>
      <c r="AI240" s="201">
        <f t="shared" si="853"/>
        <v>78.248627568402384</v>
      </c>
      <c r="AJ240" s="201">
        <f t="shared" si="853"/>
        <v>78.248627568402384</v>
      </c>
      <c r="AK240" s="201">
        <f t="shared" si="853"/>
        <v>78.248627568402384</v>
      </c>
      <c r="AL240" s="201">
        <f t="shared" si="853"/>
        <v>78.248627568402384</v>
      </c>
      <c r="AM240" s="201">
        <f t="shared" si="853"/>
        <v>78.248627568402384</v>
      </c>
      <c r="AN240" s="201">
        <f t="shared" si="853"/>
        <v>78.248627568402384</v>
      </c>
      <c r="AO240" s="201">
        <f t="shared" si="853"/>
        <v>78.248627568402384</v>
      </c>
      <c r="AP240" s="201">
        <f t="shared" si="853"/>
        <v>78.248627568402384</v>
      </c>
      <c r="AQ240" s="201">
        <f t="shared" si="853"/>
        <v>78.248627568402384</v>
      </c>
      <c r="AR240" s="201">
        <f t="shared" si="853"/>
        <v>78.248627568402384</v>
      </c>
      <c r="AS240" s="201">
        <f t="shared" si="853"/>
        <v>78.248627568402384</v>
      </c>
      <c r="AT240" s="201">
        <f t="shared" si="853"/>
        <v>78.248627568402384</v>
      </c>
      <c r="AU240" s="201">
        <f t="shared" si="853"/>
        <v>78.248627568402384</v>
      </c>
      <c r="AV240" s="201">
        <f t="shared" si="853"/>
        <v>78.248627568402384</v>
      </c>
      <c r="AW240" s="201">
        <f t="shared" si="853"/>
        <v>78.248627568402384</v>
      </c>
      <c r="AX240" s="201">
        <f t="shared" si="853"/>
        <v>78.248627568402384</v>
      </c>
      <c r="AY240" s="201">
        <f t="shared" si="853"/>
        <v>78.248627568402384</v>
      </c>
      <c r="AZ240" s="201">
        <f t="shared" si="853"/>
        <v>78.248627568402384</v>
      </c>
      <c r="BA240" s="201">
        <f t="shared" si="853"/>
        <v>78.248627568402384</v>
      </c>
      <c r="BB240" s="201">
        <f t="shared" si="853"/>
        <v>78.248627568402384</v>
      </c>
      <c r="BC240" s="201">
        <f t="shared" si="853"/>
        <v>78.248627568402384</v>
      </c>
      <c r="BD240" s="201">
        <f t="shared" si="853"/>
        <v>78.248627568402384</v>
      </c>
      <c r="BE240" s="201">
        <f t="shared" si="853"/>
        <v>78.248627568402384</v>
      </c>
      <c r="BF240" s="201">
        <f t="shared" si="853"/>
        <v>78.248627568402384</v>
      </c>
      <c r="BG240" s="201">
        <f t="shared" si="853"/>
        <v>78.248627568402384</v>
      </c>
      <c r="BH240" s="201">
        <f t="shared" si="853"/>
        <v>78.248627568402384</v>
      </c>
      <c r="BI240" s="201">
        <f t="shared" si="853"/>
        <v>78.248627568402384</v>
      </c>
      <c r="BJ240" s="201">
        <f t="shared" si="853"/>
        <v>78.248627568402384</v>
      </c>
      <c r="BK240" s="201">
        <f t="shared" si="853"/>
        <v>78.248627568402384</v>
      </c>
      <c r="BL240" s="201">
        <f t="shared" si="853"/>
        <v>78.248627568402384</v>
      </c>
      <c r="BM240" s="201">
        <f t="shared" si="853"/>
        <v>78.248627568402384</v>
      </c>
      <c r="BN240" s="201">
        <f t="shared" si="853"/>
        <v>78.248627568402384</v>
      </c>
      <c r="BO240" s="201">
        <f t="shared" si="853"/>
        <v>78.248627568402384</v>
      </c>
      <c r="BP240" s="201">
        <f t="shared" si="853"/>
        <v>78.248627568402384</v>
      </c>
      <c r="BQ240" s="201">
        <f t="shared" si="853"/>
        <v>78.248627568402384</v>
      </c>
      <c r="BR240" s="201">
        <f t="shared" si="842"/>
        <v>78.248627568402384</v>
      </c>
      <c r="BS240" s="201">
        <f t="shared" si="842"/>
        <v>78.248627568402384</v>
      </c>
      <c r="BT240" s="201">
        <f t="shared" si="842"/>
        <v>78.248627568402384</v>
      </c>
      <c r="BU240" s="201">
        <f t="shared" si="842"/>
        <v>78.248627568402384</v>
      </c>
      <c r="BV240" s="201">
        <f t="shared" si="842"/>
        <v>78.248627568402384</v>
      </c>
      <c r="BW240" s="201">
        <f t="shared" si="842"/>
        <v>78.248627568402384</v>
      </c>
      <c r="BX240" s="201">
        <f t="shared" si="842"/>
        <v>78.248627568402384</v>
      </c>
      <c r="BY240" s="201">
        <f t="shared" si="842"/>
        <v>78.248627568402384</v>
      </c>
      <c r="BZ240" s="201">
        <f t="shared" si="842"/>
        <v>78.248627568402384</v>
      </c>
      <c r="CA240" s="201">
        <f t="shared" si="842"/>
        <v>78.248627568402384</v>
      </c>
      <c r="CB240" s="201">
        <f t="shared" si="842"/>
        <v>78.248627568402384</v>
      </c>
      <c r="CC240" s="201">
        <f t="shared" si="842"/>
        <v>78.248627568402384</v>
      </c>
      <c r="CD240" s="201">
        <f t="shared" si="842"/>
        <v>78.248627568402384</v>
      </c>
      <c r="CE240" s="201">
        <f t="shared" si="842"/>
        <v>78.248627568402384</v>
      </c>
      <c r="CF240" s="201">
        <f t="shared" si="842"/>
        <v>78.248627568402384</v>
      </c>
      <c r="CG240" s="201">
        <f t="shared" si="842"/>
        <v>78.248627568402384</v>
      </c>
      <c r="CH240" s="201">
        <f t="shared" si="842"/>
        <v>78.248627568402384</v>
      </c>
      <c r="CI240" s="201">
        <f t="shared" si="842"/>
        <v>78.248627568402384</v>
      </c>
      <c r="CJ240" s="201">
        <f t="shared" si="842"/>
        <v>78.248627568402384</v>
      </c>
      <c r="CK240" s="201">
        <f t="shared" si="842"/>
        <v>78.248627568402384</v>
      </c>
      <c r="CL240" s="201">
        <f t="shared" si="842"/>
        <v>78.248627568402384</v>
      </c>
      <c r="CM240" s="201">
        <f t="shared" si="842"/>
        <v>78.248627568402384</v>
      </c>
      <c r="CN240" s="201">
        <f t="shared" si="842"/>
        <v>78.248627568402384</v>
      </c>
      <c r="CO240" s="201">
        <f t="shared" si="842"/>
        <v>78.248627568402384</v>
      </c>
      <c r="CP240" s="201">
        <f t="shared" si="842"/>
        <v>78.248627568402384</v>
      </c>
      <c r="CQ240" s="201">
        <f t="shared" si="842"/>
        <v>78.248627568402384</v>
      </c>
      <c r="CR240" s="201">
        <f t="shared" si="842"/>
        <v>78.248627568402384</v>
      </c>
      <c r="CS240" s="201">
        <f t="shared" si="842"/>
        <v>78.248627568402384</v>
      </c>
      <c r="CT240" s="201">
        <f t="shared" si="842"/>
        <v>78.248627568402384</v>
      </c>
      <c r="CU240" s="201">
        <f t="shared" si="842"/>
        <v>78.248627568402384</v>
      </c>
      <c r="CV240" s="201">
        <f t="shared" si="842"/>
        <v>78.248627568402384</v>
      </c>
      <c r="CW240" s="201">
        <f t="shared" si="842"/>
        <v>78.248627568402384</v>
      </c>
      <c r="CX240" s="201">
        <f t="shared" si="842"/>
        <v>78.248627568402384</v>
      </c>
      <c r="CY240" s="201">
        <f t="shared" si="842"/>
        <v>78.248627568402384</v>
      </c>
      <c r="CZ240" s="201">
        <f t="shared" si="842"/>
        <v>78.248627568402384</v>
      </c>
      <c r="DA240" s="201">
        <f t="shared" si="842"/>
        <v>78.248627568402384</v>
      </c>
      <c r="DB240" s="201">
        <f t="shared" si="842"/>
        <v>78.248627568402384</v>
      </c>
      <c r="DC240" s="201">
        <f t="shared" si="842"/>
        <v>78.248627568402384</v>
      </c>
      <c r="DD240" s="201">
        <f t="shared" si="842"/>
        <v>78.248627568402384</v>
      </c>
      <c r="DE240" s="201">
        <f t="shared" si="842"/>
        <v>78.248627568402384</v>
      </c>
      <c r="DF240" s="201">
        <f t="shared" si="842"/>
        <v>78.248627568402384</v>
      </c>
      <c r="DG240" s="201">
        <f t="shared" si="842"/>
        <v>78.248627568402384</v>
      </c>
      <c r="DH240" s="201">
        <f t="shared" si="842"/>
        <v>78.248627568402384</v>
      </c>
      <c r="DI240" s="201">
        <f t="shared" si="842"/>
        <v>78.248627568402384</v>
      </c>
      <c r="DJ240" s="201">
        <f t="shared" si="842"/>
        <v>78.248627568402384</v>
      </c>
      <c r="DK240" s="201">
        <f t="shared" si="842"/>
        <v>78.248627568402384</v>
      </c>
      <c r="DL240" s="201">
        <f t="shared" si="842"/>
        <v>78.248627568402384</v>
      </c>
      <c r="DM240" s="201">
        <f t="shared" si="842"/>
        <v>78.248627568402384</v>
      </c>
      <c r="DN240" s="201">
        <f t="shared" si="842"/>
        <v>78.248627568402384</v>
      </c>
      <c r="DO240" s="201">
        <f t="shared" si="842"/>
        <v>78.248627568402384</v>
      </c>
      <c r="DP240" s="201">
        <f t="shared" si="842"/>
        <v>78.248627568402384</v>
      </c>
      <c r="DQ240" s="201">
        <f t="shared" si="842"/>
        <v>78.248627568402384</v>
      </c>
      <c r="DR240" s="201">
        <f t="shared" si="842"/>
        <v>78.248627568402384</v>
      </c>
      <c r="DS240" s="201">
        <f t="shared" si="842"/>
        <v>78.248627568402384</v>
      </c>
      <c r="DT240" s="201">
        <f t="shared" si="842"/>
        <v>78.248627568402384</v>
      </c>
      <c r="DU240" s="201">
        <f t="shared" si="842"/>
        <v>78.248627568402384</v>
      </c>
      <c r="DV240" s="201">
        <f t="shared" si="842"/>
        <v>78.248627568402384</v>
      </c>
      <c r="DW240" s="201">
        <f t="shared" si="842"/>
        <v>78.248627568402384</v>
      </c>
      <c r="DX240" s="201">
        <f t="shared" si="842"/>
        <v>78.248627568402384</v>
      </c>
      <c r="DY240" s="201">
        <f t="shared" si="842"/>
        <v>78.248627568402384</v>
      </c>
      <c r="DZ240" s="201">
        <f t="shared" si="842"/>
        <v>78.248627568402384</v>
      </c>
      <c r="EA240" s="201">
        <f t="shared" si="842"/>
        <v>78.248627568402384</v>
      </c>
      <c r="EB240" s="201">
        <f t="shared" si="842"/>
        <v>78.248627568402384</v>
      </c>
      <c r="EC240" s="201">
        <f t="shared" ref="EC240:GN241" si="854">600*EC204</f>
        <v>78.248627568402384</v>
      </c>
      <c r="ED240" s="201">
        <f t="shared" si="854"/>
        <v>78.248627568402384</v>
      </c>
      <c r="EE240" s="201">
        <f t="shared" si="854"/>
        <v>78.248627568402384</v>
      </c>
      <c r="EF240" s="201">
        <f t="shared" si="854"/>
        <v>78.248627568402384</v>
      </c>
      <c r="EG240" s="201">
        <f t="shared" si="854"/>
        <v>78.248627568402384</v>
      </c>
      <c r="EH240" s="201">
        <f t="shared" si="854"/>
        <v>78.248627568402384</v>
      </c>
      <c r="EI240" s="201">
        <f t="shared" si="854"/>
        <v>78.248627568402384</v>
      </c>
      <c r="EJ240" s="201">
        <f t="shared" si="854"/>
        <v>78.248627568402384</v>
      </c>
      <c r="EK240" s="201">
        <f t="shared" si="854"/>
        <v>78.248627568402384</v>
      </c>
      <c r="EL240" s="201">
        <f t="shared" si="854"/>
        <v>78.248627568402384</v>
      </c>
      <c r="EM240" s="201">
        <f t="shared" si="854"/>
        <v>78.248627568402384</v>
      </c>
      <c r="EN240" s="201">
        <f t="shared" si="854"/>
        <v>78.248627568402384</v>
      </c>
      <c r="EO240" s="201">
        <f t="shared" si="854"/>
        <v>78.248627568402384</v>
      </c>
      <c r="EP240" s="201">
        <f t="shared" si="854"/>
        <v>78.248627568402384</v>
      </c>
      <c r="EQ240" s="201">
        <f t="shared" si="854"/>
        <v>78.248627568402384</v>
      </c>
      <c r="ER240" s="201">
        <f t="shared" si="854"/>
        <v>78.248627568402384</v>
      </c>
      <c r="ES240" s="201">
        <f t="shared" si="854"/>
        <v>78.248627568402384</v>
      </c>
      <c r="ET240" s="201">
        <f t="shared" si="854"/>
        <v>78.248627568402384</v>
      </c>
      <c r="EU240" s="201">
        <f t="shared" si="854"/>
        <v>78.248627568402384</v>
      </c>
      <c r="EV240" s="201">
        <f t="shared" si="854"/>
        <v>78.248627568402384</v>
      </c>
      <c r="EW240" s="201">
        <f t="shared" si="854"/>
        <v>78.248627568402384</v>
      </c>
      <c r="EX240" s="201">
        <f t="shared" si="854"/>
        <v>78.248627568402384</v>
      </c>
      <c r="EY240" s="201">
        <f t="shared" si="854"/>
        <v>78.248627568402384</v>
      </c>
      <c r="EZ240" s="201">
        <f t="shared" si="854"/>
        <v>78.248627568402384</v>
      </c>
      <c r="FA240" s="201">
        <f t="shared" si="854"/>
        <v>78.248627568402384</v>
      </c>
      <c r="FB240" s="201">
        <f t="shared" si="854"/>
        <v>78.248627568402384</v>
      </c>
      <c r="FC240" s="201">
        <f t="shared" si="854"/>
        <v>78.248627568402384</v>
      </c>
      <c r="FD240" s="201">
        <f t="shared" si="854"/>
        <v>78.248627568402384</v>
      </c>
      <c r="FE240" s="201">
        <f t="shared" si="854"/>
        <v>78.248627568402384</v>
      </c>
      <c r="FF240" s="201">
        <f t="shared" si="854"/>
        <v>78.248627568402384</v>
      </c>
      <c r="FG240" s="201">
        <f t="shared" si="854"/>
        <v>78.248627568402384</v>
      </c>
      <c r="FH240" s="201">
        <f t="shared" si="854"/>
        <v>78.248627568402384</v>
      </c>
      <c r="FI240" s="201">
        <f t="shared" si="854"/>
        <v>78.248627568402384</v>
      </c>
      <c r="FJ240" s="201">
        <f t="shared" si="854"/>
        <v>78.248627568402384</v>
      </c>
      <c r="FK240" s="201">
        <f t="shared" si="854"/>
        <v>78.248627568402384</v>
      </c>
      <c r="FL240" s="201">
        <f t="shared" si="854"/>
        <v>78.248627568402384</v>
      </c>
      <c r="FM240" s="201">
        <f t="shared" si="854"/>
        <v>78.248627568402384</v>
      </c>
      <c r="FN240" s="201">
        <f t="shared" si="854"/>
        <v>78.248627568402384</v>
      </c>
      <c r="FO240" s="201">
        <f t="shared" si="854"/>
        <v>78.248627568402384</v>
      </c>
      <c r="FP240" s="201">
        <f t="shared" si="854"/>
        <v>78.248627568402384</v>
      </c>
      <c r="FQ240" s="201">
        <f t="shared" si="854"/>
        <v>78.248627568402384</v>
      </c>
      <c r="FR240" s="201">
        <f t="shared" si="854"/>
        <v>78.248627568402384</v>
      </c>
      <c r="FS240" s="201">
        <f t="shared" si="854"/>
        <v>78.248627568402384</v>
      </c>
      <c r="FT240" s="201">
        <f t="shared" si="854"/>
        <v>78.248627568402384</v>
      </c>
      <c r="FU240" s="201">
        <f t="shared" si="854"/>
        <v>78.248627568402384</v>
      </c>
      <c r="FV240" s="201">
        <f t="shared" si="854"/>
        <v>78.248627568402384</v>
      </c>
      <c r="FW240" s="201">
        <f t="shared" si="854"/>
        <v>78.248627568402384</v>
      </c>
      <c r="FX240" s="201">
        <f t="shared" si="854"/>
        <v>78.248627568402384</v>
      </c>
      <c r="FY240" s="201">
        <f t="shared" si="854"/>
        <v>78.248627568402384</v>
      </c>
      <c r="FZ240" s="201">
        <f t="shared" si="854"/>
        <v>78.248627568402384</v>
      </c>
      <c r="GA240" s="201">
        <f t="shared" si="854"/>
        <v>78.248627568402384</v>
      </c>
      <c r="GB240" s="201">
        <f t="shared" si="854"/>
        <v>78.248627568402384</v>
      </c>
      <c r="GC240" s="201">
        <f t="shared" si="854"/>
        <v>78.248627568402384</v>
      </c>
      <c r="GD240" s="201">
        <f t="shared" si="854"/>
        <v>78.248627568402384</v>
      </c>
      <c r="GE240" s="201">
        <f t="shared" si="854"/>
        <v>78.248627568402384</v>
      </c>
      <c r="GF240" s="201">
        <f t="shared" si="854"/>
        <v>78.248627568402384</v>
      </c>
      <c r="GG240" s="201">
        <f t="shared" si="854"/>
        <v>78.248627568402384</v>
      </c>
      <c r="GH240" s="201">
        <f t="shared" si="854"/>
        <v>78.248627568402384</v>
      </c>
      <c r="GI240" s="201">
        <f t="shared" si="854"/>
        <v>78.248627568402384</v>
      </c>
      <c r="GJ240" s="201">
        <f t="shared" si="854"/>
        <v>78.248627568402384</v>
      </c>
      <c r="GK240" s="201">
        <f t="shared" si="854"/>
        <v>78.248627568402384</v>
      </c>
      <c r="GL240" s="201">
        <f t="shared" si="854"/>
        <v>78.248627568402384</v>
      </c>
      <c r="GM240" s="201">
        <f t="shared" si="854"/>
        <v>78.248627568402384</v>
      </c>
      <c r="GN240" s="201">
        <f t="shared" si="854"/>
        <v>78.248627568402384</v>
      </c>
      <c r="GO240" s="201">
        <f t="shared" si="843"/>
        <v>78.248627568402384</v>
      </c>
      <c r="GP240" s="201">
        <f t="shared" si="844"/>
        <v>78.248627568402384</v>
      </c>
      <c r="GQ240" s="201">
        <f t="shared" si="844"/>
        <v>78.248627568402384</v>
      </c>
      <c r="GR240" s="201">
        <f t="shared" si="844"/>
        <v>78.248627568402384</v>
      </c>
      <c r="GS240" s="201">
        <f t="shared" si="844"/>
        <v>78.248627568402384</v>
      </c>
      <c r="GT240" s="201">
        <f t="shared" si="844"/>
        <v>78.248627568402384</v>
      </c>
      <c r="GU240" s="201">
        <f t="shared" si="844"/>
        <v>78.248627568402384</v>
      </c>
      <c r="GV240" s="201">
        <f t="shared" si="844"/>
        <v>78.248627568402384</v>
      </c>
      <c r="GW240" s="201">
        <f t="shared" si="844"/>
        <v>78.248627568402384</v>
      </c>
      <c r="GX240" s="201">
        <f t="shared" si="844"/>
        <v>78.248627568402384</v>
      </c>
      <c r="GY240" s="201">
        <f t="shared" si="844"/>
        <v>78.248627568402384</v>
      </c>
      <c r="GZ240" s="201">
        <f t="shared" si="844"/>
        <v>78.248627568402384</v>
      </c>
      <c r="HA240" s="201">
        <f t="shared" si="844"/>
        <v>78.248627568402384</v>
      </c>
      <c r="HB240" s="201">
        <f t="shared" si="844"/>
        <v>78.248627568402384</v>
      </c>
      <c r="HC240" s="201">
        <f t="shared" si="844"/>
        <v>78.248627568402384</v>
      </c>
      <c r="HD240" s="201">
        <f t="shared" si="844"/>
        <v>78.248627568402384</v>
      </c>
      <c r="HE240" s="201">
        <f t="shared" si="844"/>
        <v>78.248627568402384</v>
      </c>
      <c r="HF240" s="201">
        <f t="shared" si="844"/>
        <v>78.248627568402384</v>
      </c>
      <c r="HG240" s="201">
        <f t="shared" si="844"/>
        <v>78.248627568402384</v>
      </c>
      <c r="HH240" s="201">
        <f t="shared" si="844"/>
        <v>78.248627568402384</v>
      </c>
      <c r="HI240" s="201">
        <f t="shared" si="844"/>
        <v>78.248627568402384</v>
      </c>
      <c r="HJ240" s="201">
        <f t="shared" si="844"/>
        <v>78.248627568402384</v>
      </c>
      <c r="HK240" s="201">
        <f t="shared" si="844"/>
        <v>78.248627568402384</v>
      </c>
      <c r="HL240" s="201">
        <f t="shared" si="844"/>
        <v>78.248627568402384</v>
      </c>
      <c r="HM240" s="201">
        <f t="shared" si="844"/>
        <v>78.248627568402384</v>
      </c>
      <c r="HN240" s="201">
        <f t="shared" si="844"/>
        <v>78.248627568402384</v>
      </c>
      <c r="HO240" s="201">
        <f t="shared" si="844"/>
        <v>78.248627568402384</v>
      </c>
      <c r="HP240" s="201">
        <f t="shared" si="844"/>
        <v>78.248627568402384</v>
      </c>
      <c r="HQ240" s="201">
        <f t="shared" si="844"/>
        <v>78.248627568402384</v>
      </c>
      <c r="HR240" s="201">
        <f t="shared" si="844"/>
        <v>78.248627568402384</v>
      </c>
      <c r="HS240" s="201">
        <f t="shared" si="844"/>
        <v>78.248627568402384</v>
      </c>
      <c r="HT240" s="201">
        <f t="shared" si="844"/>
        <v>78.248627568402384</v>
      </c>
      <c r="HU240" s="201">
        <f t="shared" si="844"/>
        <v>78.248627568402384</v>
      </c>
      <c r="HV240" s="201">
        <f t="shared" si="844"/>
        <v>78.248627568402384</v>
      </c>
      <c r="HW240" s="201">
        <f t="shared" si="844"/>
        <v>78.248627568402384</v>
      </c>
      <c r="HX240" s="201">
        <f t="shared" si="844"/>
        <v>78.248627568402384</v>
      </c>
      <c r="HY240" s="201">
        <f t="shared" si="844"/>
        <v>78.248627568402384</v>
      </c>
      <c r="HZ240" s="201">
        <f t="shared" si="844"/>
        <v>78.248627568402384</v>
      </c>
      <c r="IA240" s="201">
        <f t="shared" si="844"/>
        <v>78.248627568402384</v>
      </c>
      <c r="IB240" s="201">
        <f t="shared" si="844"/>
        <v>78.248627568402384</v>
      </c>
      <c r="IC240" s="201">
        <f t="shared" si="844"/>
        <v>78.248627568402384</v>
      </c>
      <c r="ID240" s="201">
        <f t="shared" si="844"/>
        <v>78.248627568402384</v>
      </c>
      <c r="IE240" s="201">
        <f t="shared" si="844"/>
        <v>78.248627568402384</v>
      </c>
      <c r="IF240" s="201">
        <f t="shared" si="844"/>
        <v>78.248627568402384</v>
      </c>
      <c r="IG240" s="201">
        <f t="shared" si="844"/>
        <v>78.248627568402384</v>
      </c>
      <c r="IH240" s="201">
        <f t="shared" si="844"/>
        <v>78.248627568402384</v>
      </c>
      <c r="II240" s="201">
        <f t="shared" si="844"/>
        <v>78.248627568402384</v>
      </c>
      <c r="IJ240" s="201">
        <f t="shared" si="844"/>
        <v>78.248627568402384</v>
      </c>
      <c r="IK240" s="201">
        <f t="shared" si="844"/>
        <v>78.248627568402384</v>
      </c>
      <c r="IL240" s="201">
        <f t="shared" si="844"/>
        <v>78.248627568402384</v>
      </c>
      <c r="IM240" s="201">
        <f t="shared" si="844"/>
        <v>78.248627568402384</v>
      </c>
      <c r="IN240" s="201">
        <f t="shared" si="844"/>
        <v>78.248627568402384</v>
      </c>
      <c r="IO240" s="201">
        <f t="shared" si="844"/>
        <v>78.248627568402384</v>
      </c>
      <c r="IP240" s="201">
        <f t="shared" si="844"/>
        <v>78.248627568402384</v>
      </c>
      <c r="IQ240" s="201">
        <f t="shared" si="844"/>
        <v>78.248627568402384</v>
      </c>
      <c r="IR240" s="201">
        <f t="shared" si="844"/>
        <v>78.248627568402384</v>
      </c>
      <c r="IS240" s="201">
        <f t="shared" si="844"/>
        <v>78.248627568402384</v>
      </c>
      <c r="IT240" s="201">
        <f t="shared" si="844"/>
        <v>78.248627568402384</v>
      </c>
      <c r="IU240" s="201">
        <f t="shared" si="844"/>
        <v>78.248627568402384</v>
      </c>
      <c r="IV240" s="201">
        <f t="shared" si="844"/>
        <v>78.248627568402384</v>
      </c>
      <c r="IW240" s="201">
        <f t="shared" si="844"/>
        <v>78.248627568402384</v>
      </c>
      <c r="IX240" s="201">
        <f t="shared" si="844"/>
        <v>78.248627568402384</v>
      </c>
      <c r="IY240" s="201">
        <f t="shared" si="844"/>
        <v>78.248627568402384</v>
      </c>
      <c r="IZ240" s="201">
        <f t="shared" si="844"/>
        <v>78.248627568402384</v>
      </c>
      <c r="JA240" s="201">
        <f t="shared" ref="JA240:LL241" si="855">600*JA204</f>
        <v>78.248627568402384</v>
      </c>
      <c r="JB240" s="201">
        <f t="shared" si="855"/>
        <v>78.248627568402384</v>
      </c>
      <c r="JC240" s="201">
        <f t="shared" si="855"/>
        <v>78.248627568402384</v>
      </c>
      <c r="JD240" s="201">
        <f t="shared" si="855"/>
        <v>78.248627568402384</v>
      </c>
      <c r="JE240" s="201">
        <f t="shared" si="855"/>
        <v>78.248627568402384</v>
      </c>
      <c r="JF240" s="201">
        <f t="shared" si="855"/>
        <v>78.248627568402384</v>
      </c>
      <c r="JG240" s="201">
        <f t="shared" si="855"/>
        <v>78.248627568402384</v>
      </c>
      <c r="JH240" s="201">
        <f t="shared" si="855"/>
        <v>78.248627568402384</v>
      </c>
      <c r="JI240" s="201">
        <f t="shared" si="855"/>
        <v>78.248627568402384</v>
      </c>
      <c r="JJ240" s="201">
        <f t="shared" si="855"/>
        <v>78.248627568402384</v>
      </c>
      <c r="JK240" s="201">
        <f t="shared" si="855"/>
        <v>78.248627568402384</v>
      </c>
      <c r="JL240" s="201">
        <f t="shared" si="855"/>
        <v>78.248627568402384</v>
      </c>
      <c r="JM240" s="201">
        <f t="shared" si="855"/>
        <v>78.248627568402384</v>
      </c>
      <c r="JN240" s="201">
        <f t="shared" si="855"/>
        <v>78.248627568402384</v>
      </c>
      <c r="JO240" s="201">
        <f t="shared" si="855"/>
        <v>78.248627568402384</v>
      </c>
      <c r="JP240" s="201">
        <f t="shared" si="855"/>
        <v>78.248627568402384</v>
      </c>
      <c r="JQ240" s="201">
        <f t="shared" si="855"/>
        <v>78.248627568402384</v>
      </c>
      <c r="JR240" s="201">
        <f t="shared" si="855"/>
        <v>78.248627568402384</v>
      </c>
      <c r="JS240" s="201">
        <f t="shared" si="855"/>
        <v>78.248627568402384</v>
      </c>
      <c r="JT240" s="201">
        <f t="shared" si="855"/>
        <v>78.248627568402384</v>
      </c>
      <c r="JU240" s="201">
        <f t="shared" si="855"/>
        <v>78.248627568402384</v>
      </c>
      <c r="JV240" s="201">
        <f t="shared" si="855"/>
        <v>78.248627568402384</v>
      </c>
      <c r="JW240" s="201">
        <f t="shared" si="855"/>
        <v>78.248627568402384</v>
      </c>
      <c r="JX240" s="201">
        <f t="shared" si="855"/>
        <v>78.248627568402384</v>
      </c>
      <c r="JY240" s="201">
        <f t="shared" si="855"/>
        <v>78.248627568402384</v>
      </c>
      <c r="JZ240" s="201">
        <f t="shared" si="855"/>
        <v>78.248627568402384</v>
      </c>
      <c r="KA240" s="201">
        <f t="shared" si="855"/>
        <v>78.248627568402384</v>
      </c>
      <c r="KB240" s="201">
        <f t="shared" si="855"/>
        <v>78.248627568402384</v>
      </c>
      <c r="KC240" s="201">
        <f t="shared" si="855"/>
        <v>78.248627568402384</v>
      </c>
      <c r="KD240" s="201">
        <f t="shared" si="855"/>
        <v>78.248627568402384</v>
      </c>
      <c r="KE240" s="201">
        <f t="shared" si="855"/>
        <v>78.248627568402384</v>
      </c>
      <c r="KF240" s="201">
        <f t="shared" si="855"/>
        <v>78.248627568402384</v>
      </c>
      <c r="KG240" s="201">
        <f t="shared" si="855"/>
        <v>78.248627568402384</v>
      </c>
      <c r="KH240" s="201">
        <f t="shared" si="855"/>
        <v>78.248627568402384</v>
      </c>
      <c r="KI240" s="201">
        <f t="shared" si="855"/>
        <v>78.248627568402384</v>
      </c>
      <c r="KJ240" s="201">
        <f t="shared" si="855"/>
        <v>78.248627568402384</v>
      </c>
      <c r="KK240" s="201">
        <f t="shared" si="855"/>
        <v>78.248627568402384</v>
      </c>
      <c r="KL240" s="201">
        <f t="shared" si="855"/>
        <v>78.248627568402384</v>
      </c>
      <c r="KM240" s="201">
        <f t="shared" si="855"/>
        <v>78.248627568402384</v>
      </c>
      <c r="KN240" s="201">
        <f t="shared" si="855"/>
        <v>78.248627568402384</v>
      </c>
      <c r="KO240" s="201">
        <f t="shared" si="855"/>
        <v>78.248627568402384</v>
      </c>
      <c r="KP240" s="201">
        <f t="shared" si="855"/>
        <v>78.248627568402384</v>
      </c>
      <c r="KQ240" s="201">
        <f t="shared" si="855"/>
        <v>78.248627568402384</v>
      </c>
      <c r="KR240" s="201">
        <f t="shared" si="855"/>
        <v>78.248627568402384</v>
      </c>
      <c r="KS240" s="201">
        <f t="shared" si="855"/>
        <v>78.248627568402384</v>
      </c>
      <c r="KT240" s="201">
        <f t="shared" si="855"/>
        <v>78.248627568402384</v>
      </c>
      <c r="KU240" s="201">
        <f t="shared" si="855"/>
        <v>78.248627568402384</v>
      </c>
      <c r="KV240" s="201">
        <f t="shared" si="855"/>
        <v>78.248627568402384</v>
      </c>
      <c r="KW240" s="201">
        <f t="shared" si="855"/>
        <v>78.248627568402384</v>
      </c>
      <c r="KX240" s="201">
        <f t="shared" si="855"/>
        <v>78.248627568402384</v>
      </c>
      <c r="KY240" s="201">
        <f t="shared" si="855"/>
        <v>78.248627568402384</v>
      </c>
      <c r="KZ240" s="201">
        <f t="shared" si="855"/>
        <v>78.248627568402384</v>
      </c>
      <c r="LA240" s="201">
        <f t="shared" si="855"/>
        <v>78.248627568402384</v>
      </c>
      <c r="LB240" s="201">
        <f t="shared" si="855"/>
        <v>78.248627568402384</v>
      </c>
      <c r="LC240" s="201">
        <f t="shared" si="855"/>
        <v>78.248627568402384</v>
      </c>
      <c r="LD240" s="201">
        <f t="shared" si="855"/>
        <v>78.248627568402384</v>
      </c>
      <c r="LE240" s="201">
        <f t="shared" si="855"/>
        <v>78.248627568402384</v>
      </c>
      <c r="LF240" s="201">
        <f t="shared" si="855"/>
        <v>78.248627568402384</v>
      </c>
      <c r="LG240" s="201">
        <f t="shared" si="855"/>
        <v>78.248627568402384</v>
      </c>
      <c r="LH240" s="201">
        <f t="shared" si="855"/>
        <v>78.248627568402384</v>
      </c>
      <c r="LI240" s="201">
        <f t="shared" si="855"/>
        <v>78.248627568402384</v>
      </c>
      <c r="LJ240" s="201">
        <f t="shared" si="855"/>
        <v>78.248627568402384</v>
      </c>
      <c r="LK240" s="201">
        <f t="shared" si="855"/>
        <v>78.248627568402384</v>
      </c>
      <c r="LL240" s="201">
        <f t="shared" si="855"/>
        <v>78.248627568402384</v>
      </c>
      <c r="LM240" s="201">
        <f t="shared" si="845"/>
        <v>78.248627568402384</v>
      </c>
      <c r="LN240" s="201">
        <f t="shared" si="846"/>
        <v>78.248627568402384</v>
      </c>
      <c r="LO240" s="201">
        <f t="shared" si="846"/>
        <v>78.248627568402384</v>
      </c>
      <c r="LP240" s="201">
        <f t="shared" si="846"/>
        <v>78.248627568402384</v>
      </c>
      <c r="LQ240" s="201">
        <f t="shared" si="846"/>
        <v>78.248627568402384</v>
      </c>
      <c r="LR240" s="201">
        <f t="shared" si="846"/>
        <v>78.248627568402384</v>
      </c>
      <c r="LS240" s="201">
        <f t="shared" si="846"/>
        <v>78.248627568402384</v>
      </c>
      <c r="LT240" s="201">
        <f t="shared" si="846"/>
        <v>78.248627568402384</v>
      </c>
      <c r="LU240" s="201">
        <f t="shared" si="846"/>
        <v>78.248627568402384</v>
      </c>
      <c r="LV240" s="201">
        <f t="shared" si="846"/>
        <v>78.248627568402384</v>
      </c>
      <c r="LW240" s="201">
        <f t="shared" si="846"/>
        <v>78.248627568402384</v>
      </c>
      <c r="LX240" s="201">
        <f t="shared" si="846"/>
        <v>78.248627568402384</v>
      </c>
      <c r="LY240" s="201">
        <f t="shared" si="846"/>
        <v>78.248627568402384</v>
      </c>
      <c r="LZ240" s="201">
        <f t="shared" si="846"/>
        <v>78.248627568402384</v>
      </c>
      <c r="MA240" s="201">
        <f t="shared" si="846"/>
        <v>78.248627568402384</v>
      </c>
      <c r="MB240" s="201">
        <f t="shared" si="846"/>
        <v>78.248627568402384</v>
      </c>
      <c r="MC240" s="201">
        <f t="shared" si="846"/>
        <v>78.248627568402384</v>
      </c>
      <c r="MD240" s="201">
        <f t="shared" si="846"/>
        <v>78.248627568402384</v>
      </c>
      <c r="ME240" s="201">
        <f t="shared" si="846"/>
        <v>78.248627568402384</v>
      </c>
      <c r="MF240" s="201">
        <f t="shared" si="846"/>
        <v>78.248627568402384</v>
      </c>
      <c r="MG240" s="201">
        <f t="shared" si="846"/>
        <v>78.248627568402384</v>
      </c>
      <c r="MH240" s="201">
        <f t="shared" si="846"/>
        <v>78.248627568402384</v>
      </c>
      <c r="MI240" s="201">
        <f t="shared" si="846"/>
        <v>78.248627568402384</v>
      </c>
      <c r="MJ240" s="201">
        <f t="shared" si="846"/>
        <v>78.248627568402384</v>
      </c>
      <c r="MK240" s="201">
        <f t="shared" si="846"/>
        <v>78.248627568402384</v>
      </c>
      <c r="ML240" s="201">
        <f t="shared" si="846"/>
        <v>78.248627568402384</v>
      </c>
      <c r="MM240" s="201">
        <f t="shared" si="846"/>
        <v>78.248627568402384</v>
      </c>
      <c r="MN240" s="201">
        <f t="shared" si="846"/>
        <v>78.248627568402384</v>
      </c>
      <c r="MO240" s="201">
        <f t="shared" si="846"/>
        <v>78.248627568402384</v>
      </c>
      <c r="MP240" s="201">
        <f t="shared" si="846"/>
        <v>78.248627568402384</v>
      </c>
      <c r="MQ240" s="201">
        <f t="shared" si="846"/>
        <v>78.248627568402384</v>
      </c>
      <c r="MR240" s="201">
        <f t="shared" si="846"/>
        <v>78.248627568402384</v>
      </c>
      <c r="MS240" s="201">
        <f t="shared" si="846"/>
        <v>78.248627568402384</v>
      </c>
      <c r="MT240" s="201">
        <f t="shared" si="846"/>
        <v>78.248627568402384</v>
      </c>
      <c r="MU240" s="201">
        <f t="shared" si="846"/>
        <v>78.248627568402384</v>
      </c>
      <c r="MV240" s="201">
        <f t="shared" si="846"/>
        <v>78.248627568402384</v>
      </c>
      <c r="MW240" s="201">
        <f t="shared" si="846"/>
        <v>78.248627568402384</v>
      </c>
      <c r="MX240" s="201">
        <f t="shared" si="846"/>
        <v>78.248627568402384</v>
      </c>
      <c r="MY240" s="201">
        <f t="shared" si="846"/>
        <v>78.248627568402384</v>
      </c>
      <c r="MZ240" s="201">
        <f t="shared" si="846"/>
        <v>78.248627568402384</v>
      </c>
      <c r="NA240" s="201">
        <f t="shared" si="846"/>
        <v>78.248627568402384</v>
      </c>
      <c r="NB240" s="201">
        <f t="shared" si="846"/>
        <v>78.248627568402384</v>
      </c>
      <c r="NC240" s="201">
        <f t="shared" si="846"/>
        <v>78.248627568402384</v>
      </c>
      <c r="ND240" s="201">
        <f t="shared" si="846"/>
        <v>78.248627568402384</v>
      </c>
      <c r="NE240" s="201">
        <f t="shared" si="846"/>
        <v>78.248627568402384</v>
      </c>
      <c r="NF240" s="201">
        <f t="shared" si="846"/>
        <v>78.248627568402384</v>
      </c>
      <c r="NG240" s="201">
        <f t="shared" si="846"/>
        <v>78.248627568402384</v>
      </c>
      <c r="NH240" s="201">
        <f t="shared" si="846"/>
        <v>78.248627568402384</v>
      </c>
      <c r="NI240" s="201">
        <f t="shared" si="846"/>
        <v>78.248627568402384</v>
      </c>
      <c r="NJ240" s="201">
        <f t="shared" si="846"/>
        <v>78.248627568402384</v>
      </c>
      <c r="NK240" s="201">
        <f t="shared" si="846"/>
        <v>78.248627568402384</v>
      </c>
      <c r="NL240" s="201">
        <f t="shared" si="846"/>
        <v>78.248627568402384</v>
      </c>
      <c r="NM240" s="201">
        <f t="shared" si="846"/>
        <v>78.248627568402384</v>
      </c>
      <c r="NN240" s="201">
        <f t="shared" si="846"/>
        <v>78.248627568402384</v>
      </c>
      <c r="NO240" s="201">
        <f t="shared" si="846"/>
        <v>78.248627568402384</v>
      </c>
      <c r="NP240" s="201">
        <f t="shared" si="846"/>
        <v>78.248627568402384</v>
      </c>
      <c r="NQ240" s="201">
        <f t="shared" si="846"/>
        <v>78.248627568402384</v>
      </c>
      <c r="NR240" s="201">
        <f t="shared" si="846"/>
        <v>78.248627568402384</v>
      </c>
      <c r="NS240" s="201">
        <f t="shared" si="846"/>
        <v>78.248627568402384</v>
      </c>
      <c r="NT240" s="201">
        <f t="shared" si="846"/>
        <v>78.248627568402384</v>
      </c>
      <c r="NU240" s="201">
        <f t="shared" si="846"/>
        <v>78.248627568402384</v>
      </c>
      <c r="NV240" s="201">
        <f t="shared" si="846"/>
        <v>78.248627568402384</v>
      </c>
      <c r="NW240" s="201">
        <f t="shared" si="846"/>
        <v>78.248627568402384</v>
      </c>
      <c r="NX240" s="201">
        <f t="shared" si="846"/>
        <v>78.248627568402384</v>
      </c>
      <c r="NY240" s="201">
        <f t="shared" ref="NY240:QJ241" si="856">600*NY204</f>
        <v>78.248627568402384</v>
      </c>
      <c r="NZ240" s="201">
        <f t="shared" si="856"/>
        <v>78.248627568402384</v>
      </c>
      <c r="OA240" s="201">
        <f t="shared" si="856"/>
        <v>78.248627568402384</v>
      </c>
      <c r="OB240" s="201">
        <f t="shared" si="856"/>
        <v>78.248627568402384</v>
      </c>
      <c r="OC240" s="201">
        <f t="shared" si="856"/>
        <v>78.248627568402384</v>
      </c>
      <c r="OD240" s="201">
        <f t="shared" si="856"/>
        <v>78.248627568402384</v>
      </c>
      <c r="OE240" s="201">
        <f t="shared" si="856"/>
        <v>78.248627568402384</v>
      </c>
      <c r="OF240" s="201">
        <f t="shared" si="856"/>
        <v>78.248627568402384</v>
      </c>
      <c r="OG240" s="201">
        <f t="shared" si="856"/>
        <v>78.248627568402384</v>
      </c>
      <c r="OH240" s="201">
        <f t="shared" si="856"/>
        <v>78.248627568402384</v>
      </c>
      <c r="OI240" s="201">
        <f t="shared" si="856"/>
        <v>78.248627568402384</v>
      </c>
      <c r="OJ240" s="201">
        <f t="shared" si="856"/>
        <v>78.248627568402384</v>
      </c>
      <c r="OK240" s="201">
        <f t="shared" si="856"/>
        <v>78.248627568402384</v>
      </c>
      <c r="OL240" s="201">
        <f t="shared" si="856"/>
        <v>78.248627568402384</v>
      </c>
      <c r="OM240" s="201">
        <f t="shared" si="856"/>
        <v>78.248627568402384</v>
      </c>
      <c r="ON240" s="201">
        <f t="shared" si="856"/>
        <v>78.248627568402384</v>
      </c>
      <c r="OO240" s="201">
        <f t="shared" si="856"/>
        <v>78.248627568402384</v>
      </c>
      <c r="OP240" s="201">
        <f t="shared" si="856"/>
        <v>78.248627568402384</v>
      </c>
      <c r="OQ240" s="201">
        <f t="shared" si="856"/>
        <v>78.248627568402384</v>
      </c>
      <c r="OR240" s="201">
        <f t="shared" si="856"/>
        <v>78.248627568402384</v>
      </c>
      <c r="OS240" s="201">
        <f t="shared" si="856"/>
        <v>78.248627568402384</v>
      </c>
      <c r="OT240" s="201">
        <f t="shared" si="856"/>
        <v>78.248627568402384</v>
      </c>
      <c r="OU240" s="201">
        <f t="shared" si="856"/>
        <v>78.248627568402384</v>
      </c>
      <c r="OV240" s="201">
        <f t="shared" si="856"/>
        <v>78.248627568402384</v>
      </c>
      <c r="OW240" s="201">
        <f t="shared" si="856"/>
        <v>78.248627568402384</v>
      </c>
      <c r="OX240" s="201">
        <f t="shared" si="856"/>
        <v>78.248627568402384</v>
      </c>
      <c r="OY240" s="201">
        <f t="shared" si="856"/>
        <v>78.248627568402384</v>
      </c>
      <c r="OZ240" s="201">
        <f t="shared" si="856"/>
        <v>78.248627568402384</v>
      </c>
      <c r="PA240" s="201">
        <f t="shared" si="856"/>
        <v>78.248627568402384</v>
      </c>
      <c r="PB240" s="201">
        <f t="shared" si="856"/>
        <v>78.248627568402384</v>
      </c>
      <c r="PC240" s="201">
        <f t="shared" si="856"/>
        <v>78.248627568402384</v>
      </c>
      <c r="PD240" s="201">
        <f t="shared" si="856"/>
        <v>78.248627568402384</v>
      </c>
      <c r="PE240" s="201">
        <f t="shared" si="856"/>
        <v>78.248627568402384</v>
      </c>
      <c r="PF240" s="201">
        <f t="shared" si="856"/>
        <v>78.248627568402384</v>
      </c>
      <c r="PG240" s="201">
        <f t="shared" si="856"/>
        <v>78.248627568402384</v>
      </c>
      <c r="PH240" s="201">
        <f t="shared" si="856"/>
        <v>78.248627568402384</v>
      </c>
      <c r="PI240" s="201">
        <f t="shared" si="856"/>
        <v>78.248627568402384</v>
      </c>
      <c r="PJ240" s="201">
        <f t="shared" si="856"/>
        <v>78.248627568402384</v>
      </c>
      <c r="PK240" s="201">
        <f t="shared" si="856"/>
        <v>78.248627568402384</v>
      </c>
      <c r="PL240" s="201">
        <f t="shared" si="856"/>
        <v>78.248627568402384</v>
      </c>
      <c r="PM240" s="201">
        <f t="shared" si="856"/>
        <v>78.248627568402384</v>
      </c>
      <c r="PN240" s="201">
        <f t="shared" si="856"/>
        <v>78.248627568402384</v>
      </c>
      <c r="PO240" s="201">
        <f t="shared" si="856"/>
        <v>78.248627568402384</v>
      </c>
      <c r="PP240" s="201">
        <f t="shared" si="856"/>
        <v>78.248627568402384</v>
      </c>
      <c r="PQ240" s="201">
        <f t="shared" si="856"/>
        <v>78.248627568402384</v>
      </c>
      <c r="PR240" s="201">
        <f t="shared" si="856"/>
        <v>78.248627568402384</v>
      </c>
      <c r="PS240" s="201">
        <f t="shared" si="856"/>
        <v>78.248627568402384</v>
      </c>
      <c r="PT240" s="201">
        <f t="shared" si="856"/>
        <v>78.248627568402384</v>
      </c>
      <c r="PU240" s="201">
        <f t="shared" si="856"/>
        <v>78.248627568402384</v>
      </c>
      <c r="PV240" s="201">
        <f t="shared" si="856"/>
        <v>78.248627568402384</v>
      </c>
      <c r="PW240" s="201">
        <f t="shared" si="856"/>
        <v>78.248627568402384</v>
      </c>
      <c r="PX240" s="201">
        <f t="shared" si="856"/>
        <v>78.248627568402384</v>
      </c>
      <c r="PY240" s="201">
        <f t="shared" si="856"/>
        <v>78.248627568402384</v>
      </c>
      <c r="PZ240" s="201">
        <f t="shared" si="856"/>
        <v>78.248627568402384</v>
      </c>
      <c r="QA240" s="201">
        <f t="shared" si="856"/>
        <v>78.248627568402384</v>
      </c>
      <c r="QB240" s="201">
        <f t="shared" si="856"/>
        <v>78.248627568402384</v>
      </c>
      <c r="QC240" s="201">
        <f t="shared" si="856"/>
        <v>78.248627568402384</v>
      </c>
      <c r="QD240" s="201">
        <f t="shared" si="856"/>
        <v>78.248627568402384</v>
      </c>
      <c r="QE240" s="201">
        <f t="shared" si="856"/>
        <v>78.248627568402384</v>
      </c>
      <c r="QF240" s="201">
        <f t="shared" si="856"/>
        <v>78.248627568402384</v>
      </c>
      <c r="QG240" s="201">
        <f t="shared" si="856"/>
        <v>78.248627568402384</v>
      </c>
      <c r="QH240" s="201">
        <f t="shared" si="856"/>
        <v>78.248627568402384</v>
      </c>
      <c r="QI240" s="201">
        <f t="shared" si="856"/>
        <v>78.248627568402384</v>
      </c>
      <c r="QJ240" s="201">
        <f t="shared" si="856"/>
        <v>78.248627568402384</v>
      </c>
      <c r="QK240" s="201">
        <f t="shared" si="847"/>
        <v>78.248627568402384</v>
      </c>
      <c r="QL240" s="201">
        <f t="shared" si="848"/>
        <v>78.248627568402384</v>
      </c>
      <c r="QM240" s="201">
        <f t="shared" si="848"/>
        <v>78.248627568402384</v>
      </c>
      <c r="QN240" s="201">
        <f t="shared" si="848"/>
        <v>78.248627568402384</v>
      </c>
      <c r="QO240" s="201">
        <f t="shared" si="848"/>
        <v>78.248627568402384</v>
      </c>
      <c r="QP240" s="201">
        <f t="shared" si="848"/>
        <v>78.248627568402384</v>
      </c>
      <c r="QQ240" s="201">
        <f t="shared" si="848"/>
        <v>78.248627568402384</v>
      </c>
      <c r="QR240" s="201">
        <f t="shared" si="848"/>
        <v>78.248627568402384</v>
      </c>
      <c r="QS240" s="201">
        <f t="shared" si="848"/>
        <v>78.248627568402384</v>
      </c>
      <c r="QT240" s="201">
        <f t="shared" si="848"/>
        <v>78.248627568402384</v>
      </c>
      <c r="QU240" s="201">
        <f t="shared" si="848"/>
        <v>78.248627568402384</v>
      </c>
      <c r="QV240" s="201">
        <f t="shared" si="848"/>
        <v>78.248627568402384</v>
      </c>
      <c r="QW240" s="201">
        <f t="shared" si="848"/>
        <v>78.248627568402384</v>
      </c>
      <c r="QX240" s="201">
        <f t="shared" si="848"/>
        <v>78.248627568402384</v>
      </c>
      <c r="QY240" s="201">
        <f t="shared" si="848"/>
        <v>78.248627568402384</v>
      </c>
      <c r="QZ240" s="201">
        <f t="shared" si="848"/>
        <v>78.248627568402384</v>
      </c>
      <c r="RA240" s="201">
        <f t="shared" si="848"/>
        <v>78.248627568402384</v>
      </c>
      <c r="RB240" s="201">
        <f t="shared" si="848"/>
        <v>78.248627568402384</v>
      </c>
      <c r="RC240" s="201">
        <f t="shared" si="848"/>
        <v>78.248627568402384</v>
      </c>
      <c r="RD240" s="201">
        <f t="shared" si="848"/>
        <v>78.248627568402384</v>
      </c>
      <c r="RE240" s="201">
        <f t="shared" si="848"/>
        <v>78.248627568402384</v>
      </c>
      <c r="RF240" s="201">
        <f t="shared" si="848"/>
        <v>78.248627568402384</v>
      </c>
      <c r="RG240" s="201">
        <f t="shared" si="848"/>
        <v>78.248627568402384</v>
      </c>
      <c r="RH240" s="201">
        <f t="shared" si="848"/>
        <v>78.248627568402384</v>
      </c>
      <c r="RI240" s="201">
        <f t="shared" si="848"/>
        <v>78.248627568402384</v>
      </c>
      <c r="RJ240" s="201">
        <f t="shared" si="848"/>
        <v>78.248627568402384</v>
      </c>
      <c r="RK240" s="201">
        <f t="shared" si="848"/>
        <v>78.248627568402384</v>
      </c>
      <c r="RL240" s="201">
        <f t="shared" si="848"/>
        <v>78.248627568402384</v>
      </c>
      <c r="RM240" s="201">
        <f t="shared" si="848"/>
        <v>78.248627568402384</v>
      </c>
      <c r="RN240" s="201">
        <f t="shared" si="848"/>
        <v>78.248627568402384</v>
      </c>
      <c r="RO240" s="201">
        <f t="shared" si="848"/>
        <v>78.248627568402384</v>
      </c>
      <c r="RP240" s="201">
        <f t="shared" si="848"/>
        <v>78.248627568402384</v>
      </c>
      <c r="RQ240" s="201">
        <f t="shared" si="848"/>
        <v>78.248627568402384</v>
      </c>
      <c r="RR240" s="201">
        <f t="shared" si="848"/>
        <v>78.248627568402384</v>
      </c>
      <c r="RS240" s="201"/>
    </row>
    <row r="241" spans="2:487">
      <c r="D241" s="9" t="str">
        <f t="shared" si="849"/>
        <v>RE PPA @ $0.14</v>
      </c>
      <c r="E241" s="201">
        <f t="shared" si="850"/>
        <v>66.29885308601591</v>
      </c>
      <c r="F241" s="201">
        <f t="shared" si="853"/>
        <v>66.29885308601591</v>
      </c>
      <c r="G241" s="201">
        <f t="shared" si="853"/>
        <v>66.29885308601591</v>
      </c>
      <c r="H241" s="201">
        <f t="shared" si="853"/>
        <v>66.29885308601591</v>
      </c>
      <c r="I241" s="201">
        <f t="shared" si="853"/>
        <v>66.29885308601591</v>
      </c>
      <c r="J241" s="201">
        <f t="shared" si="853"/>
        <v>66.29885308601591</v>
      </c>
      <c r="K241" s="201">
        <f t="shared" si="853"/>
        <v>66.29885308601591</v>
      </c>
      <c r="L241" s="201">
        <f t="shared" si="853"/>
        <v>66.29885308601591</v>
      </c>
      <c r="M241" s="201">
        <f t="shared" si="853"/>
        <v>66.29885308601591</v>
      </c>
      <c r="N241" s="201">
        <f t="shared" si="853"/>
        <v>66.29885308601591</v>
      </c>
      <c r="O241" s="201">
        <f t="shared" si="853"/>
        <v>66.29885308601591</v>
      </c>
      <c r="P241" s="201">
        <f t="shared" si="853"/>
        <v>66.29885308601591</v>
      </c>
      <c r="Q241" s="201">
        <f t="shared" si="853"/>
        <v>66.29885308601591</v>
      </c>
      <c r="R241" s="201">
        <f t="shared" si="853"/>
        <v>66.29885308601591</v>
      </c>
      <c r="S241" s="201">
        <f t="shared" si="853"/>
        <v>66.29885308601591</v>
      </c>
      <c r="T241" s="201">
        <f t="shared" si="853"/>
        <v>66.29885308601591</v>
      </c>
      <c r="U241" s="201">
        <f t="shared" si="853"/>
        <v>66.29885308601591</v>
      </c>
      <c r="V241" s="201">
        <f t="shared" si="853"/>
        <v>66.29885308601591</v>
      </c>
      <c r="W241" s="201">
        <f t="shared" si="853"/>
        <v>66.29885308601591</v>
      </c>
      <c r="X241" s="201">
        <f t="shared" si="853"/>
        <v>66.29885308601591</v>
      </c>
      <c r="Y241" s="201">
        <f t="shared" si="853"/>
        <v>66.29885308601591</v>
      </c>
      <c r="Z241" s="201">
        <f t="shared" si="853"/>
        <v>66.29885308601591</v>
      </c>
      <c r="AA241" s="201">
        <f t="shared" si="853"/>
        <v>66.29885308601591</v>
      </c>
      <c r="AB241" s="201">
        <f t="shared" si="853"/>
        <v>66.29885308601591</v>
      </c>
      <c r="AC241" s="201">
        <f t="shared" si="853"/>
        <v>66.29885308601591</v>
      </c>
      <c r="AD241" s="201">
        <f t="shared" si="853"/>
        <v>66.29885308601591</v>
      </c>
      <c r="AE241" s="201">
        <f t="shared" si="853"/>
        <v>66.29885308601591</v>
      </c>
      <c r="AF241" s="201">
        <f t="shared" si="853"/>
        <v>66.29885308601591</v>
      </c>
      <c r="AG241" s="201">
        <f t="shared" si="853"/>
        <v>66.29885308601591</v>
      </c>
      <c r="AH241" s="201">
        <f t="shared" si="853"/>
        <v>66.29885308601591</v>
      </c>
      <c r="AI241" s="201">
        <f t="shared" si="853"/>
        <v>66.29885308601591</v>
      </c>
      <c r="AJ241" s="201">
        <f t="shared" si="853"/>
        <v>66.29885308601591</v>
      </c>
      <c r="AK241" s="201">
        <f t="shared" si="853"/>
        <v>66.29885308601591</v>
      </c>
      <c r="AL241" s="201">
        <f t="shared" si="853"/>
        <v>66.29885308601591</v>
      </c>
      <c r="AM241" s="201">
        <f t="shared" si="853"/>
        <v>66.29885308601591</v>
      </c>
      <c r="AN241" s="201">
        <f t="shared" si="853"/>
        <v>66.29885308601591</v>
      </c>
      <c r="AO241" s="201">
        <f t="shared" si="853"/>
        <v>66.29885308601591</v>
      </c>
      <c r="AP241" s="201">
        <f t="shared" si="853"/>
        <v>66.29885308601591</v>
      </c>
      <c r="AQ241" s="201">
        <f t="shared" si="853"/>
        <v>66.29885308601591</v>
      </c>
      <c r="AR241" s="201">
        <f t="shared" si="853"/>
        <v>66.29885308601591</v>
      </c>
      <c r="AS241" s="201">
        <f t="shared" si="853"/>
        <v>66.29885308601591</v>
      </c>
      <c r="AT241" s="201">
        <f t="shared" si="853"/>
        <v>66.29885308601591</v>
      </c>
      <c r="AU241" s="201">
        <f t="shared" si="853"/>
        <v>66.29885308601591</v>
      </c>
      <c r="AV241" s="201">
        <f t="shared" si="853"/>
        <v>66.29885308601591</v>
      </c>
      <c r="AW241" s="201">
        <f t="shared" si="853"/>
        <v>66.29885308601591</v>
      </c>
      <c r="AX241" s="201">
        <f t="shared" si="853"/>
        <v>66.29885308601591</v>
      </c>
      <c r="AY241" s="201">
        <f t="shared" si="853"/>
        <v>66.29885308601591</v>
      </c>
      <c r="AZ241" s="201">
        <f t="shared" si="853"/>
        <v>66.29885308601591</v>
      </c>
      <c r="BA241" s="201">
        <f t="shared" si="853"/>
        <v>66.29885308601591</v>
      </c>
      <c r="BB241" s="201">
        <f t="shared" si="853"/>
        <v>66.29885308601591</v>
      </c>
      <c r="BC241" s="201">
        <f t="shared" si="853"/>
        <v>66.29885308601591</v>
      </c>
      <c r="BD241" s="201">
        <f t="shared" si="853"/>
        <v>66.29885308601591</v>
      </c>
      <c r="BE241" s="201">
        <f t="shared" si="853"/>
        <v>66.29885308601591</v>
      </c>
      <c r="BF241" s="201">
        <f t="shared" si="853"/>
        <v>66.29885308601591</v>
      </c>
      <c r="BG241" s="201">
        <f t="shared" si="853"/>
        <v>66.29885308601591</v>
      </c>
      <c r="BH241" s="201">
        <f t="shared" si="853"/>
        <v>66.29885308601591</v>
      </c>
      <c r="BI241" s="201">
        <f t="shared" si="853"/>
        <v>66.29885308601591</v>
      </c>
      <c r="BJ241" s="201">
        <f t="shared" si="853"/>
        <v>66.29885308601591</v>
      </c>
      <c r="BK241" s="201">
        <f t="shared" si="853"/>
        <v>66.29885308601591</v>
      </c>
      <c r="BL241" s="201">
        <f t="shared" si="853"/>
        <v>66.29885308601591</v>
      </c>
      <c r="BM241" s="201">
        <f t="shared" si="853"/>
        <v>66.29885308601591</v>
      </c>
      <c r="BN241" s="201">
        <f t="shared" si="853"/>
        <v>66.29885308601591</v>
      </c>
      <c r="BO241" s="201">
        <f t="shared" si="853"/>
        <v>66.29885308601591</v>
      </c>
      <c r="BP241" s="201">
        <f t="shared" si="853"/>
        <v>66.29885308601591</v>
      </c>
      <c r="BQ241" s="201">
        <f t="shared" si="853"/>
        <v>66.29885308601591</v>
      </c>
      <c r="BR241" s="201">
        <f t="shared" ref="BR241:EC241" si="857">600*BR205</f>
        <v>66.29885308601591</v>
      </c>
      <c r="BS241" s="201">
        <f t="shared" si="857"/>
        <v>66.29885308601591</v>
      </c>
      <c r="BT241" s="201">
        <f t="shared" si="857"/>
        <v>66.29885308601591</v>
      </c>
      <c r="BU241" s="201">
        <f t="shared" si="857"/>
        <v>66.29885308601591</v>
      </c>
      <c r="BV241" s="201">
        <f t="shared" si="857"/>
        <v>66.29885308601591</v>
      </c>
      <c r="BW241" s="201">
        <f t="shared" si="857"/>
        <v>66.29885308601591</v>
      </c>
      <c r="BX241" s="201">
        <f t="shared" si="857"/>
        <v>66.29885308601591</v>
      </c>
      <c r="BY241" s="201">
        <f t="shared" si="857"/>
        <v>66.29885308601591</v>
      </c>
      <c r="BZ241" s="201">
        <f t="shared" si="857"/>
        <v>66.29885308601591</v>
      </c>
      <c r="CA241" s="201">
        <f t="shared" si="857"/>
        <v>66.29885308601591</v>
      </c>
      <c r="CB241" s="201">
        <f t="shared" si="857"/>
        <v>66.29885308601591</v>
      </c>
      <c r="CC241" s="201">
        <f t="shared" si="857"/>
        <v>66.29885308601591</v>
      </c>
      <c r="CD241" s="201">
        <f t="shared" si="857"/>
        <v>66.29885308601591</v>
      </c>
      <c r="CE241" s="201">
        <f t="shared" si="857"/>
        <v>66.29885308601591</v>
      </c>
      <c r="CF241" s="201">
        <f t="shared" si="857"/>
        <v>66.29885308601591</v>
      </c>
      <c r="CG241" s="201">
        <f t="shared" si="857"/>
        <v>66.29885308601591</v>
      </c>
      <c r="CH241" s="201">
        <f t="shared" si="857"/>
        <v>66.29885308601591</v>
      </c>
      <c r="CI241" s="201">
        <f t="shared" si="857"/>
        <v>66.29885308601591</v>
      </c>
      <c r="CJ241" s="201">
        <f t="shared" si="857"/>
        <v>66.29885308601591</v>
      </c>
      <c r="CK241" s="201">
        <f t="shared" si="857"/>
        <v>66.29885308601591</v>
      </c>
      <c r="CL241" s="201">
        <f t="shared" si="857"/>
        <v>66.29885308601591</v>
      </c>
      <c r="CM241" s="201">
        <f t="shared" si="857"/>
        <v>66.29885308601591</v>
      </c>
      <c r="CN241" s="201">
        <f t="shared" si="857"/>
        <v>66.29885308601591</v>
      </c>
      <c r="CO241" s="201">
        <f t="shared" si="857"/>
        <v>66.29885308601591</v>
      </c>
      <c r="CP241" s="201">
        <f t="shared" si="857"/>
        <v>66.29885308601591</v>
      </c>
      <c r="CQ241" s="201">
        <f t="shared" si="857"/>
        <v>66.29885308601591</v>
      </c>
      <c r="CR241" s="201">
        <f t="shared" si="857"/>
        <v>66.29885308601591</v>
      </c>
      <c r="CS241" s="201">
        <f t="shared" si="857"/>
        <v>66.29885308601591</v>
      </c>
      <c r="CT241" s="201">
        <f t="shared" si="857"/>
        <v>66.29885308601591</v>
      </c>
      <c r="CU241" s="201">
        <f t="shared" si="857"/>
        <v>66.29885308601591</v>
      </c>
      <c r="CV241" s="201">
        <f t="shared" si="857"/>
        <v>66.29885308601591</v>
      </c>
      <c r="CW241" s="201">
        <f t="shared" si="857"/>
        <v>66.29885308601591</v>
      </c>
      <c r="CX241" s="201">
        <f t="shared" si="857"/>
        <v>66.29885308601591</v>
      </c>
      <c r="CY241" s="201">
        <f t="shared" si="857"/>
        <v>66.29885308601591</v>
      </c>
      <c r="CZ241" s="201">
        <f t="shared" si="857"/>
        <v>66.29885308601591</v>
      </c>
      <c r="DA241" s="201">
        <f t="shared" si="857"/>
        <v>66.29885308601591</v>
      </c>
      <c r="DB241" s="201">
        <f t="shared" si="857"/>
        <v>66.29885308601591</v>
      </c>
      <c r="DC241" s="201">
        <f t="shared" si="857"/>
        <v>66.29885308601591</v>
      </c>
      <c r="DD241" s="201">
        <f t="shared" si="857"/>
        <v>66.29885308601591</v>
      </c>
      <c r="DE241" s="201">
        <f t="shared" si="857"/>
        <v>66.29885308601591</v>
      </c>
      <c r="DF241" s="201">
        <f t="shared" si="857"/>
        <v>66.29885308601591</v>
      </c>
      <c r="DG241" s="201">
        <f t="shared" si="857"/>
        <v>66.29885308601591</v>
      </c>
      <c r="DH241" s="201">
        <f t="shared" si="857"/>
        <v>66.29885308601591</v>
      </c>
      <c r="DI241" s="201">
        <f t="shared" si="857"/>
        <v>66.29885308601591</v>
      </c>
      <c r="DJ241" s="201">
        <f t="shared" si="857"/>
        <v>66.29885308601591</v>
      </c>
      <c r="DK241" s="201">
        <f t="shared" si="857"/>
        <v>66.29885308601591</v>
      </c>
      <c r="DL241" s="201">
        <f t="shared" si="857"/>
        <v>66.29885308601591</v>
      </c>
      <c r="DM241" s="201">
        <f t="shared" si="857"/>
        <v>66.29885308601591</v>
      </c>
      <c r="DN241" s="201">
        <f t="shared" si="857"/>
        <v>66.29885308601591</v>
      </c>
      <c r="DO241" s="201">
        <f t="shared" si="857"/>
        <v>66.29885308601591</v>
      </c>
      <c r="DP241" s="201">
        <f t="shared" si="857"/>
        <v>66.29885308601591</v>
      </c>
      <c r="DQ241" s="201">
        <f t="shared" si="857"/>
        <v>66.29885308601591</v>
      </c>
      <c r="DR241" s="201">
        <f t="shared" si="857"/>
        <v>66.29885308601591</v>
      </c>
      <c r="DS241" s="201">
        <f t="shared" si="857"/>
        <v>66.29885308601591</v>
      </c>
      <c r="DT241" s="201">
        <f t="shared" si="857"/>
        <v>66.29885308601591</v>
      </c>
      <c r="DU241" s="201">
        <f t="shared" si="857"/>
        <v>66.29885308601591</v>
      </c>
      <c r="DV241" s="201">
        <f t="shared" si="857"/>
        <v>66.29885308601591</v>
      </c>
      <c r="DW241" s="201">
        <f t="shared" si="857"/>
        <v>66.29885308601591</v>
      </c>
      <c r="DX241" s="201">
        <f t="shared" si="857"/>
        <v>66.29885308601591</v>
      </c>
      <c r="DY241" s="201">
        <f t="shared" si="857"/>
        <v>66.29885308601591</v>
      </c>
      <c r="DZ241" s="201">
        <f t="shared" si="857"/>
        <v>66.29885308601591</v>
      </c>
      <c r="EA241" s="201">
        <f t="shared" si="857"/>
        <v>66.29885308601591</v>
      </c>
      <c r="EB241" s="201">
        <f t="shared" si="857"/>
        <v>66.29885308601591</v>
      </c>
      <c r="EC241" s="201">
        <f t="shared" si="857"/>
        <v>66.29885308601591</v>
      </c>
      <c r="ED241" s="201">
        <f t="shared" si="854"/>
        <v>66.29885308601591</v>
      </c>
      <c r="EE241" s="201">
        <f t="shared" si="854"/>
        <v>66.29885308601591</v>
      </c>
      <c r="EF241" s="201">
        <f t="shared" si="854"/>
        <v>66.29885308601591</v>
      </c>
      <c r="EG241" s="201">
        <f t="shared" si="854"/>
        <v>66.29885308601591</v>
      </c>
      <c r="EH241" s="201">
        <f t="shared" si="854"/>
        <v>66.29885308601591</v>
      </c>
      <c r="EI241" s="201">
        <f t="shared" si="854"/>
        <v>66.29885308601591</v>
      </c>
      <c r="EJ241" s="201">
        <f t="shared" si="854"/>
        <v>66.29885308601591</v>
      </c>
      <c r="EK241" s="201">
        <f t="shared" si="854"/>
        <v>66.29885308601591</v>
      </c>
      <c r="EL241" s="201">
        <f t="shared" si="854"/>
        <v>66.29885308601591</v>
      </c>
      <c r="EM241" s="201">
        <f t="shared" si="854"/>
        <v>66.29885308601591</v>
      </c>
      <c r="EN241" s="201">
        <f t="shared" si="854"/>
        <v>66.29885308601591</v>
      </c>
      <c r="EO241" s="201">
        <f t="shared" si="854"/>
        <v>66.29885308601591</v>
      </c>
      <c r="EP241" s="201">
        <f t="shared" si="854"/>
        <v>66.29885308601591</v>
      </c>
      <c r="EQ241" s="201">
        <f t="shared" si="854"/>
        <v>66.29885308601591</v>
      </c>
      <c r="ER241" s="201">
        <f t="shared" si="854"/>
        <v>66.29885308601591</v>
      </c>
      <c r="ES241" s="201">
        <f t="shared" si="854"/>
        <v>66.29885308601591</v>
      </c>
      <c r="ET241" s="201">
        <f t="shared" si="854"/>
        <v>66.29885308601591</v>
      </c>
      <c r="EU241" s="201">
        <f t="shared" si="854"/>
        <v>66.29885308601591</v>
      </c>
      <c r="EV241" s="201">
        <f t="shared" si="854"/>
        <v>66.29885308601591</v>
      </c>
      <c r="EW241" s="201">
        <f t="shared" si="854"/>
        <v>66.29885308601591</v>
      </c>
      <c r="EX241" s="201">
        <f t="shared" si="854"/>
        <v>66.29885308601591</v>
      </c>
      <c r="EY241" s="201">
        <f t="shared" si="854"/>
        <v>66.29885308601591</v>
      </c>
      <c r="EZ241" s="201">
        <f t="shared" si="854"/>
        <v>66.29885308601591</v>
      </c>
      <c r="FA241" s="201">
        <f t="shared" si="854"/>
        <v>66.29885308601591</v>
      </c>
      <c r="FB241" s="201">
        <f t="shared" si="854"/>
        <v>66.29885308601591</v>
      </c>
      <c r="FC241" s="201">
        <f t="shared" si="854"/>
        <v>66.29885308601591</v>
      </c>
      <c r="FD241" s="201">
        <f t="shared" si="854"/>
        <v>66.29885308601591</v>
      </c>
      <c r="FE241" s="201">
        <f t="shared" si="854"/>
        <v>66.29885308601591</v>
      </c>
      <c r="FF241" s="201">
        <f t="shared" si="854"/>
        <v>66.29885308601591</v>
      </c>
      <c r="FG241" s="201">
        <f t="shared" si="854"/>
        <v>66.29885308601591</v>
      </c>
      <c r="FH241" s="201">
        <f t="shared" si="854"/>
        <v>66.29885308601591</v>
      </c>
      <c r="FI241" s="201">
        <f t="shared" si="854"/>
        <v>66.29885308601591</v>
      </c>
      <c r="FJ241" s="201">
        <f t="shared" si="854"/>
        <v>66.29885308601591</v>
      </c>
      <c r="FK241" s="201">
        <f t="shared" si="854"/>
        <v>66.29885308601591</v>
      </c>
      <c r="FL241" s="201">
        <f t="shared" si="854"/>
        <v>66.29885308601591</v>
      </c>
      <c r="FM241" s="201">
        <f t="shared" si="854"/>
        <v>66.29885308601591</v>
      </c>
      <c r="FN241" s="201">
        <f t="shared" si="854"/>
        <v>66.29885308601591</v>
      </c>
      <c r="FO241" s="201">
        <f t="shared" si="854"/>
        <v>66.29885308601591</v>
      </c>
      <c r="FP241" s="201">
        <f t="shared" si="854"/>
        <v>66.29885308601591</v>
      </c>
      <c r="FQ241" s="201">
        <f t="shared" si="854"/>
        <v>66.29885308601591</v>
      </c>
      <c r="FR241" s="201">
        <f t="shared" si="854"/>
        <v>66.29885308601591</v>
      </c>
      <c r="FS241" s="201">
        <f t="shared" si="854"/>
        <v>66.29885308601591</v>
      </c>
      <c r="FT241" s="201">
        <f t="shared" si="854"/>
        <v>66.29885308601591</v>
      </c>
      <c r="FU241" s="201">
        <f t="shared" si="854"/>
        <v>66.29885308601591</v>
      </c>
      <c r="FV241" s="201">
        <f t="shared" si="854"/>
        <v>66.29885308601591</v>
      </c>
      <c r="FW241" s="201">
        <f t="shared" si="854"/>
        <v>66.29885308601591</v>
      </c>
      <c r="FX241" s="201">
        <f t="shared" si="854"/>
        <v>66.29885308601591</v>
      </c>
      <c r="FY241" s="201">
        <f t="shared" si="854"/>
        <v>66.29885308601591</v>
      </c>
      <c r="FZ241" s="201">
        <f t="shared" si="854"/>
        <v>66.29885308601591</v>
      </c>
      <c r="GA241" s="201">
        <f t="shared" si="854"/>
        <v>66.29885308601591</v>
      </c>
      <c r="GB241" s="201">
        <f t="shared" si="854"/>
        <v>66.29885308601591</v>
      </c>
      <c r="GC241" s="201">
        <f t="shared" si="854"/>
        <v>66.29885308601591</v>
      </c>
      <c r="GD241" s="201">
        <f t="shared" si="854"/>
        <v>66.29885308601591</v>
      </c>
      <c r="GE241" s="201">
        <f t="shared" si="854"/>
        <v>66.29885308601591</v>
      </c>
      <c r="GF241" s="201">
        <f t="shared" si="854"/>
        <v>66.29885308601591</v>
      </c>
      <c r="GG241" s="201">
        <f t="shared" si="854"/>
        <v>66.29885308601591</v>
      </c>
      <c r="GH241" s="201">
        <f t="shared" si="854"/>
        <v>66.29885308601591</v>
      </c>
      <c r="GI241" s="201">
        <f t="shared" si="854"/>
        <v>66.29885308601591</v>
      </c>
      <c r="GJ241" s="201">
        <f t="shared" si="854"/>
        <v>66.29885308601591</v>
      </c>
      <c r="GK241" s="201">
        <f t="shared" si="854"/>
        <v>66.29885308601591</v>
      </c>
      <c r="GL241" s="201">
        <f t="shared" si="854"/>
        <v>66.29885308601591</v>
      </c>
      <c r="GM241" s="201">
        <f t="shared" si="854"/>
        <v>66.29885308601591</v>
      </c>
      <c r="GN241" s="201">
        <f t="shared" si="854"/>
        <v>66.29885308601591</v>
      </c>
      <c r="GO241" s="201">
        <f t="shared" si="843"/>
        <v>66.29885308601591</v>
      </c>
      <c r="GP241" s="201">
        <f t="shared" ref="GP241:JA241" si="858">600*GP205</f>
        <v>66.29885308601591</v>
      </c>
      <c r="GQ241" s="201">
        <f t="shared" si="858"/>
        <v>66.29885308601591</v>
      </c>
      <c r="GR241" s="201">
        <f t="shared" si="858"/>
        <v>66.29885308601591</v>
      </c>
      <c r="GS241" s="201">
        <f t="shared" si="858"/>
        <v>66.29885308601591</v>
      </c>
      <c r="GT241" s="201">
        <f t="shared" si="858"/>
        <v>66.29885308601591</v>
      </c>
      <c r="GU241" s="201">
        <f t="shared" si="858"/>
        <v>66.29885308601591</v>
      </c>
      <c r="GV241" s="201">
        <f t="shared" si="858"/>
        <v>66.29885308601591</v>
      </c>
      <c r="GW241" s="201">
        <f t="shared" si="858"/>
        <v>66.29885308601591</v>
      </c>
      <c r="GX241" s="201">
        <f t="shared" si="858"/>
        <v>66.29885308601591</v>
      </c>
      <c r="GY241" s="201">
        <f t="shared" si="858"/>
        <v>66.29885308601591</v>
      </c>
      <c r="GZ241" s="201">
        <f t="shared" si="858"/>
        <v>66.29885308601591</v>
      </c>
      <c r="HA241" s="201">
        <f t="shared" si="858"/>
        <v>66.29885308601591</v>
      </c>
      <c r="HB241" s="201">
        <f t="shared" si="858"/>
        <v>66.29885308601591</v>
      </c>
      <c r="HC241" s="201">
        <f t="shared" si="858"/>
        <v>66.29885308601591</v>
      </c>
      <c r="HD241" s="201">
        <f t="shared" si="858"/>
        <v>66.29885308601591</v>
      </c>
      <c r="HE241" s="201">
        <f t="shared" si="858"/>
        <v>66.29885308601591</v>
      </c>
      <c r="HF241" s="201">
        <f t="shared" si="858"/>
        <v>66.29885308601591</v>
      </c>
      <c r="HG241" s="201">
        <f t="shared" si="858"/>
        <v>66.29885308601591</v>
      </c>
      <c r="HH241" s="201">
        <f t="shared" si="858"/>
        <v>66.29885308601591</v>
      </c>
      <c r="HI241" s="201">
        <f t="shared" si="858"/>
        <v>66.29885308601591</v>
      </c>
      <c r="HJ241" s="201">
        <f t="shared" si="858"/>
        <v>66.29885308601591</v>
      </c>
      <c r="HK241" s="201">
        <f t="shared" si="858"/>
        <v>66.29885308601591</v>
      </c>
      <c r="HL241" s="201">
        <f t="shared" si="858"/>
        <v>66.29885308601591</v>
      </c>
      <c r="HM241" s="201">
        <f t="shared" si="858"/>
        <v>66.29885308601591</v>
      </c>
      <c r="HN241" s="201">
        <f t="shared" si="858"/>
        <v>66.29885308601591</v>
      </c>
      <c r="HO241" s="201">
        <f t="shared" si="858"/>
        <v>66.29885308601591</v>
      </c>
      <c r="HP241" s="201">
        <f t="shared" si="858"/>
        <v>66.29885308601591</v>
      </c>
      <c r="HQ241" s="201">
        <f t="shared" si="858"/>
        <v>66.29885308601591</v>
      </c>
      <c r="HR241" s="201">
        <f t="shared" si="858"/>
        <v>66.29885308601591</v>
      </c>
      <c r="HS241" s="201">
        <f t="shared" si="858"/>
        <v>66.29885308601591</v>
      </c>
      <c r="HT241" s="201">
        <f t="shared" si="858"/>
        <v>66.29885308601591</v>
      </c>
      <c r="HU241" s="201">
        <f t="shared" si="858"/>
        <v>66.29885308601591</v>
      </c>
      <c r="HV241" s="201">
        <f t="shared" si="858"/>
        <v>66.29885308601591</v>
      </c>
      <c r="HW241" s="201">
        <f t="shared" si="858"/>
        <v>66.29885308601591</v>
      </c>
      <c r="HX241" s="201">
        <f t="shared" si="858"/>
        <v>66.29885308601591</v>
      </c>
      <c r="HY241" s="201">
        <f t="shared" si="858"/>
        <v>66.29885308601591</v>
      </c>
      <c r="HZ241" s="201">
        <f t="shared" si="858"/>
        <v>66.29885308601591</v>
      </c>
      <c r="IA241" s="201">
        <f t="shared" si="858"/>
        <v>66.29885308601591</v>
      </c>
      <c r="IB241" s="201">
        <f t="shared" si="858"/>
        <v>66.29885308601591</v>
      </c>
      <c r="IC241" s="201">
        <f t="shared" si="858"/>
        <v>66.29885308601591</v>
      </c>
      <c r="ID241" s="201">
        <f t="shared" si="858"/>
        <v>66.29885308601591</v>
      </c>
      <c r="IE241" s="201">
        <f t="shared" si="858"/>
        <v>66.29885308601591</v>
      </c>
      <c r="IF241" s="201">
        <f t="shared" si="858"/>
        <v>66.29885308601591</v>
      </c>
      <c r="IG241" s="201">
        <f t="shared" si="858"/>
        <v>66.29885308601591</v>
      </c>
      <c r="IH241" s="201">
        <f t="shared" si="858"/>
        <v>66.29885308601591</v>
      </c>
      <c r="II241" s="201">
        <f t="shared" si="858"/>
        <v>66.29885308601591</v>
      </c>
      <c r="IJ241" s="201">
        <f t="shared" si="858"/>
        <v>66.29885308601591</v>
      </c>
      <c r="IK241" s="201">
        <f t="shared" si="858"/>
        <v>66.29885308601591</v>
      </c>
      <c r="IL241" s="201">
        <f t="shared" si="858"/>
        <v>66.29885308601591</v>
      </c>
      <c r="IM241" s="201">
        <f t="shared" si="858"/>
        <v>66.29885308601591</v>
      </c>
      <c r="IN241" s="201">
        <f t="shared" si="858"/>
        <v>66.29885308601591</v>
      </c>
      <c r="IO241" s="201">
        <f t="shared" si="858"/>
        <v>66.29885308601591</v>
      </c>
      <c r="IP241" s="201">
        <f t="shared" si="858"/>
        <v>66.29885308601591</v>
      </c>
      <c r="IQ241" s="201">
        <f t="shared" si="858"/>
        <v>66.29885308601591</v>
      </c>
      <c r="IR241" s="201">
        <f t="shared" si="858"/>
        <v>66.29885308601591</v>
      </c>
      <c r="IS241" s="201">
        <f t="shared" si="858"/>
        <v>66.29885308601591</v>
      </c>
      <c r="IT241" s="201">
        <f t="shared" si="858"/>
        <v>66.29885308601591</v>
      </c>
      <c r="IU241" s="201">
        <f t="shared" si="858"/>
        <v>66.29885308601591</v>
      </c>
      <c r="IV241" s="201">
        <f t="shared" si="858"/>
        <v>66.29885308601591</v>
      </c>
      <c r="IW241" s="201">
        <f t="shared" si="858"/>
        <v>66.29885308601591</v>
      </c>
      <c r="IX241" s="201">
        <f t="shared" si="858"/>
        <v>66.29885308601591</v>
      </c>
      <c r="IY241" s="201">
        <f t="shared" si="858"/>
        <v>66.29885308601591</v>
      </c>
      <c r="IZ241" s="201">
        <f t="shared" si="858"/>
        <v>66.29885308601591</v>
      </c>
      <c r="JA241" s="201">
        <f t="shared" si="858"/>
        <v>66.29885308601591</v>
      </c>
      <c r="JB241" s="201">
        <f t="shared" si="855"/>
        <v>66.29885308601591</v>
      </c>
      <c r="JC241" s="201">
        <f t="shared" si="855"/>
        <v>66.29885308601591</v>
      </c>
      <c r="JD241" s="201">
        <f t="shared" si="855"/>
        <v>66.29885308601591</v>
      </c>
      <c r="JE241" s="201">
        <f t="shared" si="855"/>
        <v>66.29885308601591</v>
      </c>
      <c r="JF241" s="201">
        <f t="shared" si="855"/>
        <v>66.29885308601591</v>
      </c>
      <c r="JG241" s="201">
        <f t="shared" si="855"/>
        <v>66.29885308601591</v>
      </c>
      <c r="JH241" s="201">
        <f t="shared" si="855"/>
        <v>66.29885308601591</v>
      </c>
      <c r="JI241" s="201">
        <f t="shared" si="855"/>
        <v>66.29885308601591</v>
      </c>
      <c r="JJ241" s="201">
        <f t="shared" si="855"/>
        <v>66.29885308601591</v>
      </c>
      <c r="JK241" s="201">
        <f t="shared" si="855"/>
        <v>66.29885308601591</v>
      </c>
      <c r="JL241" s="201">
        <f t="shared" si="855"/>
        <v>66.29885308601591</v>
      </c>
      <c r="JM241" s="201">
        <f t="shared" si="855"/>
        <v>66.29885308601591</v>
      </c>
      <c r="JN241" s="201">
        <f t="shared" si="855"/>
        <v>66.29885308601591</v>
      </c>
      <c r="JO241" s="201">
        <f t="shared" si="855"/>
        <v>66.29885308601591</v>
      </c>
      <c r="JP241" s="201">
        <f t="shared" si="855"/>
        <v>66.29885308601591</v>
      </c>
      <c r="JQ241" s="201">
        <f t="shared" si="855"/>
        <v>66.29885308601591</v>
      </c>
      <c r="JR241" s="201">
        <f t="shared" si="855"/>
        <v>66.29885308601591</v>
      </c>
      <c r="JS241" s="201">
        <f t="shared" si="855"/>
        <v>66.29885308601591</v>
      </c>
      <c r="JT241" s="201">
        <f t="shared" si="855"/>
        <v>66.29885308601591</v>
      </c>
      <c r="JU241" s="201">
        <f t="shared" si="855"/>
        <v>66.29885308601591</v>
      </c>
      <c r="JV241" s="201">
        <f t="shared" si="855"/>
        <v>66.29885308601591</v>
      </c>
      <c r="JW241" s="201">
        <f t="shared" si="855"/>
        <v>66.29885308601591</v>
      </c>
      <c r="JX241" s="201">
        <f t="shared" si="855"/>
        <v>66.29885308601591</v>
      </c>
      <c r="JY241" s="201">
        <f t="shared" si="855"/>
        <v>66.29885308601591</v>
      </c>
      <c r="JZ241" s="201">
        <f t="shared" si="855"/>
        <v>66.29885308601591</v>
      </c>
      <c r="KA241" s="201">
        <f t="shared" si="855"/>
        <v>66.29885308601591</v>
      </c>
      <c r="KB241" s="201">
        <f t="shared" si="855"/>
        <v>66.29885308601591</v>
      </c>
      <c r="KC241" s="201">
        <f t="shared" si="855"/>
        <v>66.29885308601591</v>
      </c>
      <c r="KD241" s="201">
        <f t="shared" si="855"/>
        <v>66.29885308601591</v>
      </c>
      <c r="KE241" s="201">
        <f t="shared" si="855"/>
        <v>66.29885308601591</v>
      </c>
      <c r="KF241" s="201">
        <f t="shared" si="855"/>
        <v>66.29885308601591</v>
      </c>
      <c r="KG241" s="201">
        <f t="shared" si="855"/>
        <v>66.29885308601591</v>
      </c>
      <c r="KH241" s="201">
        <f t="shared" si="855"/>
        <v>66.29885308601591</v>
      </c>
      <c r="KI241" s="201">
        <f t="shared" si="855"/>
        <v>66.29885308601591</v>
      </c>
      <c r="KJ241" s="201">
        <f t="shared" si="855"/>
        <v>66.29885308601591</v>
      </c>
      <c r="KK241" s="201">
        <f t="shared" si="855"/>
        <v>66.29885308601591</v>
      </c>
      <c r="KL241" s="201">
        <f t="shared" si="855"/>
        <v>66.29885308601591</v>
      </c>
      <c r="KM241" s="201">
        <f t="shared" si="855"/>
        <v>66.29885308601591</v>
      </c>
      <c r="KN241" s="201">
        <f t="shared" si="855"/>
        <v>66.29885308601591</v>
      </c>
      <c r="KO241" s="201">
        <f t="shared" si="855"/>
        <v>66.29885308601591</v>
      </c>
      <c r="KP241" s="201">
        <f t="shared" si="855"/>
        <v>66.29885308601591</v>
      </c>
      <c r="KQ241" s="201">
        <f t="shared" si="855"/>
        <v>66.29885308601591</v>
      </c>
      <c r="KR241" s="201">
        <f t="shared" si="855"/>
        <v>66.29885308601591</v>
      </c>
      <c r="KS241" s="201">
        <f t="shared" si="855"/>
        <v>66.29885308601591</v>
      </c>
      <c r="KT241" s="201">
        <f t="shared" si="855"/>
        <v>66.29885308601591</v>
      </c>
      <c r="KU241" s="201">
        <f t="shared" si="855"/>
        <v>66.29885308601591</v>
      </c>
      <c r="KV241" s="201">
        <f t="shared" si="855"/>
        <v>66.29885308601591</v>
      </c>
      <c r="KW241" s="201">
        <f t="shared" si="855"/>
        <v>66.29885308601591</v>
      </c>
      <c r="KX241" s="201">
        <f t="shared" si="855"/>
        <v>66.29885308601591</v>
      </c>
      <c r="KY241" s="201">
        <f t="shared" si="855"/>
        <v>66.29885308601591</v>
      </c>
      <c r="KZ241" s="201">
        <f t="shared" si="855"/>
        <v>66.29885308601591</v>
      </c>
      <c r="LA241" s="201">
        <f t="shared" si="855"/>
        <v>66.29885308601591</v>
      </c>
      <c r="LB241" s="201">
        <f t="shared" si="855"/>
        <v>66.29885308601591</v>
      </c>
      <c r="LC241" s="201">
        <f t="shared" si="855"/>
        <v>66.29885308601591</v>
      </c>
      <c r="LD241" s="201">
        <f t="shared" si="855"/>
        <v>66.29885308601591</v>
      </c>
      <c r="LE241" s="201">
        <f t="shared" si="855"/>
        <v>66.29885308601591</v>
      </c>
      <c r="LF241" s="201">
        <f t="shared" si="855"/>
        <v>66.29885308601591</v>
      </c>
      <c r="LG241" s="201">
        <f t="shared" si="855"/>
        <v>66.29885308601591</v>
      </c>
      <c r="LH241" s="201">
        <f t="shared" si="855"/>
        <v>66.29885308601591</v>
      </c>
      <c r="LI241" s="201">
        <f t="shared" si="855"/>
        <v>66.29885308601591</v>
      </c>
      <c r="LJ241" s="201">
        <f t="shared" si="855"/>
        <v>66.29885308601591</v>
      </c>
      <c r="LK241" s="201">
        <f t="shared" si="855"/>
        <v>66.29885308601591</v>
      </c>
      <c r="LL241" s="201">
        <f t="shared" si="855"/>
        <v>66.29885308601591</v>
      </c>
      <c r="LM241" s="201">
        <f t="shared" si="845"/>
        <v>66.29885308601591</v>
      </c>
      <c r="LN241" s="201">
        <f t="shared" ref="LN241:NY241" si="859">600*LN205</f>
        <v>66.29885308601591</v>
      </c>
      <c r="LO241" s="201">
        <f t="shared" si="859"/>
        <v>66.29885308601591</v>
      </c>
      <c r="LP241" s="201">
        <f t="shared" si="859"/>
        <v>66.29885308601591</v>
      </c>
      <c r="LQ241" s="201">
        <f t="shared" si="859"/>
        <v>66.29885308601591</v>
      </c>
      <c r="LR241" s="201">
        <f t="shared" si="859"/>
        <v>66.29885308601591</v>
      </c>
      <c r="LS241" s="201">
        <f t="shared" si="859"/>
        <v>66.29885308601591</v>
      </c>
      <c r="LT241" s="201">
        <f t="shared" si="859"/>
        <v>66.29885308601591</v>
      </c>
      <c r="LU241" s="201">
        <f t="shared" si="859"/>
        <v>66.29885308601591</v>
      </c>
      <c r="LV241" s="201">
        <f t="shared" si="859"/>
        <v>66.29885308601591</v>
      </c>
      <c r="LW241" s="201">
        <f t="shared" si="859"/>
        <v>66.29885308601591</v>
      </c>
      <c r="LX241" s="201">
        <f t="shared" si="859"/>
        <v>66.29885308601591</v>
      </c>
      <c r="LY241" s="201">
        <f t="shared" si="859"/>
        <v>66.29885308601591</v>
      </c>
      <c r="LZ241" s="201">
        <f t="shared" si="859"/>
        <v>66.29885308601591</v>
      </c>
      <c r="MA241" s="201">
        <f t="shared" si="859"/>
        <v>66.29885308601591</v>
      </c>
      <c r="MB241" s="201">
        <f t="shared" si="859"/>
        <v>66.29885308601591</v>
      </c>
      <c r="MC241" s="201">
        <f t="shared" si="859"/>
        <v>66.29885308601591</v>
      </c>
      <c r="MD241" s="201">
        <f t="shared" si="859"/>
        <v>66.29885308601591</v>
      </c>
      <c r="ME241" s="201">
        <f t="shared" si="859"/>
        <v>66.29885308601591</v>
      </c>
      <c r="MF241" s="201">
        <f t="shared" si="859"/>
        <v>66.29885308601591</v>
      </c>
      <c r="MG241" s="201">
        <f t="shared" si="859"/>
        <v>66.29885308601591</v>
      </c>
      <c r="MH241" s="201">
        <f t="shared" si="859"/>
        <v>66.29885308601591</v>
      </c>
      <c r="MI241" s="201">
        <f t="shared" si="859"/>
        <v>66.29885308601591</v>
      </c>
      <c r="MJ241" s="201">
        <f t="shared" si="859"/>
        <v>66.29885308601591</v>
      </c>
      <c r="MK241" s="201">
        <f t="shared" si="859"/>
        <v>66.29885308601591</v>
      </c>
      <c r="ML241" s="201">
        <f t="shared" si="859"/>
        <v>66.29885308601591</v>
      </c>
      <c r="MM241" s="201">
        <f t="shared" si="859"/>
        <v>66.29885308601591</v>
      </c>
      <c r="MN241" s="201">
        <f t="shared" si="859"/>
        <v>66.29885308601591</v>
      </c>
      <c r="MO241" s="201">
        <f t="shared" si="859"/>
        <v>66.29885308601591</v>
      </c>
      <c r="MP241" s="201">
        <f t="shared" si="859"/>
        <v>66.29885308601591</v>
      </c>
      <c r="MQ241" s="201">
        <f t="shared" si="859"/>
        <v>66.29885308601591</v>
      </c>
      <c r="MR241" s="201">
        <f t="shared" si="859"/>
        <v>66.29885308601591</v>
      </c>
      <c r="MS241" s="201">
        <f t="shared" si="859"/>
        <v>66.29885308601591</v>
      </c>
      <c r="MT241" s="201">
        <f t="shared" si="859"/>
        <v>66.29885308601591</v>
      </c>
      <c r="MU241" s="201">
        <f t="shared" si="859"/>
        <v>66.29885308601591</v>
      </c>
      <c r="MV241" s="201">
        <f t="shared" si="859"/>
        <v>66.29885308601591</v>
      </c>
      <c r="MW241" s="201">
        <f t="shared" si="859"/>
        <v>66.29885308601591</v>
      </c>
      <c r="MX241" s="201">
        <f t="shared" si="859"/>
        <v>66.29885308601591</v>
      </c>
      <c r="MY241" s="201">
        <f t="shared" si="859"/>
        <v>66.29885308601591</v>
      </c>
      <c r="MZ241" s="201">
        <f t="shared" si="859"/>
        <v>66.29885308601591</v>
      </c>
      <c r="NA241" s="201">
        <f t="shared" si="859"/>
        <v>66.29885308601591</v>
      </c>
      <c r="NB241" s="201">
        <f t="shared" si="859"/>
        <v>66.29885308601591</v>
      </c>
      <c r="NC241" s="201">
        <f t="shared" si="859"/>
        <v>66.29885308601591</v>
      </c>
      <c r="ND241" s="201">
        <f t="shared" si="859"/>
        <v>66.29885308601591</v>
      </c>
      <c r="NE241" s="201">
        <f t="shared" si="859"/>
        <v>66.29885308601591</v>
      </c>
      <c r="NF241" s="201">
        <f t="shared" si="859"/>
        <v>66.29885308601591</v>
      </c>
      <c r="NG241" s="201">
        <f t="shared" si="859"/>
        <v>66.29885308601591</v>
      </c>
      <c r="NH241" s="201">
        <f t="shared" si="859"/>
        <v>66.29885308601591</v>
      </c>
      <c r="NI241" s="201">
        <f t="shared" si="859"/>
        <v>66.29885308601591</v>
      </c>
      <c r="NJ241" s="201">
        <f t="shared" si="859"/>
        <v>66.29885308601591</v>
      </c>
      <c r="NK241" s="201">
        <f t="shared" si="859"/>
        <v>66.29885308601591</v>
      </c>
      <c r="NL241" s="201">
        <f t="shared" si="859"/>
        <v>66.29885308601591</v>
      </c>
      <c r="NM241" s="201">
        <f t="shared" si="859"/>
        <v>66.29885308601591</v>
      </c>
      <c r="NN241" s="201">
        <f t="shared" si="859"/>
        <v>66.29885308601591</v>
      </c>
      <c r="NO241" s="201">
        <f t="shared" si="859"/>
        <v>66.29885308601591</v>
      </c>
      <c r="NP241" s="201">
        <f t="shared" si="859"/>
        <v>66.29885308601591</v>
      </c>
      <c r="NQ241" s="201">
        <f t="shared" si="859"/>
        <v>66.29885308601591</v>
      </c>
      <c r="NR241" s="201">
        <f t="shared" si="859"/>
        <v>66.29885308601591</v>
      </c>
      <c r="NS241" s="201">
        <f t="shared" si="859"/>
        <v>66.29885308601591</v>
      </c>
      <c r="NT241" s="201">
        <f t="shared" si="859"/>
        <v>66.29885308601591</v>
      </c>
      <c r="NU241" s="201">
        <f t="shared" si="859"/>
        <v>66.29885308601591</v>
      </c>
      <c r="NV241" s="201">
        <f t="shared" si="859"/>
        <v>66.29885308601591</v>
      </c>
      <c r="NW241" s="201">
        <f t="shared" si="859"/>
        <v>66.29885308601591</v>
      </c>
      <c r="NX241" s="201">
        <f t="shared" si="859"/>
        <v>66.29885308601591</v>
      </c>
      <c r="NY241" s="201">
        <f t="shared" si="859"/>
        <v>66.29885308601591</v>
      </c>
      <c r="NZ241" s="201">
        <f t="shared" si="856"/>
        <v>66.29885308601591</v>
      </c>
      <c r="OA241" s="201">
        <f t="shared" si="856"/>
        <v>66.29885308601591</v>
      </c>
      <c r="OB241" s="201">
        <f t="shared" si="856"/>
        <v>66.29885308601591</v>
      </c>
      <c r="OC241" s="201">
        <f t="shared" si="856"/>
        <v>66.29885308601591</v>
      </c>
      <c r="OD241" s="201">
        <f t="shared" si="856"/>
        <v>66.29885308601591</v>
      </c>
      <c r="OE241" s="201">
        <f t="shared" si="856"/>
        <v>66.29885308601591</v>
      </c>
      <c r="OF241" s="201">
        <f t="shared" si="856"/>
        <v>66.29885308601591</v>
      </c>
      <c r="OG241" s="201">
        <f t="shared" si="856"/>
        <v>66.29885308601591</v>
      </c>
      <c r="OH241" s="201">
        <f t="shared" si="856"/>
        <v>66.29885308601591</v>
      </c>
      <c r="OI241" s="201">
        <f t="shared" si="856"/>
        <v>66.29885308601591</v>
      </c>
      <c r="OJ241" s="201">
        <f t="shared" si="856"/>
        <v>66.29885308601591</v>
      </c>
      <c r="OK241" s="201">
        <f t="shared" si="856"/>
        <v>66.29885308601591</v>
      </c>
      <c r="OL241" s="201">
        <f t="shared" si="856"/>
        <v>66.29885308601591</v>
      </c>
      <c r="OM241" s="201">
        <f t="shared" si="856"/>
        <v>66.29885308601591</v>
      </c>
      <c r="ON241" s="201">
        <f t="shared" si="856"/>
        <v>66.29885308601591</v>
      </c>
      <c r="OO241" s="201">
        <f t="shared" si="856"/>
        <v>66.29885308601591</v>
      </c>
      <c r="OP241" s="201">
        <f t="shared" si="856"/>
        <v>66.29885308601591</v>
      </c>
      <c r="OQ241" s="201">
        <f t="shared" si="856"/>
        <v>66.29885308601591</v>
      </c>
      <c r="OR241" s="201">
        <f t="shared" si="856"/>
        <v>66.29885308601591</v>
      </c>
      <c r="OS241" s="201">
        <f t="shared" si="856"/>
        <v>66.29885308601591</v>
      </c>
      <c r="OT241" s="201">
        <f t="shared" si="856"/>
        <v>66.29885308601591</v>
      </c>
      <c r="OU241" s="201">
        <f t="shared" si="856"/>
        <v>66.29885308601591</v>
      </c>
      <c r="OV241" s="201">
        <f t="shared" si="856"/>
        <v>66.29885308601591</v>
      </c>
      <c r="OW241" s="201">
        <f t="shared" si="856"/>
        <v>66.29885308601591</v>
      </c>
      <c r="OX241" s="201">
        <f t="shared" si="856"/>
        <v>66.29885308601591</v>
      </c>
      <c r="OY241" s="201">
        <f t="shared" si="856"/>
        <v>66.29885308601591</v>
      </c>
      <c r="OZ241" s="201">
        <f t="shared" si="856"/>
        <v>66.29885308601591</v>
      </c>
      <c r="PA241" s="201">
        <f t="shared" si="856"/>
        <v>66.29885308601591</v>
      </c>
      <c r="PB241" s="201">
        <f t="shared" si="856"/>
        <v>66.29885308601591</v>
      </c>
      <c r="PC241" s="201">
        <f t="shared" si="856"/>
        <v>66.29885308601591</v>
      </c>
      <c r="PD241" s="201">
        <f t="shared" si="856"/>
        <v>66.29885308601591</v>
      </c>
      <c r="PE241" s="201">
        <f t="shared" si="856"/>
        <v>66.29885308601591</v>
      </c>
      <c r="PF241" s="201">
        <f t="shared" si="856"/>
        <v>66.29885308601591</v>
      </c>
      <c r="PG241" s="201">
        <f t="shared" si="856"/>
        <v>66.29885308601591</v>
      </c>
      <c r="PH241" s="201">
        <f t="shared" si="856"/>
        <v>66.29885308601591</v>
      </c>
      <c r="PI241" s="201">
        <f t="shared" si="856"/>
        <v>66.29885308601591</v>
      </c>
      <c r="PJ241" s="201">
        <f t="shared" si="856"/>
        <v>66.29885308601591</v>
      </c>
      <c r="PK241" s="201">
        <f t="shared" si="856"/>
        <v>66.29885308601591</v>
      </c>
      <c r="PL241" s="201">
        <f t="shared" si="856"/>
        <v>66.29885308601591</v>
      </c>
      <c r="PM241" s="201">
        <f t="shared" si="856"/>
        <v>66.29885308601591</v>
      </c>
      <c r="PN241" s="201">
        <f t="shared" si="856"/>
        <v>66.29885308601591</v>
      </c>
      <c r="PO241" s="201">
        <f t="shared" si="856"/>
        <v>66.29885308601591</v>
      </c>
      <c r="PP241" s="201">
        <f t="shared" si="856"/>
        <v>66.29885308601591</v>
      </c>
      <c r="PQ241" s="201">
        <f t="shared" si="856"/>
        <v>66.29885308601591</v>
      </c>
      <c r="PR241" s="201">
        <f t="shared" si="856"/>
        <v>66.29885308601591</v>
      </c>
      <c r="PS241" s="201">
        <f t="shared" si="856"/>
        <v>66.29885308601591</v>
      </c>
      <c r="PT241" s="201">
        <f t="shared" si="856"/>
        <v>66.29885308601591</v>
      </c>
      <c r="PU241" s="201">
        <f t="shared" si="856"/>
        <v>66.29885308601591</v>
      </c>
      <c r="PV241" s="201">
        <f t="shared" si="856"/>
        <v>66.29885308601591</v>
      </c>
      <c r="PW241" s="201">
        <f t="shared" si="856"/>
        <v>66.29885308601591</v>
      </c>
      <c r="PX241" s="201">
        <f t="shared" si="856"/>
        <v>66.29885308601591</v>
      </c>
      <c r="PY241" s="201">
        <f t="shared" si="856"/>
        <v>66.29885308601591</v>
      </c>
      <c r="PZ241" s="201">
        <f t="shared" si="856"/>
        <v>66.29885308601591</v>
      </c>
      <c r="QA241" s="201">
        <f t="shared" si="856"/>
        <v>66.29885308601591</v>
      </c>
      <c r="QB241" s="201">
        <f t="shared" si="856"/>
        <v>66.29885308601591</v>
      </c>
      <c r="QC241" s="201">
        <f t="shared" si="856"/>
        <v>66.29885308601591</v>
      </c>
      <c r="QD241" s="201">
        <f t="shared" si="856"/>
        <v>66.29885308601591</v>
      </c>
      <c r="QE241" s="201">
        <f t="shared" si="856"/>
        <v>66.29885308601591</v>
      </c>
      <c r="QF241" s="201">
        <f t="shared" si="856"/>
        <v>66.29885308601591</v>
      </c>
      <c r="QG241" s="201">
        <f t="shared" si="856"/>
        <v>66.29885308601591</v>
      </c>
      <c r="QH241" s="201">
        <f t="shared" si="856"/>
        <v>66.29885308601591</v>
      </c>
      <c r="QI241" s="201">
        <f t="shared" si="856"/>
        <v>66.29885308601591</v>
      </c>
      <c r="QJ241" s="201">
        <f t="shared" si="856"/>
        <v>66.29885308601591</v>
      </c>
      <c r="QK241" s="201">
        <f t="shared" si="847"/>
        <v>66.29885308601591</v>
      </c>
      <c r="QL241" s="201">
        <f t="shared" si="848"/>
        <v>66.29885308601591</v>
      </c>
      <c r="QM241" s="201">
        <f t="shared" si="848"/>
        <v>66.29885308601591</v>
      </c>
      <c r="QN241" s="201">
        <f t="shared" si="848"/>
        <v>66.29885308601591</v>
      </c>
      <c r="QO241" s="201">
        <f t="shared" si="848"/>
        <v>66.29885308601591</v>
      </c>
      <c r="QP241" s="201">
        <f t="shared" si="848"/>
        <v>66.29885308601591</v>
      </c>
      <c r="QQ241" s="201">
        <f t="shared" si="848"/>
        <v>66.29885308601591</v>
      </c>
      <c r="QR241" s="201">
        <f t="shared" si="848"/>
        <v>66.29885308601591</v>
      </c>
      <c r="QS241" s="201">
        <f t="shared" si="848"/>
        <v>66.29885308601591</v>
      </c>
      <c r="QT241" s="201">
        <f t="shared" si="848"/>
        <v>66.29885308601591</v>
      </c>
      <c r="QU241" s="201">
        <f t="shared" si="848"/>
        <v>66.29885308601591</v>
      </c>
      <c r="QV241" s="201">
        <f t="shared" si="848"/>
        <v>66.29885308601591</v>
      </c>
      <c r="QW241" s="201">
        <f t="shared" si="848"/>
        <v>66.29885308601591</v>
      </c>
      <c r="QX241" s="201">
        <f t="shared" si="848"/>
        <v>66.29885308601591</v>
      </c>
      <c r="QY241" s="201">
        <f t="shared" si="848"/>
        <v>66.29885308601591</v>
      </c>
      <c r="QZ241" s="201">
        <f t="shared" si="848"/>
        <v>66.29885308601591</v>
      </c>
      <c r="RA241" s="201">
        <f t="shared" si="848"/>
        <v>66.29885308601591</v>
      </c>
      <c r="RB241" s="201">
        <f t="shared" si="848"/>
        <v>66.29885308601591</v>
      </c>
      <c r="RC241" s="201">
        <f t="shared" si="848"/>
        <v>66.29885308601591</v>
      </c>
      <c r="RD241" s="201">
        <f t="shared" si="848"/>
        <v>66.29885308601591</v>
      </c>
      <c r="RE241" s="201">
        <f t="shared" si="848"/>
        <v>66.29885308601591</v>
      </c>
      <c r="RF241" s="201">
        <f t="shared" si="848"/>
        <v>66.29885308601591</v>
      </c>
      <c r="RG241" s="201">
        <f t="shared" si="848"/>
        <v>66.29885308601591</v>
      </c>
      <c r="RH241" s="201">
        <f t="shared" si="848"/>
        <v>66.29885308601591</v>
      </c>
      <c r="RI241" s="201">
        <f t="shared" si="848"/>
        <v>66.29885308601591</v>
      </c>
      <c r="RJ241" s="201">
        <f t="shared" si="848"/>
        <v>66.29885308601591</v>
      </c>
      <c r="RK241" s="201">
        <f t="shared" si="848"/>
        <v>66.29885308601591</v>
      </c>
      <c r="RL241" s="201">
        <f t="shared" si="848"/>
        <v>66.29885308601591</v>
      </c>
      <c r="RM241" s="201">
        <f t="shared" si="848"/>
        <v>66.29885308601591</v>
      </c>
      <c r="RN241" s="201">
        <f t="shared" si="848"/>
        <v>66.29885308601591</v>
      </c>
      <c r="RO241" s="201">
        <f t="shared" si="848"/>
        <v>66.29885308601591</v>
      </c>
      <c r="RP241" s="201">
        <f t="shared" si="848"/>
        <v>66.29885308601591</v>
      </c>
      <c r="RQ241" s="201">
        <f t="shared" si="848"/>
        <v>66.29885308601591</v>
      </c>
      <c r="RR241" s="201">
        <f t="shared" si="848"/>
        <v>66.29885308601591</v>
      </c>
      <c r="RS241" s="201"/>
    </row>
    <row r="242" spans="2:487" s="9" customFormat="1">
      <c r="E242" s="201"/>
      <c r="F242" s="201"/>
      <c r="G242" s="201"/>
      <c r="H242" s="201"/>
      <c r="I242" s="201"/>
      <c r="J242" s="201"/>
      <c r="K242" s="201"/>
      <c r="L242" s="201"/>
      <c r="M242" s="201"/>
      <c r="N242" s="201"/>
      <c r="O242" s="201"/>
      <c r="P242" s="201"/>
      <c r="Q242" s="201"/>
      <c r="R242" s="201"/>
      <c r="S242" s="201"/>
      <c r="T242" s="201"/>
      <c r="U242" s="201"/>
      <c r="V242" s="201"/>
      <c r="W242" s="201"/>
      <c r="X242" s="201"/>
      <c r="Y242" s="201"/>
      <c r="Z242" s="201"/>
      <c r="AA242" s="201"/>
      <c r="AB242" s="201"/>
      <c r="AC242" s="201"/>
      <c r="AD242" s="201"/>
      <c r="AE242" s="201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201"/>
      <c r="AP242" s="201"/>
      <c r="AQ242" s="201"/>
      <c r="AR242" s="201"/>
      <c r="AS242" s="201"/>
      <c r="AT242" s="201"/>
      <c r="AU242" s="201"/>
      <c r="AV242" s="201"/>
      <c r="AW242" s="201"/>
      <c r="AX242" s="201"/>
      <c r="AY242" s="201"/>
      <c r="AZ242" s="201"/>
      <c r="BA242" s="201"/>
      <c r="BB242" s="201"/>
      <c r="BC242" s="201"/>
      <c r="BD242" s="201"/>
      <c r="BE242" s="201"/>
      <c r="BF242" s="201"/>
      <c r="BG242" s="201"/>
      <c r="BH242" s="201"/>
      <c r="BI242" s="201"/>
      <c r="BJ242" s="201"/>
      <c r="BK242" s="201"/>
      <c r="BL242" s="201"/>
      <c r="BM242" s="201"/>
      <c r="BN242" s="201"/>
      <c r="BO242" s="201"/>
      <c r="BP242" s="201"/>
      <c r="BQ242" s="201"/>
      <c r="BR242" s="201"/>
      <c r="BS242" s="201"/>
      <c r="BT242" s="201"/>
      <c r="BU242" s="201"/>
      <c r="BV242" s="201"/>
      <c r="BW242" s="201"/>
      <c r="BX242" s="201"/>
      <c r="BY242" s="201"/>
      <c r="BZ242" s="201"/>
      <c r="CA242" s="201"/>
      <c r="CB242" s="201"/>
      <c r="CC242" s="201"/>
      <c r="CD242" s="201"/>
      <c r="CE242" s="201"/>
      <c r="CF242" s="201"/>
      <c r="CG242" s="201"/>
      <c r="CH242" s="201"/>
      <c r="CI242" s="201"/>
      <c r="CJ242" s="201"/>
      <c r="CK242" s="201"/>
      <c r="CL242" s="201"/>
      <c r="CM242" s="201"/>
      <c r="CN242" s="201"/>
      <c r="CO242" s="201"/>
      <c r="CP242" s="201"/>
      <c r="CQ242" s="201"/>
      <c r="CR242" s="201"/>
      <c r="CS242" s="201"/>
      <c r="CT242" s="201"/>
      <c r="CU242" s="201"/>
      <c r="CV242" s="201"/>
      <c r="CW242" s="201"/>
      <c r="CX242" s="201"/>
      <c r="CY242" s="201"/>
      <c r="CZ242" s="201"/>
      <c r="DA242" s="201"/>
      <c r="DB242" s="201"/>
      <c r="DC242" s="201"/>
      <c r="DD242" s="201"/>
      <c r="DE242" s="201"/>
      <c r="DF242" s="201"/>
      <c r="DG242" s="201"/>
      <c r="DH242" s="201"/>
      <c r="DI242" s="201"/>
      <c r="DJ242" s="201"/>
      <c r="DK242" s="201"/>
      <c r="DL242" s="201"/>
      <c r="DM242" s="201"/>
      <c r="DN242" s="201"/>
      <c r="DO242" s="201"/>
      <c r="DP242" s="201"/>
      <c r="DQ242" s="201"/>
      <c r="DR242" s="201"/>
      <c r="DS242" s="201"/>
      <c r="DT242" s="201"/>
      <c r="DU242" s="201"/>
      <c r="DV242" s="201"/>
      <c r="DW242" s="201"/>
      <c r="DX242" s="201"/>
      <c r="DY242" s="201"/>
      <c r="DZ242" s="201"/>
      <c r="EA242" s="201"/>
      <c r="EB242" s="201"/>
      <c r="EC242" s="201"/>
      <c r="ED242" s="201"/>
      <c r="EE242" s="201"/>
      <c r="EF242" s="201"/>
      <c r="EG242" s="201"/>
      <c r="EH242" s="201"/>
      <c r="EI242" s="201"/>
      <c r="EJ242" s="201"/>
      <c r="EK242" s="201"/>
      <c r="EL242" s="201"/>
      <c r="EM242" s="201"/>
      <c r="EN242" s="201"/>
      <c r="EO242" s="201"/>
      <c r="EP242" s="201"/>
      <c r="EQ242" s="201"/>
      <c r="ER242" s="201"/>
      <c r="ES242" s="201"/>
      <c r="ET242" s="201"/>
      <c r="EU242" s="201"/>
      <c r="EV242" s="201"/>
      <c r="EW242" s="201"/>
      <c r="EX242" s="201"/>
      <c r="EY242" s="201"/>
      <c r="EZ242" s="201"/>
      <c r="FA242" s="201"/>
      <c r="FB242" s="201"/>
      <c r="FC242" s="201"/>
      <c r="FD242" s="201"/>
      <c r="FE242" s="201"/>
      <c r="FF242" s="201"/>
      <c r="FG242" s="201"/>
      <c r="FH242" s="201"/>
      <c r="FI242" s="201"/>
      <c r="FJ242" s="201"/>
      <c r="FK242" s="201"/>
      <c r="FL242" s="201"/>
      <c r="FM242" s="201"/>
      <c r="FN242" s="201"/>
      <c r="FO242" s="201"/>
      <c r="FP242" s="201"/>
      <c r="FQ242" s="201"/>
      <c r="FR242" s="201"/>
      <c r="FS242" s="201"/>
      <c r="FT242" s="201"/>
      <c r="FU242" s="201"/>
      <c r="FV242" s="201"/>
      <c r="FW242" s="201"/>
      <c r="FX242" s="201"/>
      <c r="FY242" s="201"/>
      <c r="FZ242" s="201"/>
      <c r="GA242" s="201"/>
      <c r="GB242" s="201"/>
      <c r="GC242" s="201"/>
      <c r="GD242" s="201"/>
      <c r="GE242" s="201"/>
      <c r="GF242" s="201"/>
      <c r="GG242" s="201"/>
      <c r="GH242" s="201"/>
      <c r="GI242" s="201"/>
      <c r="GJ242" s="201"/>
      <c r="GK242" s="201"/>
      <c r="GL242" s="201"/>
      <c r="GM242" s="201"/>
      <c r="GN242" s="201"/>
      <c r="GO242" s="201"/>
      <c r="GP242" s="201"/>
      <c r="GQ242" s="201"/>
      <c r="GR242" s="201"/>
      <c r="GS242" s="201"/>
      <c r="GT242" s="201"/>
      <c r="GU242" s="201"/>
      <c r="GV242" s="201"/>
      <c r="GW242" s="201"/>
      <c r="GX242" s="201"/>
      <c r="GY242" s="201"/>
      <c r="GZ242" s="201"/>
      <c r="HA242" s="201"/>
      <c r="HB242" s="201"/>
      <c r="HC242" s="201"/>
      <c r="HD242" s="201"/>
      <c r="HE242" s="201"/>
      <c r="HF242" s="201"/>
      <c r="HG242" s="201"/>
      <c r="HH242" s="201"/>
      <c r="HI242" s="201"/>
      <c r="HJ242" s="201"/>
      <c r="HK242" s="201"/>
      <c r="HL242" s="201"/>
      <c r="HM242" s="201"/>
      <c r="HN242" s="201"/>
      <c r="HO242" s="201"/>
      <c r="HP242" s="201"/>
      <c r="HQ242" s="201"/>
      <c r="HR242" s="201"/>
      <c r="HS242" s="201"/>
      <c r="HT242" s="201"/>
      <c r="HU242" s="201"/>
      <c r="HV242" s="201"/>
      <c r="HW242" s="201"/>
      <c r="HX242" s="201"/>
      <c r="HY242" s="201"/>
      <c r="HZ242" s="201"/>
      <c r="IA242" s="201"/>
      <c r="IB242" s="201"/>
      <c r="IC242" s="201"/>
      <c r="ID242" s="201"/>
      <c r="IE242" s="201"/>
      <c r="IF242" s="201"/>
      <c r="IG242" s="201"/>
      <c r="IH242" s="201"/>
      <c r="II242" s="201"/>
      <c r="IJ242" s="201"/>
      <c r="IK242" s="201"/>
      <c r="IL242" s="201"/>
      <c r="IM242" s="201"/>
      <c r="IN242" s="201"/>
      <c r="IO242" s="201"/>
      <c r="IP242" s="201"/>
      <c r="IQ242" s="201"/>
      <c r="IR242" s="201"/>
      <c r="IS242" s="201"/>
      <c r="IT242" s="201"/>
      <c r="IU242" s="201"/>
      <c r="IV242" s="201"/>
      <c r="IW242" s="201"/>
      <c r="IX242" s="201"/>
      <c r="IY242" s="201"/>
      <c r="IZ242" s="201"/>
      <c r="JA242" s="201"/>
      <c r="JB242" s="201"/>
      <c r="JC242" s="201"/>
      <c r="JD242" s="201"/>
      <c r="JE242" s="201"/>
      <c r="JF242" s="201"/>
      <c r="JG242" s="201"/>
      <c r="JH242" s="201"/>
      <c r="JI242" s="201"/>
      <c r="JJ242" s="201"/>
      <c r="JK242" s="201"/>
      <c r="JL242" s="201"/>
      <c r="JM242" s="201"/>
      <c r="JN242" s="201"/>
      <c r="JO242" s="201"/>
      <c r="JP242" s="201"/>
      <c r="JQ242" s="201"/>
      <c r="JR242" s="201"/>
      <c r="JS242" s="201"/>
      <c r="JT242" s="201"/>
      <c r="JU242" s="201"/>
      <c r="JV242" s="201"/>
      <c r="JW242" s="201"/>
      <c r="JX242" s="201"/>
      <c r="JY242" s="201"/>
      <c r="JZ242" s="201"/>
      <c r="KA242" s="201"/>
      <c r="KB242" s="201"/>
      <c r="KC242" s="201"/>
      <c r="KD242" s="201"/>
      <c r="KE242" s="201"/>
      <c r="KF242" s="201"/>
      <c r="KG242" s="201"/>
      <c r="KH242" s="201"/>
      <c r="KI242" s="201"/>
      <c r="KJ242" s="201"/>
      <c r="KK242" s="201"/>
      <c r="KL242" s="201"/>
      <c r="KM242" s="201"/>
      <c r="KN242" s="201"/>
      <c r="KO242" s="201"/>
      <c r="KP242" s="201"/>
      <c r="KQ242" s="201"/>
      <c r="KR242" s="201"/>
      <c r="KS242" s="201"/>
      <c r="KT242" s="201"/>
      <c r="KU242" s="201"/>
      <c r="KV242" s="201"/>
      <c r="KW242" s="201"/>
      <c r="KX242" s="201"/>
      <c r="KY242" s="201"/>
      <c r="KZ242" s="201"/>
      <c r="LA242" s="201"/>
      <c r="LB242" s="201"/>
      <c r="LC242" s="201"/>
      <c r="LD242" s="201"/>
      <c r="LE242" s="201"/>
      <c r="LF242" s="201"/>
      <c r="LG242" s="201"/>
      <c r="LH242" s="201"/>
      <c r="LI242" s="201"/>
      <c r="LJ242" s="201"/>
      <c r="LK242" s="201"/>
      <c r="LL242" s="201"/>
      <c r="LM242" s="201"/>
      <c r="LN242" s="201"/>
      <c r="LO242" s="201"/>
      <c r="LP242" s="201"/>
      <c r="LQ242" s="201"/>
      <c r="LR242" s="201"/>
      <c r="LS242" s="201"/>
      <c r="LT242" s="201"/>
      <c r="LU242" s="201"/>
      <c r="LV242" s="201"/>
      <c r="LW242" s="201"/>
      <c r="LX242" s="201"/>
      <c r="LY242" s="201"/>
      <c r="LZ242" s="201"/>
      <c r="MA242" s="201"/>
      <c r="MB242" s="201"/>
      <c r="MC242" s="201"/>
      <c r="MD242" s="201"/>
      <c r="ME242" s="201"/>
      <c r="MF242" s="201"/>
      <c r="MG242" s="201"/>
      <c r="MH242" s="201"/>
      <c r="MI242" s="201"/>
      <c r="MJ242" s="201"/>
      <c r="MK242" s="201"/>
      <c r="ML242" s="201"/>
      <c r="MM242" s="201"/>
      <c r="MN242" s="201"/>
      <c r="MO242" s="201"/>
      <c r="MP242" s="201"/>
      <c r="MQ242" s="201"/>
      <c r="MR242" s="201"/>
      <c r="MS242" s="201"/>
      <c r="MT242" s="201"/>
      <c r="MU242" s="201"/>
      <c r="MV242" s="201"/>
      <c r="MW242" s="201"/>
      <c r="MX242" s="201"/>
      <c r="MY242" s="201"/>
      <c r="MZ242" s="201"/>
      <c r="NA242" s="201"/>
      <c r="NB242" s="201"/>
      <c r="NC242" s="201"/>
      <c r="ND242" s="201"/>
      <c r="NE242" s="201"/>
      <c r="NF242" s="201"/>
      <c r="NG242" s="201"/>
      <c r="NH242" s="201"/>
      <c r="NI242" s="201"/>
      <c r="NJ242" s="201"/>
      <c r="NK242" s="201"/>
      <c r="NL242" s="201"/>
      <c r="NM242" s="201"/>
      <c r="NN242" s="201"/>
      <c r="NO242" s="201"/>
      <c r="NP242" s="201"/>
      <c r="NQ242" s="201"/>
      <c r="NR242" s="201"/>
      <c r="NS242" s="201"/>
      <c r="NT242" s="201"/>
      <c r="NU242" s="201"/>
      <c r="NV242" s="201"/>
      <c r="NW242" s="201"/>
      <c r="NX242" s="201"/>
      <c r="NY242" s="201"/>
      <c r="NZ242" s="201"/>
      <c r="OA242" s="201"/>
      <c r="OB242" s="201"/>
      <c r="OC242" s="201"/>
      <c r="OD242" s="201"/>
      <c r="OE242" s="201"/>
      <c r="OF242" s="201"/>
      <c r="OG242" s="201"/>
      <c r="OH242" s="201"/>
      <c r="OI242" s="201"/>
      <c r="OJ242" s="201"/>
      <c r="OK242" s="201"/>
      <c r="OL242" s="201"/>
      <c r="OM242" s="201"/>
      <c r="ON242" s="201"/>
      <c r="OO242" s="201"/>
      <c r="OP242" s="201"/>
      <c r="OQ242" s="201"/>
      <c r="OR242" s="201"/>
      <c r="OS242" s="201"/>
      <c r="OT242" s="201"/>
      <c r="OU242" s="201"/>
      <c r="OV242" s="201"/>
      <c r="OW242" s="201"/>
      <c r="OX242" s="201"/>
      <c r="OY242" s="201"/>
      <c r="OZ242" s="201"/>
      <c r="PA242" s="201"/>
      <c r="PB242" s="201"/>
      <c r="PC242" s="201"/>
      <c r="PD242" s="201"/>
      <c r="PE242" s="201"/>
      <c r="PF242" s="201"/>
      <c r="PG242" s="201"/>
      <c r="PH242" s="201"/>
      <c r="PI242" s="201"/>
      <c r="PJ242" s="201"/>
      <c r="PK242" s="201"/>
      <c r="PL242" s="201"/>
      <c r="PM242" s="201"/>
      <c r="PN242" s="201"/>
      <c r="PO242" s="201"/>
      <c r="PP242" s="201"/>
      <c r="PQ242" s="201"/>
      <c r="PR242" s="201"/>
      <c r="PS242" s="201"/>
      <c r="PT242" s="201"/>
      <c r="PU242" s="201"/>
      <c r="PV242" s="201"/>
      <c r="PW242" s="201"/>
      <c r="PX242" s="201"/>
      <c r="PY242" s="201"/>
      <c r="PZ242" s="201"/>
      <c r="QA242" s="201"/>
      <c r="QB242" s="201"/>
      <c r="QC242" s="201"/>
      <c r="QD242" s="201"/>
      <c r="QE242" s="201"/>
      <c r="QF242" s="201"/>
      <c r="QG242" s="201"/>
      <c r="QH242" s="201"/>
      <c r="QI242" s="201"/>
      <c r="QJ242" s="201"/>
      <c r="QK242" s="201"/>
      <c r="QL242" s="201"/>
      <c r="QM242" s="201"/>
      <c r="QN242" s="201"/>
      <c r="QO242" s="201"/>
      <c r="QP242" s="201"/>
      <c r="QQ242" s="201"/>
      <c r="QR242" s="201"/>
      <c r="QS242" s="201"/>
      <c r="QT242" s="201"/>
      <c r="QU242" s="201"/>
      <c r="QV242" s="201"/>
      <c r="QW242" s="201"/>
      <c r="QX242" s="201"/>
      <c r="QY242" s="201"/>
      <c r="QZ242" s="201"/>
      <c r="RA242" s="201"/>
      <c r="RB242" s="201"/>
      <c r="RC242" s="201"/>
      <c r="RD242" s="201"/>
      <c r="RE242" s="201"/>
      <c r="RF242" s="201"/>
      <c r="RG242" s="201"/>
      <c r="RH242" s="201"/>
      <c r="RI242" s="201"/>
      <c r="RJ242" s="201"/>
      <c r="RK242" s="201"/>
      <c r="RL242" s="201"/>
      <c r="RM242" s="201"/>
      <c r="RN242" s="201"/>
      <c r="RO242" s="201"/>
      <c r="RP242" s="201"/>
      <c r="RQ242" s="201"/>
      <c r="RR242" s="201"/>
      <c r="RS242" s="201"/>
    </row>
    <row r="243" spans="2:487" s="9" customFormat="1">
      <c r="C243" s="9" t="s">
        <v>455</v>
      </c>
      <c r="E243" s="2">
        <f>E236</f>
        <v>42156</v>
      </c>
      <c r="F243" s="2">
        <f t="shared" ref="F243:BQ243" si="860">F236</f>
        <v>42186</v>
      </c>
      <c r="G243" s="2">
        <f t="shared" si="860"/>
        <v>42217</v>
      </c>
      <c r="H243" s="2">
        <f t="shared" si="860"/>
        <v>42248</v>
      </c>
      <c r="I243" s="2">
        <f t="shared" si="860"/>
        <v>42278</v>
      </c>
      <c r="J243" s="2">
        <f t="shared" si="860"/>
        <v>42309</v>
      </c>
      <c r="K243" s="2">
        <f t="shared" si="860"/>
        <v>42339</v>
      </c>
      <c r="L243" s="2">
        <f t="shared" si="860"/>
        <v>42370</v>
      </c>
      <c r="M243" s="2">
        <f t="shared" si="860"/>
        <v>42401</v>
      </c>
      <c r="N243" s="2">
        <f t="shared" si="860"/>
        <v>42430</v>
      </c>
      <c r="O243" s="2">
        <f t="shared" si="860"/>
        <v>42461</v>
      </c>
      <c r="P243" s="2">
        <f t="shared" si="860"/>
        <v>42491</v>
      </c>
      <c r="Q243" s="2">
        <f t="shared" si="860"/>
        <v>42522</v>
      </c>
      <c r="R243" s="2">
        <f t="shared" si="860"/>
        <v>42552</v>
      </c>
      <c r="S243" s="2">
        <f t="shared" si="860"/>
        <v>42583</v>
      </c>
      <c r="T243" s="2">
        <f t="shared" si="860"/>
        <v>42614</v>
      </c>
      <c r="U243" s="2">
        <f t="shared" si="860"/>
        <v>42644</v>
      </c>
      <c r="V243" s="2">
        <f t="shared" si="860"/>
        <v>42675</v>
      </c>
      <c r="W243" s="2">
        <f t="shared" si="860"/>
        <v>42705</v>
      </c>
      <c r="X243" s="2">
        <f t="shared" si="860"/>
        <v>42736</v>
      </c>
      <c r="Y243" s="2">
        <f t="shared" si="860"/>
        <v>42767</v>
      </c>
      <c r="Z243" s="2">
        <f t="shared" si="860"/>
        <v>42795</v>
      </c>
      <c r="AA243" s="2">
        <f t="shared" si="860"/>
        <v>42826</v>
      </c>
      <c r="AB243" s="2">
        <f t="shared" si="860"/>
        <v>42856</v>
      </c>
      <c r="AC243" s="2">
        <f t="shared" si="860"/>
        <v>42887</v>
      </c>
      <c r="AD243" s="2">
        <f t="shared" si="860"/>
        <v>42917</v>
      </c>
      <c r="AE243" s="2">
        <f t="shared" si="860"/>
        <v>42948</v>
      </c>
      <c r="AF243" s="2">
        <f t="shared" si="860"/>
        <v>42979</v>
      </c>
      <c r="AG243" s="2">
        <f t="shared" si="860"/>
        <v>43009</v>
      </c>
      <c r="AH243" s="2">
        <f t="shared" si="860"/>
        <v>43040</v>
      </c>
      <c r="AI243" s="2">
        <f t="shared" si="860"/>
        <v>43070</v>
      </c>
      <c r="AJ243" s="2">
        <f t="shared" si="860"/>
        <v>43101</v>
      </c>
      <c r="AK243" s="2">
        <f t="shared" si="860"/>
        <v>43132</v>
      </c>
      <c r="AL243" s="2">
        <f t="shared" si="860"/>
        <v>43160</v>
      </c>
      <c r="AM243" s="2">
        <f t="shared" si="860"/>
        <v>43191</v>
      </c>
      <c r="AN243" s="2">
        <f t="shared" si="860"/>
        <v>43221</v>
      </c>
      <c r="AO243" s="2">
        <f t="shared" si="860"/>
        <v>43252</v>
      </c>
      <c r="AP243" s="2">
        <f t="shared" si="860"/>
        <v>43282</v>
      </c>
      <c r="AQ243" s="2">
        <f t="shared" si="860"/>
        <v>43313</v>
      </c>
      <c r="AR243" s="2">
        <f t="shared" si="860"/>
        <v>43344</v>
      </c>
      <c r="AS243" s="2">
        <f t="shared" si="860"/>
        <v>43374</v>
      </c>
      <c r="AT243" s="2">
        <f t="shared" si="860"/>
        <v>43405</v>
      </c>
      <c r="AU243" s="2">
        <f t="shared" si="860"/>
        <v>43435</v>
      </c>
      <c r="AV243" s="2">
        <f t="shared" si="860"/>
        <v>43466</v>
      </c>
      <c r="AW243" s="2">
        <f t="shared" si="860"/>
        <v>43497</v>
      </c>
      <c r="AX243" s="2">
        <f t="shared" si="860"/>
        <v>43525</v>
      </c>
      <c r="AY243" s="2">
        <f t="shared" si="860"/>
        <v>43556</v>
      </c>
      <c r="AZ243" s="2">
        <f t="shared" si="860"/>
        <v>43586</v>
      </c>
      <c r="BA243" s="2">
        <f t="shared" si="860"/>
        <v>43617</v>
      </c>
      <c r="BB243" s="2">
        <f t="shared" si="860"/>
        <v>43647</v>
      </c>
      <c r="BC243" s="2">
        <f t="shared" si="860"/>
        <v>43678</v>
      </c>
      <c r="BD243" s="2">
        <f t="shared" si="860"/>
        <v>43709</v>
      </c>
      <c r="BE243" s="2">
        <f t="shared" si="860"/>
        <v>43739</v>
      </c>
      <c r="BF243" s="2">
        <f t="shared" si="860"/>
        <v>43770</v>
      </c>
      <c r="BG243" s="2">
        <f t="shared" si="860"/>
        <v>43800</v>
      </c>
      <c r="BH243" s="2">
        <f t="shared" si="860"/>
        <v>43831</v>
      </c>
      <c r="BI243" s="2">
        <f t="shared" si="860"/>
        <v>43862</v>
      </c>
      <c r="BJ243" s="2">
        <f t="shared" si="860"/>
        <v>43891</v>
      </c>
      <c r="BK243" s="2">
        <f t="shared" si="860"/>
        <v>43922</v>
      </c>
      <c r="BL243" s="2">
        <f t="shared" si="860"/>
        <v>43952</v>
      </c>
      <c r="BM243" s="2">
        <f t="shared" si="860"/>
        <v>43983</v>
      </c>
      <c r="BN243" s="2">
        <f t="shared" si="860"/>
        <v>44013</v>
      </c>
      <c r="BO243" s="2">
        <f t="shared" si="860"/>
        <v>44044</v>
      </c>
      <c r="BP243" s="2">
        <f t="shared" si="860"/>
        <v>44075</v>
      </c>
      <c r="BQ243" s="2">
        <f t="shared" si="860"/>
        <v>44105</v>
      </c>
      <c r="BR243" s="2">
        <f t="shared" ref="BR243:EC243" si="861">BR236</f>
        <v>44136</v>
      </c>
      <c r="BS243" s="2">
        <f t="shared" si="861"/>
        <v>44166</v>
      </c>
      <c r="BT243" s="2">
        <f t="shared" si="861"/>
        <v>44197</v>
      </c>
      <c r="BU243" s="2">
        <f t="shared" si="861"/>
        <v>44228</v>
      </c>
      <c r="BV243" s="2">
        <f t="shared" si="861"/>
        <v>44256</v>
      </c>
      <c r="BW243" s="2">
        <f t="shared" si="861"/>
        <v>44287</v>
      </c>
      <c r="BX243" s="2">
        <f t="shared" si="861"/>
        <v>44317</v>
      </c>
      <c r="BY243" s="2">
        <f t="shared" si="861"/>
        <v>44348</v>
      </c>
      <c r="BZ243" s="2">
        <f t="shared" si="861"/>
        <v>44378</v>
      </c>
      <c r="CA243" s="2">
        <f t="shared" si="861"/>
        <v>44409</v>
      </c>
      <c r="CB243" s="2">
        <f t="shared" si="861"/>
        <v>44440</v>
      </c>
      <c r="CC243" s="2">
        <f t="shared" si="861"/>
        <v>44470</v>
      </c>
      <c r="CD243" s="2">
        <f t="shared" si="861"/>
        <v>44501</v>
      </c>
      <c r="CE243" s="2">
        <f t="shared" si="861"/>
        <v>44531</v>
      </c>
      <c r="CF243" s="2">
        <f t="shared" si="861"/>
        <v>44562</v>
      </c>
      <c r="CG243" s="2">
        <f t="shared" si="861"/>
        <v>44593</v>
      </c>
      <c r="CH243" s="2">
        <f t="shared" si="861"/>
        <v>44621</v>
      </c>
      <c r="CI243" s="2">
        <f t="shared" si="861"/>
        <v>44652</v>
      </c>
      <c r="CJ243" s="2">
        <f t="shared" si="861"/>
        <v>44682</v>
      </c>
      <c r="CK243" s="2">
        <f t="shared" si="861"/>
        <v>44713</v>
      </c>
      <c r="CL243" s="2">
        <f t="shared" si="861"/>
        <v>44743</v>
      </c>
      <c r="CM243" s="2">
        <f t="shared" si="861"/>
        <v>44774</v>
      </c>
      <c r="CN243" s="2">
        <f t="shared" si="861"/>
        <v>44805</v>
      </c>
      <c r="CO243" s="2">
        <f t="shared" si="861"/>
        <v>44835</v>
      </c>
      <c r="CP243" s="2">
        <f t="shared" si="861"/>
        <v>44866</v>
      </c>
      <c r="CQ243" s="2">
        <f t="shared" si="861"/>
        <v>44896</v>
      </c>
      <c r="CR243" s="2">
        <f t="shared" si="861"/>
        <v>44927</v>
      </c>
      <c r="CS243" s="2">
        <f t="shared" si="861"/>
        <v>44958</v>
      </c>
      <c r="CT243" s="2">
        <f t="shared" si="861"/>
        <v>44986</v>
      </c>
      <c r="CU243" s="2">
        <f t="shared" si="861"/>
        <v>45017</v>
      </c>
      <c r="CV243" s="2">
        <f t="shared" si="861"/>
        <v>45047</v>
      </c>
      <c r="CW243" s="2">
        <f t="shared" si="861"/>
        <v>45078</v>
      </c>
      <c r="CX243" s="2">
        <f t="shared" si="861"/>
        <v>45108</v>
      </c>
      <c r="CY243" s="2">
        <f t="shared" si="861"/>
        <v>45139</v>
      </c>
      <c r="CZ243" s="2">
        <f t="shared" si="861"/>
        <v>45170</v>
      </c>
      <c r="DA243" s="2">
        <f t="shared" si="861"/>
        <v>45200</v>
      </c>
      <c r="DB243" s="2">
        <f t="shared" si="861"/>
        <v>45231</v>
      </c>
      <c r="DC243" s="2">
        <f t="shared" si="861"/>
        <v>45261</v>
      </c>
      <c r="DD243" s="2">
        <f t="shared" si="861"/>
        <v>45292</v>
      </c>
      <c r="DE243" s="2">
        <f t="shared" si="861"/>
        <v>45323</v>
      </c>
      <c r="DF243" s="2">
        <f t="shared" si="861"/>
        <v>45352</v>
      </c>
      <c r="DG243" s="2">
        <f t="shared" si="861"/>
        <v>45383</v>
      </c>
      <c r="DH243" s="2">
        <f t="shared" si="861"/>
        <v>45413</v>
      </c>
      <c r="DI243" s="2">
        <f t="shared" si="861"/>
        <v>45444</v>
      </c>
      <c r="DJ243" s="2">
        <f t="shared" si="861"/>
        <v>45474</v>
      </c>
      <c r="DK243" s="2">
        <f t="shared" si="861"/>
        <v>45505</v>
      </c>
      <c r="DL243" s="2">
        <f t="shared" si="861"/>
        <v>45536</v>
      </c>
      <c r="DM243" s="2">
        <f t="shared" si="861"/>
        <v>45566</v>
      </c>
      <c r="DN243" s="2">
        <f t="shared" si="861"/>
        <v>45597</v>
      </c>
      <c r="DO243" s="2">
        <f t="shared" si="861"/>
        <v>45627</v>
      </c>
      <c r="DP243" s="2">
        <f t="shared" si="861"/>
        <v>45658</v>
      </c>
      <c r="DQ243" s="2">
        <f t="shared" si="861"/>
        <v>45689</v>
      </c>
      <c r="DR243" s="2">
        <f t="shared" si="861"/>
        <v>45717</v>
      </c>
      <c r="DS243" s="2">
        <f t="shared" si="861"/>
        <v>45748</v>
      </c>
      <c r="DT243" s="2">
        <f t="shared" si="861"/>
        <v>45778</v>
      </c>
      <c r="DU243" s="2">
        <f t="shared" si="861"/>
        <v>45809</v>
      </c>
      <c r="DV243" s="2">
        <f t="shared" si="861"/>
        <v>45839</v>
      </c>
      <c r="DW243" s="2">
        <f t="shared" si="861"/>
        <v>45870</v>
      </c>
      <c r="DX243" s="2">
        <f t="shared" si="861"/>
        <v>45901</v>
      </c>
      <c r="DY243" s="2">
        <f t="shared" si="861"/>
        <v>45931</v>
      </c>
      <c r="DZ243" s="2">
        <f t="shared" si="861"/>
        <v>45962</v>
      </c>
      <c r="EA243" s="2">
        <f t="shared" si="861"/>
        <v>45992</v>
      </c>
      <c r="EB243" s="2">
        <f t="shared" si="861"/>
        <v>46023</v>
      </c>
      <c r="EC243" s="2">
        <f t="shared" si="861"/>
        <v>46054</v>
      </c>
      <c r="ED243" s="2">
        <f t="shared" ref="ED243:GO243" si="862">ED236</f>
        <v>46082</v>
      </c>
      <c r="EE243" s="2">
        <f t="shared" si="862"/>
        <v>46113</v>
      </c>
      <c r="EF243" s="2">
        <f t="shared" si="862"/>
        <v>46143</v>
      </c>
      <c r="EG243" s="2">
        <f t="shared" si="862"/>
        <v>46174</v>
      </c>
      <c r="EH243" s="2">
        <f t="shared" si="862"/>
        <v>46204</v>
      </c>
      <c r="EI243" s="2">
        <f t="shared" si="862"/>
        <v>46235</v>
      </c>
      <c r="EJ243" s="2">
        <f t="shared" si="862"/>
        <v>46266</v>
      </c>
      <c r="EK243" s="2">
        <f t="shared" si="862"/>
        <v>46296</v>
      </c>
      <c r="EL243" s="2">
        <f t="shared" si="862"/>
        <v>46327</v>
      </c>
      <c r="EM243" s="2">
        <f t="shared" si="862"/>
        <v>46357</v>
      </c>
      <c r="EN243" s="2">
        <f t="shared" si="862"/>
        <v>46388</v>
      </c>
      <c r="EO243" s="2">
        <f t="shared" si="862"/>
        <v>46419</v>
      </c>
      <c r="EP243" s="2">
        <f t="shared" si="862"/>
        <v>46447</v>
      </c>
      <c r="EQ243" s="2">
        <f t="shared" si="862"/>
        <v>46478</v>
      </c>
      <c r="ER243" s="2">
        <f t="shared" si="862"/>
        <v>46508</v>
      </c>
      <c r="ES243" s="2">
        <f t="shared" si="862"/>
        <v>46539</v>
      </c>
      <c r="ET243" s="2">
        <f t="shared" si="862"/>
        <v>46569</v>
      </c>
      <c r="EU243" s="2">
        <f t="shared" si="862"/>
        <v>46600</v>
      </c>
      <c r="EV243" s="2">
        <f t="shared" si="862"/>
        <v>46631</v>
      </c>
      <c r="EW243" s="2">
        <f t="shared" si="862"/>
        <v>46661</v>
      </c>
      <c r="EX243" s="2">
        <f t="shared" si="862"/>
        <v>46692</v>
      </c>
      <c r="EY243" s="2">
        <f t="shared" si="862"/>
        <v>46722</v>
      </c>
      <c r="EZ243" s="2">
        <f t="shared" si="862"/>
        <v>46753</v>
      </c>
      <c r="FA243" s="2">
        <f t="shared" si="862"/>
        <v>46784</v>
      </c>
      <c r="FB243" s="2">
        <f t="shared" si="862"/>
        <v>46813</v>
      </c>
      <c r="FC243" s="2">
        <f t="shared" si="862"/>
        <v>46844</v>
      </c>
      <c r="FD243" s="2">
        <f t="shared" si="862"/>
        <v>46874</v>
      </c>
      <c r="FE243" s="2">
        <f t="shared" si="862"/>
        <v>46905</v>
      </c>
      <c r="FF243" s="2">
        <f t="shared" si="862"/>
        <v>46935</v>
      </c>
      <c r="FG243" s="2">
        <f t="shared" si="862"/>
        <v>46966</v>
      </c>
      <c r="FH243" s="2">
        <f t="shared" si="862"/>
        <v>46997</v>
      </c>
      <c r="FI243" s="2">
        <f t="shared" si="862"/>
        <v>47027</v>
      </c>
      <c r="FJ243" s="2">
        <f t="shared" si="862"/>
        <v>47058</v>
      </c>
      <c r="FK243" s="2">
        <f t="shared" si="862"/>
        <v>47088</v>
      </c>
      <c r="FL243" s="2">
        <f t="shared" si="862"/>
        <v>47119</v>
      </c>
      <c r="FM243" s="2">
        <f t="shared" si="862"/>
        <v>47150</v>
      </c>
      <c r="FN243" s="2">
        <f t="shared" si="862"/>
        <v>47178</v>
      </c>
      <c r="FO243" s="2">
        <f t="shared" si="862"/>
        <v>47209</v>
      </c>
      <c r="FP243" s="2">
        <f t="shared" si="862"/>
        <v>47239</v>
      </c>
      <c r="FQ243" s="2">
        <f t="shared" si="862"/>
        <v>47270</v>
      </c>
      <c r="FR243" s="2">
        <f t="shared" si="862"/>
        <v>47300</v>
      </c>
      <c r="FS243" s="2">
        <f t="shared" si="862"/>
        <v>47331</v>
      </c>
      <c r="FT243" s="2">
        <f t="shared" si="862"/>
        <v>47362</v>
      </c>
      <c r="FU243" s="2">
        <f t="shared" si="862"/>
        <v>47392</v>
      </c>
      <c r="FV243" s="2">
        <f t="shared" si="862"/>
        <v>47423</v>
      </c>
      <c r="FW243" s="2">
        <f t="shared" si="862"/>
        <v>47453</v>
      </c>
      <c r="FX243" s="2">
        <f t="shared" si="862"/>
        <v>47484</v>
      </c>
      <c r="FY243" s="2">
        <f t="shared" si="862"/>
        <v>47515</v>
      </c>
      <c r="FZ243" s="2">
        <f t="shared" si="862"/>
        <v>47543</v>
      </c>
      <c r="GA243" s="2">
        <f t="shared" si="862"/>
        <v>47574</v>
      </c>
      <c r="GB243" s="2">
        <f t="shared" si="862"/>
        <v>47604</v>
      </c>
      <c r="GC243" s="2">
        <f t="shared" si="862"/>
        <v>47635</v>
      </c>
      <c r="GD243" s="2">
        <f t="shared" si="862"/>
        <v>47665</v>
      </c>
      <c r="GE243" s="2">
        <f t="shared" si="862"/>
        <v>47696</v>
      </c>
      <c r="GF243" s="2">
        <f t="shared" si="862"/>
        <v>47727</v>
      </c>
      <c r="GG243" s="2">
        <f t="shared" si="862"/>
        <v>47757</v>
      </c>
      <c r="GH243" s="2">
        <f t="shared" si="862"/>
        <v>47788</v>
      </c>
      <c r="GI243" s="2">
        <f t="shared" si="862"/>
        <v>47818</v>
      </c>
      <c r="GJ243" s="2">
        <f t="shared" si="862"/>
        <v>47849</v>
      </c>
      <c r="GK243" s="2">
        <f t="shared" si="862"/>
        <v>47880</v>
      </c>
      <c r="GL243" s="2">
        <f t="shared" si="862"/>
        <v>47908</v>
      </c>
      <c r="GM243" s="2">
        <f t="shared" si="862"/>
        <v>47939</v>
      </c>
      <c r="GN243" s="2">
        <f t="shared" si="862"/>
        <v>47969</v>
      </c>
      <c r="GO243" s="2">
        <f t="shared" si="862"/>
        <v>48000</v>
      </c>
      <c r="GP243" s="2">
        <f t="shared" ref="GP243:JA243" si="863">GP236</f>
        <v>48030</v>
      </c>
      <c r="GQ243" s="2">
        <f t="shared" si="863"/>
        <v>48061</v>
      </c>
      <c r="GR243" s="2">
        <f t="shared" si="863"/>
        <v>48092</v>
      </c>
      <c r="GS243" s="2">
        <f t="shared" si="863"/>
        <v>48122</v>
      </c>
      <c r="GT243" s="2">
        <f t="shared" si="863"/>
        <v>48153</v>
      </c>
      <c r="GU243" s="2">
        <f t="shared" si="863"/>
        <v>48183</v>
      </c>
      <c r="GV243" s="2">
        <f t="shared" si="863"/>
        <v>48214</v>
      </c>
      <c r="GW243" s="2">
        <f t="shared" si="863"/>
        <v>48245</v>
      </c>
      <c r="GX243" s="2">
        <f t="shared" si="863"/>
        <v>48274</v>
      </c>
      <c r="GY243" s="2">
        <f t="shared" si="863"/>
        <v>48305</v>
      </c>
      <c r="GZ243" s="2">
        <f t="shared" si="863"/>
        <v>48335</v>
      </c>
      <c r="HA243" s="2">
        <f t="shared" si="863"/>
        <v>48366</v>
      </c>
      <c r="HB243" s="2">
        <f t="shared" si="863"/>
        <v>48396</v>
      </c>
      <c r="HC243" s="2">
        <f t="shared" si="863"/>
        <v>48427</v>
      </c>
      <c r="HD243" s="2">
        <f t="shared" si="863"/>
        <v>48458</v>
      </c>
      <c r="HE243" s="2">
        <f t="shared" si="863"/>
        <v>48488</v>
      </c>
      <c r="HF243" s="2">
        <f t="shared" si="863"/>
        <v>48519</v>
      </c>
      <c r="HG243" s="2">
        <f t="shared" si="863"/>
        <v>48549</v>
      </c>
      <c r="HH243" s="2">
        <f t="shared" si="863"/>
        <v>48580</v>
      </c>
      <c r="HI243" s="2">
        <f t="shared" si="863"/>
        <v>48611</v>
      </c>
      <c r="HJ243" s="2">
        <f t="shared" si="863"/>
        <v>48639</v>
      </c>
      <c r="HK243" s="2">
        <f t="shared" si="863"/>
        <v>48670</v>
      </c>
      <c r="HL243" s="2">
        <f t="shared" si="863"/>
        <v>48700</v>
      </c>
      <c r="HM243" s="2">
        <f t="shared" si="863"/>
        <v>48731</v>
      </c>
      <c r="HN243" s="2">
        <f t="shared" si="863"/>
        <v>48761</v>
      </c>
      <c r="HO243" s="2">
        <f t="shared" si="863"/>
        <v>48792</v>
      </c>
      <c r="HP243" s="2">
        <f t="shared" si="863"/>
        <v>48823</v>
      </c>
      <c r="HQ243" s="2">
        <f t="shared" si="863"/>
        <v>48853</v>
      </c>
      <c r="HR243" s="2">
        <f t="shared" si="863"/>
        <v>48884</v>
      </c>
      <c r="HS243" s="2">
        <f t="shared" si="863"/>
        <v>48914</v>
      </c>
      <c r="HT243" s="2">
        <f t="shared" si="863"/>
        <v>48945</v>
      </c>
      <c r="HU243" s="2">
        <f t="shared" si="863"/>
        <v>48976</v>
      </c>
      <c r="HV243" s="2">
        <f t="shared" si="863"/>
        <v>49004</v>
      </c>
      <c r="HW243" s="2">
        <f t="shared" si="863"/>
        <v>49035</v>
      </c>
      <c r="HX243" s="2">
        <f t="shared" si="863"/>
        <v>49065</v>
      </c>
      <c r="HY243" s="2">
        <f t="shared" si="863"/>
        <v>49096</v>
      </c>
      <c r="HZ243" s="2">
        <f t="shared" si="863"/>
        <v>49126</v>
      </c>
      <c r="IA243" s="2">
        <f t="shared" si="863"/>
        <v>49157</v>
      </c>
      <c r="IB243" s="2">
        <f t="shared" si="863"/>
        <v>49188</v>
      </c>
      <c r="IC243" s="2">
        <f t="shared" si="863"/>
        <v>49218</v>
      </c>
      <c r="ID243" s="2">
        <f t="shared" si="863"/>
        <v>49249</v>
      </c>
      <c r="IE243" s="2">
        <f t="shared" si="863"/>
        <v>49279</v>
      </c>
      <c r="IF243" s="2">
        <f t="shared" si="863"/>
        <v>49310</v>
      </c>
      <c r="IG243" s="2">
        <f t="shared" si="863"/>
        <v>49341</v>
      </c>
      <c r="IH243" s="2">
        <f t="shared" si="863"/>
        <v>49369</v>
      </c>
      <c r="II243" s="2">
        <f t="shared" si="863"/>
        <v>49400</v>
      </c>
      <c r="IJ243" s="2">
        <f t="shared" si="863"/>
        <v>49430</v>
      </c>
      <c r="IK243" s="2">
        <f t="shared" si="863"/>
        <v>49461</v>
      </c>
      <c r="IL243" s="2">
        <f t="shared" si="863"/>
        <v>49491</v>
      </c>
      <c r="IM243" s="2">
        <f t="shared" si="863"/>
        <v>49522</v>
      </c>
      <c r="IN243" s="2">
        <f t="shared" si="863"/>
        <v>49553</v>
      </c>
      <c r="IO243" s="2">
        <f t="shared" si="863"/>
        <v>49583</v>
      </c>
      <c r="IP243" s="2">
        <f t="shared" si="863"/>
        <v>49614</v>
      </c>
      <c r="IQ243" s="2">
        <f t="shared" si="863"/>
        <v>49644</v>
      </c>
      <c r="IR243" s="2">
        <f t="shared" si="863"/>
        <v>49675</v>
      </c>
      <c r="IS243" s="2">
        <f t="shared" si="863"/>
        <v>49706</v>
      </c>
      <c r="IT243" s="2">
        <f t="shared" si="863"/>
        <v>49735</v>
      </c>
      <c r="IU243" s="2">
        <f t="shared" si="863"/>
        <v>49766</v>
      </c>
      <c r="IV243" s="2">
        <f t="shared" si="863"/>
        <v>49796</v>
      </c>
      <c r="IW243" s="2">
        <f t="shared" si="863"/>
        <v>49827</v>
      </c>
      <c r="IX243" s="2">
        <f t="shared" si="863"/>
        <v>49857</v>
      </c>
      <c r="IY243" s="2">
        <f t="shared" si="863"/>
        <v>49888</v>
      </c>
      <c r="IZ243" s="2">
        <f t="shared" si="863"/>
        <v>49919</v>
      </c>
      <c r="JA243" s="2">
        <f t="shared" si="863"/>
        <v>49949</v>
      </c>
      <c r="JB243" s="2">
        <f t="shared" ref="JB243:LM243" si="864">JB236</f>
        <v>49980</v>
      </c>
      <c r="JC243" s="2">
        <f t="shared" si="864"/>
        <v>50010</v>
      </c>
      <c r="JD243" s="2">
        <f t="shared" si="864"/>
        <v>50041</v>
      </c>
      <c r="JE243" s="2">
        <f t="shared" si="864"/>
        <v>50072</v>
      </c>
      <c r="JF243" s="2">
        <f t="shared" si="864"/>
        <v>50100</v>
      </c>
      <c r="JG243" s="2">
        <f t="shared" si="864"/>
        <v>50131</v>
      </c>
      <c r="JH243" s="2">
        <f t="shared" si="864"/>
        <v>50161</v>
      </c>
      <c r="JI243" s="2">
        <f t="shared" si="864"/>
        <v>50192</v>
      </c>
      <c r="JJ243" s="2">
        <f t="shared" si="864"/>
        <v>50222</v>
      </c>
      <c r="JK243" s="2">
        <f t="shared" si="864"/>
        <v>50253</v>
      </c>
      <c r="JL243" s="2">
        <f t="shared" si="864"/>
        <v>50284</v>
      </c>
      <c r="JM243" s="2">
        <f t="shared" si="864"/>
        <v>50314</v>
      </c>
      <c r="JN243" s="2">
        <f t="shared" si="864"/>
        <v>50345</v>
      </c>
      <c r="JO243" s="2">
        <f t="shared" si="864"/>
        <v>50375</v>
      </c>
      <c r="JP243" s="2">
        <f t="shared" si="864"/>
        <v>50406</v>
      </c>
      <c r="JQ243" s="2">
        <f t="shared" si="864"/>
        <v>50437</v>
      </c>
      <c r="JR243" s="2">
        <f t="shared" si="864"/>
        <v>50465</v>
      </c>
      <c r="JS243" s="2">
        <f t="shared" si="864"/>
        <v>50496</v>
      </c>
      <c r="JT243" s="2">
        <f t="shared" si="864"/>
        <v>50526</v>
      </c>
      <c r="JU243" s="2">
        <f t="shared" si="864"/>
        <v>50557</v>
      </c>
      <c r="JV243" s="2">
        <f t="shared" si="864"/>
        <v>50587</v>
      </c>
      <c r="JW243" s="2">
        <f t="shared" si="864"/>
        <v>50618</v>
      </c>
      <c r="JX243" s="2">
        <f t="shared" si="864"/>
        <v>50649</v>
      </c>
      <c r="JY243" s="2">
        <f t="shared" si="864"/>
        <v>50679</v>
      </c>
      <c r="JZ243" s="2">
        <f t="shared" si="864"/>
        <v>50710</v>
      </c>
      <c r="KA243" s="2">
        <f t="shared" si="864"/>
        <v>50740</v>
      </c>
      <c r="KB243" s="2">
        <f t="shared" si="864"/>
        <v>50771</v>
      </c>
      <c r="KC243" s="2">
        <f t="shared" si="864"/>
        <v>50802</v>
      </c>
      <c r="KD243" s="2">
        <f t="shared" si="864"/>
        <v>50830</v>
      </c>
      <c r="KE243" s="2">
        <f t="shared" si="864"/>
        <v>50861</v>
      </c>
      <c r="KF243" s="2">
        <f t="shared" si="864"/>
        <v>50891</v>
      </c>
      <c r="KG243" s="2">
        <f t="shared" si="864"/>
        <v>50922</v>
      </c>
      <c r="KH243" s="2">
        <f t="shared" si="864"/>
        <v>50952</v>
      </c>
      <c r="KI243" s="2">
        <f t="shared" si="864"/>
        <v>50983</v>
      </c>
      <c r="KJ243" s="2">
        <f t="shared" si="864"/>
        <v>51014</v>
      </c>
      <c r="KK243" s="2">
        <f t="shared" si="864"/>
        <v>51044</v>
      </c>
      <c r="KL243" s="2">
        <f t="shared" si="864"/>
        <v>51075</v>
      </c>
      <c r="KM243" s="2">
        <f t="shared" si="864"/>
        <v>51105</v>
      </c>
      <c r="KN243" s="2">
        <f t="shared" si="864"/>
        <v>51136</v>
      </c>
      <c r="KO243" s="2">
        <f t="shared" si="864"/>
        <v>51167</v>
      </c>
      <c r="KP243" s="2">
        <f t="shared" si="864"/>
        <v>51196</v>
      </c>
      <c r="KQ243" s="2">
        <f t="shared" si="864"/>
        <v>51227</v>
      </c>
      <c r="KR243" s="2">
        <f t="shared" si="864"/>
        <v>51257</v>
      </c>
      <c r="KS243" s="2">
        <f t="shared" si="864"/>
        <v>51288</v>
      </c>
      <c r="KT243" s="2">
        <f t="shared" si="864"/>
        <v>51318</v>
      </c>
      <c r="KU243" s="2">
        <f t="shared" si="864"/>
        <v>51349</v>
      </c>
      <c r="KV243" s="2">
        <f t="shared" si="864"/>
        <v>51380</v>
      </c>
      <c r="KW243" s="2">
        <f t="shared" si="864"/>
        <v>51410</v>
      </c>
      <c r="KX243" s="2">
        <f t="shared" si="864"/>
        <v>51441</v>
      </c>
      <c r="KY243" s="2">
        <f t="shared" si="864"/>
        <v>51471</v>
      </c>
      <c r="KZ243" s="2">
        <f t="shared" si="864"/>
        <v>51502</v>
      </c>
      <c r="LA243" s="2">
        <f t="shared" si="864"/>
        <v>51533</v>
      </c>
      <c r="LB243" s="2">
        <f t="shared" si="864"/>
        <v>51561</v>
      </c>
      <c r="LC243" s="2">
        <f t="shared" si="864"/>
        <v>51592</v>
      </c>
      <c r="LD243" s="2">
        <f t="shared" si="864"/>
        <v>51622</v>
      </c>
      <c r="LE243" s="2">
        <f t="shared" si="864"/>
        <v>51653</v>
      </c>
      <c r="LF243" s="2">
        <f t="shared" si="864"/>
        <v>51683</v>
      </c>
      <c r="LG243" s="2">
        <f t="shared" si="864"/>
        <v>51714</v>
      </c>
      <c r="LH243" s="2">
        <f t="shared" si="864"/>
        <v>51745</v>
      </c>
      <c r="LI243" s="2">
        <f t="shared" si="864"/>
        <v>51775</v>
      </c>
      <c r="LJ243" s="2">
        <f t="shared" si="864"/>
        <v>51806</v>
      </c>
      <c r="LK243" s="2">
        <f t="shared" si="864"/>
        <v>51836</v>
      </c>
      <c r="LL243" s="2">
        <f t="shared" si="864"/>
        <v>51867</v>
      </c>
      <c r="LM243" s="2">
        <f t="shared" si="864"/>
        <v>51898</v>
      </c>
      <c r="LN243" s="2">
        <f t="shared" ref="LN243:NY243" si="865">LN236</f>
        <v>51926</v>
      </c>
      <c r="LO243" s="2">
        <f t="shared" si="865"/>
        <v>51957</v>
      </c>
      <c r="LP243" s="2">
        <f t="shared" si="865"/>
        <v>51987</v>
      </c>
      <c r="LQ243" s="2">
        <f t="shared" si="865"/>
        <v>52018</v>
      </c>
      <c r="LR243" s="2">
        <f t="shared" si="865"/>
        <v>52048</v>
      </c>
      <c r="LS243" s="2">
        <f t="shared" si="865"/>
        <v>52079</v>
      </c>
      <c r="LT243" s="2">
        <f t="shared" si="865"/>
        <v>52110</v>
      </c>
      <c r="LU243" s="2">
        <f t="shared" si="865"/>
        <v>52140</v>
      </c>
      <c r="LV243" s="2">
        <f t="shared" si="865"/>
        <v>52171</v>
      </c>
      <c r="LW243" s="2">
        <f t="shared" si="865"/>
        <v>52201</v>
      </c>
      <c r="LX243" s="2">
        <f t="shared" si="865"/>
        <v>52232</v>
      </c>
      <c r="LY243" s="2">
        <f t="shared" si="865"/>
        <v>52263</v>
      </c>
      <c r="LZ243" s="2">
        <f t="shared" si="865"/>
        <v>52291</v>
      </c>
      <c r="MA243" s="2">
        <f t="shared" si="865"/>
        <v>52322</v>
      </c>
      <c r="MB243" s="2">
        <f t="shared" si="865"/>
        <v>52352</v>
      </c>
      <c r="MC243" s="2">
        <f t="shared" si="865"/>
        <v>52383</v>
      </c>
      <c r="MD243" s="2">
        <f t="shared" si="865"/>
        <v>52413</v>
      </c>
      <c r="ME243" s="2">
        <f t="shared" si="865"/>
        <v>52444</v>
      </c>
      <c r="MF243" s="2">
        <f t="shared" si="865"/>
        <v>52475</v>
      </c>
      <c r="MG243" s="2">
        <f t="shared" si="865"/>
        <v>52505</v>
      </c>
      <c r="MH243" s="2">
        <f t="shared" si="865"/>
        <v>52536</v>
      </c>
      <c r="MI243" s="2">
        <f t="shared" si="865"/>
        <v>52566</v>
      </c>
      <c r="MJ243" s="2">
        <f t="shared" si="865"/>
        <v>52597</v>
      </c>
      <c r="MK243" s="2">
        <f t="shared" si="865"/>
        <v>52628</v>
      </c>
      <c r="ML243" s="2">
        <f t="shared" si="865"/>
        <v>52657</v>
      </c>
      <c r="MM243" s="2">
        <f t="shared" si="865"/>
        <v>52688</v>
      </c>
      <c r="MN243" s="2">
        <f t="shared" si="865"/>
        <v>52718</v>
      </c>
      <c r="MO243" s="2">
        <f t="shared" si="865"/>
        <v>52749</v>
      </c>
      <c r="MP243" s="2">
        <f t="shared" si="865"/>
        <v>52779</v>
      </c>
      <c r="MQ243" s="2">
        <f t="shared" si="865"/>
        <v>52810</v>
      </c>
      <c r="MR243" s="2">
        <f t="shared" si="865"/>
        <v>52841</v>
      </c>
      <c r="MS243" s="2">
        <f t="shared" si="865"/>
        <v>52871</v>
      </c>
      <c r="MT243" s="2">
        <f t="shared" si="865"/>
        <v>52902</v>
      </c>
      <c r="MU243" s="2">
        <f t="shared" si="865"/>
        <v>52932</v>
      </c>
      <c r="MV243" s="2">
        <f t="shared" si="865"/>
        <v>52963</v>
      </c>
      <c r="MW243" s="2">
        <f t="shared" si="865"/>
        <v>52994</v>
      </c>
      <c r="MX243" s="2">
        <f t="shared" si="865"/>
        <v>53022</v>
      </c>
      <c r="MY243" s="2">
        <f t="shared" si="865"/>
        <v>53053</v>
      </c>
      <c r="MZ243" s="2">
        <f t="shared" si="865"/>
        <v>53083</v>
      </c>
      <c r="NA243" s="2">
        <f t="shared" si="865"/>
        <v>53114</v>
      </c>
      <c r="NB243" s="2">
        <f t="shared" si="865"/>
        <v>53144</v>
      </c>
      <c r="NC243" s="2">
        <f t="shared" si="865"/>
        <v>53175</v>
      </c>
      <c r="ND243" s="2">
        <f t="shared" si="865"/>
        <v>53206</v>
      </c>
      <c r="NE243" s="2">
        <f t="shared" si="865"/>
        <v>53236</v>
      </c>
      <c r="NF243" s="2">
        <f t="shared" si="865"/>
        <v>53267</v>
      </c>
      <c r="NG243" s="2">
        <f t="shared" si="865"/>
        <v>53297</v>
      </c>
      <c r="NH243" s="2">
        <f t="shared" si="865"/>
        <v>53328</v>
      </c>
      <c r="NI243" s="2">
        <f t="shared" si="865"/>
        <v>53359</v>
      </c>
      <c r="NJ243" s="2">
        <f t="shared" si="865"/>
        <v>53387</v>
      </c>
      <c r="NK243" s="2">
        <f t="shared" si="865"/>
        <v>53418</v>
      </c>
      <c r="NL243" s="2">
        <f t="shared" si="865"/>
        <v>53448</v>
      </c>
      <c r="NM243" s="2">
        <f t="shared" si="865"/>
        <v>53479</v>
      </c>
      <c r="NN243" s="2">
        <f t="shared" si="865"/>
        <v>53509</v>
      </c>
      <c r="NO243" s="2">
        <f t="shared" si="865"/>
        <v>53540</v>
      </c>
      <c r="NP243" s="2">
        <f t="shared" si="865"/>
        <v>53571</v>
      </c>
      <c r="NQ243" s="2">
        <f t="shared" si="865"/>
        <v>53601</v>
      </c>
      <c r="NR243" s="2">
        <f t="shared" si="865"/>
        <v>53632</v>
      </c>
      <c r="NS243" s="2">
        <f t="shared" si="865"/>
        <v>53662</v>
      </c>
      <c r="NT243" s="2">
        <f t="shared" si="865"/>
        <v>53693</v>
      </c>
      <c r="NU243" s="2">
        <f t="shared" si="865"/>
        <v>53724</v>
      </c>
      <c r="NV243" s="2">
        <f t="shared" si="865"/>
        <v>53752</v>
      </c>
      <c r="NW243" s="2">
        <f t="shared" si="865"/>
        <v>53783</v>
      </c>
      <c r="NX243" s="2">
        <f t="shared" si="865"/>
        <v>53813</v>
      </c>
      <c r="NY243" s="2">
        <f t="shared" si="865"/>
        <v>53844</v>
      </c>
      <c r="NZ243" s="2">
        <f t="shared" ref="NZ243:QK243" si="866">NZ236</f>
        <v>53874</v>
      </c>
      <c r="OA243" s="2">
        <f t="shared" si="866"/>
        <v>53905</v>
      </c>
      <c r="OB243" s="2">
        <f t="shared" si="866"/>
        <v>53936</v>
      </c>
      <c r="OC243" s="2">
        <f t="shared" si="866"/>
        <v>53966</v>
      </c>
      <c r="OD243" s="2">
        <f t="shared" si="866"/>
        <v>53997</v>
      </c>
      <c r="OE243" s="2">
        <f t="shared" si="866"/>
        <v>54027</v>
      </c>
      <c r="OF243" s="2">
        <f t="shared" si="866"/>
        <v>54058</v>
      </c>
      <c r="OG243" s="2">
        <f t="shared" si="866"/>
        <v>54089</v>
      </c>
      <c r="OH243" s="2">
        <f t="shared" si="866"/>
        <v>54118</v>
      </c>
      <c r="OI243" s="2">
        <f t="shared" si="866"/>
        <v>54149</v>
      </c>
      <c r="OJ243" s="2">
        <f t="shared" si="866"/>
        <v>54179</v>
      </c>
      <c r="OK243" s="2">
        <f t="shared" si="866"/>
        <v>54210</v>
      </c>
      <c r="OL243" s="2">
        <f t="shared" si="866"/>
        <v>54240</v>
      </c>
      <c r="OM243" s="2">
        <f t="shared" si="866"/>
        <v>54271</v>
      </c>
      <c r="ON243" s="2">
        <f t="shared" si="866"/>
        <v>54302</v>
      </c>
      <c r="OO243" s="2">
        <f t="shared" si="866"/>
        <v>54332</v>
      </c>
      <c r="OP243" s="2">
        <f t="shared" si="866"/>
        <v>54363</v>
      </c>
      <c r="OQ243" s="2">
        <f t="shared" si="866"/>
        <v>54393</v>
      </c>
      <c r="OR243" s="2">
        <f t="shared" si="866"/>
        <v>54424</v>
      </c>
      <c r="OS243" s="2">
        <f t="shared" si="866"/>
        <v>54455</v>
      </c>
      <c r="OT243" s="2">
        <f t="shared" si="866"/>
        <v>54483</v>
      </c>
      <c r="OU243" s="2">
        <f t="shared" si="866"/>
        <v>54514</v>
      </c>
      <c r="OV243" s="2">
        <f t="shared" si="866"/>
        <v>54544</v>
      </c>
      <c r="OW243" s="2">
        <f t="shared" si="866"/>
        <v>54575</v>
      </c>
      <c r="OX243" s="2">
        <f t="shared" si="866"/>
        <v>54605</v>
      </c>
      <c r="OY243" s="2">
        <f t="shared" si="866"/>
        <v>54636</v>
      </c>
      <c r="OZ243" s="2">
        <f t="shared" si="866"/>
        <v>54667</v>
      </c>
      <c r="PA243" s="2">
        <f t="shared" si="866"/>
        <v>54697</v>
      </c>
      <c r="PB243" s="2">
        <f t="shared" si="866"/>
        <v>54728</v>
      </c>
      <c r="PC243" s="2">
        <f t="shared" si="866"/>
        <v>54758</v>
      </c>
      <c r="PD243" s="2">
        <f t="shared" si="866"/>
        <v>54789</v>
      </c>
      <c r="PE243" s="2">
        <f t="shared" si="866"/>
        <v>54820</v>
      </c>
      <c r="PF243" s="2">
        <f t="shared" si="866"/>
        <v>54848</v>
      </c>
      <c r="PG243" s="2">
        <f t="shared" si="866"/>
        <v>54879</v>
      </c>
      <c r="PH243" s="2">
        <f t="shared" si="866"/>
        <v>54909</v>
      </c>
      <c r="PI243" s="2">
        <f t="shared" si="866"/>
        <v>54940</v>
      </c>
      <c r="PJ243" s="2">
        <f t="shared" si="866"/>
        <v>54970</v>
      </c>
      <c r="PK243" s="2">
        <f t="shared" si="866"/>
        <v>55001</v>
      </c>
      <c r="PL243" s="2">
        <f t="shared" si="866"/>
        <v>55032</v>
      </c>
      <c r="PM243" s="2">
        <f t="shared" si="866"/>
        <v>55062</v>
      </c>
      <c r="PN243" s="2">
        <f t="shared" si="866"/>
        <v>55093</v>
      </c>
      <c r="PO243" s="2">
        <f t="shared" si="866"/>
        <v>55123</v>
      </c>
      <c r="PP243" s="2">
        <f t="shared" si="866"/>
        <v>55154</v>
      </c>
      <c r="PQ243" s="2">
        <f t="shared" si="866"/>
        <v>55185</v>
      </c>
      <c r="PR243" s="2">
        <f t="shared" si="866"/>
        <v>55213</v>
      </c>
      <c r="PS243" s="2">
        <f t="shared" si="866"/>
        <v>55244</v>
      </c>
      <c r="PT243" s="2">
        <f t="shared" si="866"/>
        <v>55274</v>
      </c>
      <c r="PU243" s="2">
        <f t="shared" si="866"/>
        <v>55305</v>
      </c>
      <c r="PV243" s="2">
        <f t="shared" si="866"/>
        <v>55335</v>
      </c>
      <c r="PW243" s="2">
        <f t="shared" si="866"/>
        <v>55366</v>
      </c>
      <c r="PX243" s="2">
        <f t="shared" si="866"/>
        <v>55397</v>
      </c>
      <c r="PY243" s="2">
        <f t="shared" si="866"/>
        <v>55427</v>
      </c>
      <c r="PZ243" s="2">
        <f t="shared" si="866"/>
        <v>55458</v>
      </c>
      <c r="QA243" s="2">
        <f t="shared" si="866"/>
        <v>55488</v>
      </c>
      <c r="QB243" s="2">
        <f t="shared" si="866"/>
        <v>55519</v>
      </c>
      <c r="QC243" s="2">
        <f t="shared" si="866"/>
        <v>55550</v>
      </c>
      <c r="QD243" s="2">
        <f t="shared" si="866"/>
        <v>55579</v>
      </c>
      <c r="QE243" s="2">
        <f t="shared" si="866"/>
        <v>55610</v>
      </c>
      <c r="QF243" s="2">
        <f t="shared" si="866"/>
        <v>55640</v>
      </c>
      <c r="QG243" s="2">
        <f t="shared" si="866"/>
        <v>55671</v>
      </c>
      <c r="QH243" s="2">
        <f t="shared" si="866"/>
        <v>55701</v>
      </c>
      <c r="QI243" s="2">
        <f t="shared" si="866"/>
        <v>55732</v>
      </c>
      <c r="QJ243" s="2">
        <f t="shared" si="866"/>
        <v>55763</v>
      </c>
      <c r="QK243" s="2">
        <f t="shared" si="866"/>
        <v>55793</v>
      </c>
      <c r="QL243" s="2">
        <f t="shared" ref="QL243:RR243" si="867">QL236</f>
        <v>55824</v>
      </c>
      <c r="QM243" s="2">
        <f t="shared" si="867"/>
        <v>55854</v>
      </c>
      <c r="QN243" s="2">
        <f t="shared" si="867"/>
        <v>55885</v>
      </c>
      <c r="QO243" s="2">
        <f t="shared" si="867"/>
        <v>55916</v>
      </c>
      <c r="QP243" s="2">
        <f t="shared" si="867"/>
        <v>55944</v>
      </c>
      <c r="QQ243" s="2">
        <f t="shared" si="867"/>
        <v>55975</v>
      </c>
      <c r="QR243" s="2">
        <f t="shared" si="867"/>
        <v>56005</v>
      </c>
      <c r="QS243" s="2">
        <f t="shared" si="867"/>
        <v>56036</v>
      </c>
      <c r="QT243" s="2">
        <f t="shared" si="867"/>
        <v>56066</v>
      </c>
      <c r="QU243" s="2">
        <f t="shared" si="867"/>
        <v>56097</v>
      </c>
      <c r="QV243" s="2">
        <f t="shared" si="867"/>
        <v>56128</v>
      </c>
      <c r="QW243" s="2">
        <f t="shared" si="867"/>
        <v>56158</v>
      </c>
      <c r="QX243" s="2">
        <f t="shared" si="867"/>
        <v>56189</v>
      </c>
      <c r="QY243" s="2">
        <f t="shared" si="867"/>
        <v>56219</v>
      </c>
      <c r="QZ243" s="2">
        <f t="shared" si="867"/>
        <v>56250</v>
      </c>
      <c r="RA243" s="2">
        <f t="shared" si="867"/>
        <v>56281</v>
      </c>
      <c r="RB243" s="2">
        <f t="shared" si="867"/>
        <v>56309</v>
      </c>
      <c r="RC243" s="2">
        <f t="shared" si="867"/>
        <v>56340</v>
      </c>
      <c r="RD243" s="2">
        <f t="shared" si="867"/>
        <v>56370</v>
      </c>
      <c r="RE243" s="2">
        <f t="shared" si="867"/>
        <v>56401</v>
      </c>
      <c r="RF243" s="2">
        <f t="shared" si="867"/>
        <v>56431</v>
      </c>
      <c r="RG243" s="2">
        <f t="shared" si="867"/>
        <v>56462</v>
      </c>
      <c r="RH243" s="2">
        <f t="shared" si="867"/>
        <v>56493</v>
      </c>
      <c r="RI243" s="2">
        <f t="shared" si="867"/>
        <v>56523</v>
      </c>
      <c r="RJ243" s="2">
        <f t="shared" si="867"/>
        <v>56554</v>
      </c>
      <c r="RK243" s="2">
        <f t="shared" si="867"/>
        <v>56584</v>
      </c>
      <c r="RL243" s="2">
        <f t="shared" si="867"/>
        <v>56615</v>
      </c>
      <c r="RM243" s="2">
        <f t="shared" si="867"/>
        <v>56646</v>
      </c>
      <c r="RN243" s="2">
        <f t="shared" si="867"/>
        <v>56674</v>
      </c>
      <c r="RO243" s="2">
        <f t="shared" si="867"/>
        <v>56705</v>
      </c>
      <c r="RP243" s="2">
        <f t="shared" si="867"/>
        <v>56735</v>
      </c>
      <c r="RQ243" s="2">
        <f t="shared" si="867"/>
        <v>56766</v>
      </c>
      <c r="RR243" s="2">
        <f t="shared" si="867"/>
        <v>56796</v>
      </c>
      <c r="RS243" s="201"/>
    </row>
    <row r="244" spans="2:487" s="9" customFormat="1">
      <c r="D244" s="9" t="s">
        <v>256</v>
      </c>
      <c r="E244" s="201">
        <f>E139*(600/($B$23/12)/1000)+((1+$C$256)^E$121)*$C$254*600</f>
        <v>168.3896424530474</v>
      </c>
      <c r="F244" s="201">
        <f t="shared" ref="F244:BQ244" ca="1" si="868">F139*(600/($B$23/12)/1000)+((1+$C$256)^F$121)*$C$254*600</f>
        <v>168.60867187743065</v>
      </c>
      <c r="G244" s="201">
        <f t="shared" ca="1" si="868"/>
        <v>168.82841095742597</v>
      </c>
      <c r="H244" s="201">
        <f t="shared" ca="1" si="868"/>
        <v>169.04886199231845</v>
      </c>
      <c r="I244" s="201">
        <f t="shared" ca="1" si="868"/>
        <v>169.27002728884275</v>
      </c>
      <c r="J244" s="201">
        <f t="shared" ca="1" si="868"/>
        <v>169.49190916120764</v>
      </c>
      <c r="K244" s="201">
        <f t="shared" ca="1" si="868"/>
        <v>169.71450993111961</v>
      </c>
      <c r="L244" s="201">
        <f t="shared" ca="1" si="868"/>
        <v>169.93783192780765</v>
      </c>
      <c r="M244" s="201">
        <f t="shared" ca="1" si="868"/>
        <v>170.16187748804748</v>
      </c>
      <c r="N244" s="201">
        <f t="shared" ca="1" si="868"/>
        <v>170.38664895618587</v>
      </c>
      <c r="O244" s="201">
        <f t="shared" ca="1" si="868"/>
        <v>170.61214868416533</v>
      </c>
      <c r="P244" s="201">
        <f t="shared" ca="1" si="868"/>
        <v>170.83837903154867</v>
      </c>
      <c r="Q244" s="201">
        <f t="shared" ca="1" si="868"/>
        <v>171.06534236554373</v>
      </c>
      <c r="R244" s="201">
        <f t="shared" ca="1" si="868"/>
        <v>171.29304106102799</v>
      </c>
      <c r="S244" s="201">
        <f t="shared" ca="1" si="868"/>
        <v>171.52147750057367</v>
      </c>
      <c r="T244" s="201">
        <f t="shared" ca="1" si="868"/>
        <v>171.75065407447244</v>
      </c>
      <c r="U244" s="201">
        <f t="shared" ca="1" si="868"/>
        <v>171.9805731807605</v>
      </c>
      <c r="V244" s="201">
        <f t="shared" ca="1" si="868"/>
        <v>172.21123722524379</v>
      </c>
      <c r="W244" s="201">
        <f t="shared" ca="1" si="868"/>
        <v>172.44264862152295</v>
      </c>
      <c r="X244" s="201">
        <f t="shared" ca="1" si="868"/>
        <v>172.67480979101879</v>
      </c>
      <c r="Y244" s="201">
        <f t="shared" ca="1" si="868"/>
        <v>172.90772316299746</v>
      </c>
      <c r="Z244" s="201">
        <f t="shared" ca="1" si="868"/>
        <v>173.14139117459595</v>
      </c>
      <c r="AA244" s="201">
        <f t="shared" ca="1" si="868"/>
        <v>173.37581627084759</v>
      </c>
      <c r="AB244" s="201">
        <f t="shared" ca="1" si="868"/>
        <v>173.61100090470762</v>
      </c>
      <c r="AC244" s="201">
        <f t="shared" ca="1" si="868"/>
        <v>173.84694753707885</v>
      </c>
      <c r="AD244" s="201">
        <f t="shared" ca="1" si="868"/>
        <v>174.08365863683741</v>
      </c>
      <c r="AE244" s="201">
        <f t="shared" ca="1" si="868"/>
        <v>174.32113668085861</v>
      </c>
      <c r="AF244" s="201">
        <f t="shared" ca="1" si="868"/>
        <v>174.55938415404282</v>
      </c>
      <c r="AG244" s="201">
        <f t="shared" ca="1" si="868"/>
        <v>174.79840354934151</v>
      </c>
      <c r="AH244" s="201">
        <f t="shared" ca="1" si="868"/>
        <v>175.03819736778331</v>
      </c>
      <c r="AI244" s="201">
        <f t="shared" ca="1" si="868"/>
        <v>175.27876811850021</v>
      </c>
      <c r="AJ244" s="201">
        <f t="shared" ca="1" si="868"/>
        <v>175.5201183187537</v>
      </c>
      <c r="AK244" s="201">
        <f t="shared" ca="1" si="868"/>
        <v>175.76225049396132</v>
      </c>
      <c r="AL244" s="201">
        <f t="shared" ca="1" si="868"/>
        <v>176.00516717772285</v>
      </c>
      <c r="AM244" s="201">
        <f t="shared" ca="1" si="868"/>
        <v>176.24887091184712</v>
      </c>
      <c r="AN244" s="201">
        <f t="shared" ca="1" si="868"/>
        <v>176.49336424637812</v>
      </c>
      <c r="AO244" s="201">
        <f t="shared" ca="1" si="868"/>
        <v>176.73864973962233</v>
      </c>
      <c r="AP244" s="201">
        <f t="shared" ca="1" si="868"/>
        <v>176.98472995817491</v>
      </c>
      <c r="AQ244" s="201">
        <f t="shared" ca="1" si="868"/>
        <v>177.23160747694686</v>
      </c>
      <c r="AR244" s="201">
        <f t="shared" ca="1" si="868"/>
        <v>177.47928487919188</v>
      </c>
      <c r="AS244" s="201">
        <f t="shared" ca="1" si="868"/>
        <v>177.7277647565335</v>
      </c>
      <c r="AT244" s="201">
        <f t="shared" ca="1" si="868"/>
        <v>177.97704970899201</v>
      </c>
      <c r="AU244" s="201">
        <f t="shared" ca="1" si="868"/>
        <v>178.22714234501183</v>
      </c>
      <c r="AV244" s="201">
        <f t="shared" ca="1" si="868"/>
        <v>178.47804528148868</v>
      </c>
      <c r="AW244" s="201">
        <f t="shared" ca="1" si="868"/>
        <v>178.72976114379708</v>
      </c>
      <c r="AX244" s="201">
        <f t="shared" ca="1" si="868"/>
        <v>178.98229256581777</v>
      </c>
      <c r="AY244" s="201">
        <f t="shared" ca="1" si="868"/>
        <v>179.23564218996523</v>
      </c>
      <c r="AZ244" s="201">
        <f t="shared" ca="1" si="868"/>
        <v>179.4898126672154</v>
      </c>
      <c r="BA244" s="201">
        <f t="shared" ca="1" si="868"/>
        <v>179.74480665713338</v>
      </c>
      <c r="BB244" s="201">
        <f t="shared" ca="1" si="868"/>
        <v>180.00062682790124</v>
      </c>
      <c r="BC244" s="201">
        <f t="shared" ca="1" si="868"/>
        <v>180.25727585634596</v>
      </c>
      <c r="BD244" s="201">
        <f t="shared" ca="1" si="868"/>
        <v>180.51475642796748</v>
      </c>
      <c r="BE244" s="201">
        <f t="shared" ca="1" si="868"/>
        <v>180.77307123696676</v>
      </c>
      <c r="BF244" s="201">
        <f t="shared" ca="1" si="868"/>
        <v>181.03222298627395</v>
      </c>
      <c r="BG244" s="201">
        <f t="shared" ca="1" si="868"/>
        <v>181.29221438757668</v>
      </c>
      <c r="BH244" s="201">
        <f t="shared" ca="1" si="868"/>
        <v>181.5530481613485</v>
      </c>
      <c r="BI244" s="201">
        <f t="shared" ca="1" si="868"/>
        <v>181.81472703687729</v>
      </c>
      <c r="BJ244" s="201">
        <f t="shared" ca="1" si="868"/>
        <v>182.07725375229376</v>
      </c>
      <c r="BK244" s="201">
        <f t="shared" ca="1" si="868"/>
        <v>182.34063105460029</v>
      </c>
      <c r="BL244" s="201">
        <f t="shared" ca="1" si="868"/>
        <v>182.60486169969946</v>
      </c>
      <c r="BM244" s="201">
        <f t="shared" ca="1" si="868"/>
        <v>177.91950834347836</v>
      </c>
      <c r="BN244" s="201">
        <f t="shared" ca="1" si="868"/>
        <v>178.09702629902358</v>
      </c>
      <c r="BO244" s="201">
        <f t="shared" ca="1" si="868"/>
        <v>178.27511941296927</v>
      </c>
      <c r="BP244" s="201">
        <f t="shared" ca="1" si="868"/>
        <v>178.45378954882943</v>
      </c>
      <c r="BQ244" s="201">
        <f t="shared" ca="1" si="868"/>
        <v>178.6330385761558</v>
      </c>
      <c r="BR244" s="201">
        <f t="shared" ref="BR244:EC244" ca="1" si="869">BR139*(600/($B$23/12)/1000)+((1+$C$256)^BR$121)*$C$254*600</f>
        <v>178.8128683705574</v>
      </c>
      <c r="BS244" s="201">
        <f t="shared" ca="1" si="869"/>
        <v>178.99328081372033</v>
      </c>
      <c r="BT244" s="201">
        <f t="shared" ca="1" si="869"/>
        <v>179.17427779342736</v>
      </c>
      <c r="BU244" s="201">
        <f t="shared" ca="1" si="869"/>
        <v>179.35586120357755</v>
      </c>
      <c r="BV244" s="201">
        <f t="shared" ca="1" si="869"/>
        <v>179.53803294420635</v>
      </c>
      <c r="BW244" s="201">
        <f t="shared" ca="1" si="869"/>
        <v>179.72079492150522</v>
      </c>
      <c r="BX244" s="201">
        <f t="shared" ca="1" si="869"/>
        <v>179.90414904784166</v>
      </c>
      <c r="BY244" s="201">
        <f t="shared" ca="1" si="869"/>
        <v>180.08809724177939</v>
      </c>
      <c r="BZ244" s="201">
        <f t="shared" ca="1" si="869"/>
        <v>180.27264142809818</v>
      </c>
      <c r="CA244" s="201">
        <f t="shared" ca="1" si="869"/>
        <v>180.45778353781407</v>
      </c>
      <c r="CB244" s="201">
        <f t="shared" ca="1" si="869"/>
        <v>180.64352550819962</v>
      </c>
      <c r="CC244" s="201">
        <f t="shared" ca="1" si="869"/>
        <v>180.82986928280417</v>
      </c>
      <c r="CD244" s="201">
        <f t="shared" ca="1" si="869"/>
        <v>181.01681681147414</v>
      </c>
      <c r="CE244" s="201">
        <f t="shared" ca="1" si="869"/>
        <v>181.20437005037348</v>
      </c>
      <c r="CF244" s="201">
        <f t="shared" ca="1" si="869"/>
        <v>181.39253096200409</v>
      </c>
      <c r="CG244" s="201">
        <f t="shared" ca="1" si="869"/>
        <v>181.58130151522639</v>
      </c>
      <c r="CH244" s="201">
        <f t="shared" ca="1" si="869"/>
        <v>181.77068368527989</v>
      </c>
      <c r="CI244" s="201">
        <f t="shared" ca="1" si="869"/>
        <v>181.96067945380395</v>
      </c>
      <c r="CJ244" s="201">
        <f t="shared" ca="1" si="869"/>
        <v>182.15129080885833</v>
      </c>
      <c r="CK244" s="201">
        <f t="shared" ca="1" si="869"/>
        <v>182.34251974494424</v>
      </c>
      <c r="CL244" s="201">
        <f t="shared" ca="1" si="869"/>
        <v>182.53436826302493</v>
      </c>
      <c r="CM244" s="201">
        <f t="shared" ca="1" si="869"/>
        <v>182.72683837054686</v>
      </c>
      <c r="CN244" s="201">
        <f t="shared" ca="1" si="869"/>
        <v>182.91993208146062</v>
      </c>
      <c r="CO244" s="201">
        <f t="shared" ca="1" si="869"/>
        <v>183.11365141624202</v>
      </c>
      <c r="CP244" s="201">
        <f t="shared" ca="1" si="869"/>
        <v>183.3079984019131</v>
      </c>
      <c r="CQ244" s="201">
        <f t="shared" ca="1" si="869"/>
        <v>183.50297507206363</v>
      </c>
      <c r="CR244" s="201">
        <f t="shared" ca="1" si="869"/>
        <v>183.69858346687209</v>
      </c>
      <c r="CS244" s="201">
        <f t="shared" ca="1" si="869"/>
        <v>183.89482563312711</v>
      </c>
      <c r="CT244" s="201">
        <f t="shared" ca="1" si="869"/>
        <v>184.09170362424908</v>
      </c>
      <c r="CU244" s="201">
        <f t="shared" ca="1" si="869"/>
        <v>184.28921950031128</v>
      </c>
      <c r="CV244" s="201">
        <f t="shared" ca="1" si="869"/>
        <v>184.48737532806174</v>
      </c>
      <c r="CW244" s="201">
        <f t="shared" ca="1" si="869"/>
        <v>184.68617318094482</v>
      </c>
      <c r="CX244" s="201">
        <f t="shared" ca="1" si="869"/>
        <v>184.88561513912268</v>
      </c>
      <c r="CY244" s="201">
        <f t="shared" ca="1" si="869"/>
        <v>185.0857032894973</v>
      </c>
      <c r="CZ244" s="201">
        <f t="shared" ca="1" si="869"/>
        <v>185.28643972573224</v>
      </c>
      <c r="DA244" s="201">
        <f t="shared" ca="1" si="869"/>
        <v>185.48782654827448</v>
      </c>
      <c r="DB244" s="201">
        <f t="shared" ca="1" si="869"/>
        <v>185.68986586437654</v>
      </c>
      <c r="DC244" s="201">
        <f t="shared" ca="1" si="869"/>
        <v>185.89255978811829</v>
      </c>
      <c r="DD244" s="201">
        <f t="shared" ca="1" si="869"/>
        <v>186.09591044042938</v>
      </c>
      <c r="DE244" s="201">
        <f t="shared" ca="1" si="869"/>
        <v>186.29991994911117</v>
      </c>
      <c r="DF244" s="201">
        <f t="shared" ca="1" si="869"/>
        <v>186.50459044885915</v>
      </c>
      <c r="DG244" s="201">
        <f t="shared" ca="1" si="869"/>
        <v>186.70992408128521</v>
      </c>
      <c r="DH244" s="201">
        <f t="shared" ca="1" si="869"/>
        <v>186.91592299494005</v>
      </c>
      <c r="DI244" s="201">
        <f t="shared" ca="1" si="869"/>
        <v>187.12258934533571</v>
      </c>
      <c r="DJ244" s="201">
        <f t="shared" ca="1" si="869"/>
        <v>187.32992529496804</v>
      </c>
      <c r="DK244" s="201">
        <f t="shared" ca="1" si="869"/>
        <v>187.53793301333945</v>
      </c>
      <c r="DL244" s="201">
        <f t="shared" ca="1" si="869"/>
        <v>187.74661467698155</v>
      </c>
      <c r="DM244" s="201">
        <f t="shared" ca="1" si="869"/>
        <v>187.95597246947779</v>
      </c>
      <c r="DN244" s="201">
        <f t="shared" ca="1" si="869"/>
        <v>188.16600858148649</v>
      </c>
      <c r="DO244" s="201">
        <f t="shared" ca="1" si="869"/>
        <v>188.37672521076382</v>
      </c>
      <c r="DP244" s="201">
        <f t="shared" ca="1" si="869"/>
        <v>188.58812456218655</v>
      </c>
      <c r="DQ244" s="201">
        <f t="shared" ca="1" si="869"/>
        <v>188.80020884777525</v>
      </c>
      <c r="DR244" s="201">
        <f t="shared" ca="1" si="869"/>
        <v>189.01298028671761</v>
      </c>
      <c r="DS244" s="201">
        <f t="shared" ca="1" si="869"/>
        <v>189.22644110539119</v>
      </c>
      <c r="DT244" s="201">
        <f t="shared" ca="1" si="869"/>
        <v>189.44059353738731</v>
      </c>
      <c r="DU244" s="201">
        <f t="shared" ca="1" si="869"/>
        <v>189.65543982353401</v>
      </c>
      <c r="DV244" s="201">
        <f t="shared" ca="1" si="869"/>
        <v>189.87098221191957</v>
      </c>
      <c r="DW244" s="201">
        <f t="shared" ca="1" si="869"/>
        <v>190.08722295791614</v>
      </c>
      <c r="DX244" s="201">
        <f t="shared" ca="1" si="869"/>
        <v>190.30416432420327</v>
      </c>
      <c r="DY244" s="201">
        <f t="shared" ca="1" si="869"/>
        <v>190.52180858079163</v>
      </c>
      <c r="DZ244" s="201">
        <f t="shared" ca="1" si="869"/>
        <v>190.74015800504657</v>
      </c>
      <c r="EA244" s="201">
        <f t="shared" ca="1" si="869"/>
        <v>190.95921488171231</v>
      </c>
      <c r="EB244" s="201">
        <f t="shared" ca="1" si="869"/>
        <v>191.17898150293553</v>
      </c>
      <c r="EC244" s="201">
        <f t="shared" ca="1" si="869"/>
        <v>191.39946016828952</v>
      </c>
      <c r="ED244" s="201">
        <f t="shared" ref="ED244:GO244" ca="1" si="870">ED139*(600/($B$23/12)/1000)+((1+$C$256)^ED$121)*$C$254*600</f>
        <v>191.62065318479816</v>
      </c>
      <c r="EE244" s="201">
        <f t="shared" ca="1" si="870"/>
        <v>191.84256286696007</v>
      </c>
      <c r="EF244" s="201">
        <f t="shared" ca="1" si="870"/>
        <v>192.06519153677283</v>
      </c>
      <c r="EG244" s="201">
        <f t="shared" ca="1" si="870"/>
        <v>192.28854152375746</v>
      </c>
      <c r="EH244" s="201">
        <f t="shared" ca="1" si="870"/>
        <v>192.51261516498238</v>
      </c>
      <c r="EI244" s="201">
        <f t="shared" ca="1" si="870"/>
        <v>192.73741480508835</v>
      </c>
      <c r="EJ244" s="201">
        <f t="shared" ca="1" si="870"/>
        <v>192.96294279631257</v>
      </c>
      <c r="EK244" s="201">
        <f t="shared" ca="1" si="870"/>
        <v>193.18920149851368</v>
      </c>
      <c r="EL244" s="201">
        <f t="shared" ca="1" si="870"/>
        <v>193.41619327919611</v>
      </c>
      <c r="EM244" s="201">
        <f t="shared" ca="1" si="870"/>
        <v>193.64392051353502</v>
      </c>
      <c r="EN244" s="201">
        <f t="shared" ca="1" si="870"/>
        <v>193.87238558440131</v>
      </c>
      <c r="EO244" s="201">
        <f t="shared" ca="1" si="870"/>
        <v>194.10159088238618</v>
      </c>
      <c r="EP244" s="201">
        <f t="shared" ca="1" si="870"/>
        <v>194.33153880582643</v>
      </c>
      <c r="EQ244" s="201">
        <f t="shared" ca="1" si="870"/>
        <v>194.56223176082952</v>
      </c>
      <c r="ER244" s="201">
        <f t="shared" ca="1" si="870"/>
        <v>194.79367216129862</v>
      </c>
      <c r="ES244" s="201">
        <f t="shared" ca="1" si="870"/>
        <v>195.02586242895796</v>
      </c>
      <c r="ET244" s="201">
        <f t="shared" ca="1" si="870"/>
        <v>195.25880499337825</v>
      </c>
      <c r="EU244" s="201">
        <f t="shared" ca="1" si="870"/>
        <v>195.49250229200192</v>
      </c>
      <c r="EV244" s="201">
        <f t="shared" ca="1" si="870"/>
        <v>195.72695677016873</v>
      </c>
      <c r="EW244" s="201">
        <f t="shared" ca="1" si="870"/>
        <v>195.96217088114139</v>
      </c>
      <c r="EX244" s="201">
        <f t="shared" ca="1" si="870"/>
        <v>196.19814708613109</v>
      </c>
      <c r="EY244" s="201">
        <f t="shared" ca="1" si="870"/>
        <v>196.43488785432342</v>
      </c>
      <c r="EZ244" s="201">
        <f t="shared" ca="1" si="870"/>
        <v>196.67239566290422</v>
      </c>
      <c r="FA244" s="201">
        <f t="shared" ca="1" si="870"/>
        <v>196.91067299708521</v>
      </c>
      <c r="FB244" s="201">
        <f t="shared" ca="1" si="870"/>
        <v>197.14972235013033</v>
      </c>
      <c r="FC244" s="201">
        <f t="shared" ca="1" si="870"/>
        <v>197.38954622338176</v>
      </c>
      <c r="FD244" s="201">
        <f t="shared" ca="1" si="870"/>
        <v>197.63014712628583</v>
      </c>
      <c r="FE244" s="201">
        <f t="shared" ca="1" si="870"/>
        <v>197.87152757641968</v>
      </c>
      <c r="FF244" s="201">
        <f t="shared" ca="1" si="870"/>
        <v>198.11369009951724</v>
      </c>
      <c r="FG244" s="201">
        <f t="shared" ca="1" si="870"/>
        <v>198.35663722949599</v>
      </c>
      <c r="FH244" s="201">
        <f t="shared" ca="1" si="870"/>
        <v>198.60037150848316</v>
      </c>
      <c r="FI244" s="201">
        <f t="shared" ca="1" si="870"/>
        <v>198.84489548684257</v>
      </c>
      <c r="FJ244" s="201">
        <f t="shared" ca="1" si="870"/>
        <v>199.09021172320115</v>
      </c>
      <c r="FK244" s="201">
        <f t="shared" ca="1" si="870"/>
        <v>199.33632278447587</v>
      </c>
      <c r="FL244" s="201">
        <f t="shared" ca="1" si="870"/>
        <v>199.58323124590044</v>
      </c>
      <c r="FM244" s="201">
        <f t="shared" ca="1" si="870"/>
        <v>199.83093969105232</v>
      </c>
      <c r="FN244" s="201">
        <f t="shared" ca="1" si="870"/>
        <v>200.07945071187982</v>
      </c>
      <c r="FO244" s="201">
        <f t="shared" ca="1" si="870"/>
        <v>200.32876690872914</v>
      </c>
      <c r="FP244" s="201">
        <f t="shared" ca="1" si="870"/>
        <v>200.57889089037161</v>
      </c>
      <c r="FQ244" s="201">
        <f t="shared" ca="1" si="870"/>
        <v>200.82982527403101</v>
      </c>
      <c r="FR244" s="201">
        <f t="shared" ca="1" si="870"/>
        <v>201.08157268541083</v>
      </c>
      <c r="FS244" s="201">
        <f t="shared" ca="1" si="870"/>
        <v>201.33413575872203</v>
      </c>
      <c r="FT244" s="201">
        <f t="shared" ca="1" si="870"/>
        <v>201.5875171367102</v>
      </c>
      <c r="FU244" s="201">
        <f t="shared" ca="1" si="870"/>
        <v>201.84171947068359</v>
      </c>
      <c r="FV244" s="201">
        <f t="shared" ca="1" si="870"/>
        <v>202.09674542054054</v>
      </c>
      <c r="FW244" s="201">
        <f t="shared" ca="1" si="870"/>
        <v>202.35259765479765</v>
      </c>
      <c r="FX244" s="201">
        <f t="shared" ca="1" si="870"/>
        <v>202.60927885061736</v>
      </c>
      <c r="FY244" s="201">
        <f t="shared" ca="1" si="870"/>
        <v>202.86679169383626</v>
      </c>
      <c r="FZ244" s="201">
        <f t="shared" ca="1" si="870"/>
        <v>203.12513887899286</v>
      </c>
      <c r="GA244" s="201">
        <f t="shared" ca="1" si="870"/>
        <v>203.38432310935616</v>
      </c>
      <c r="GB244" s="201">
        <f t="shared" ca="1" si="870"/>
        <v>203.64434709695374</v>
      </c>
      <c r="GC244" s="201">
        <f t="shared" ca="1" si="870"/>
        <v>203.90521356260001</v>
      </c>
      <c r="GD244" s="201">
        <f t="shared" ca="1" si="870"/>
        <v>204.16692523592491</v>
      </c>
      <c r="GE244" s="201">
        <f t="shared" ca="1" si="870"/>
        <v>204.42948485540248</v>
      </c>
      <c r="GF244" s="201">
        <f t="shared" ca="1" si="870"/>
        <v>204.69289516837927</v>
      </c>
      <c r="GG244" s="201">
        <f t="shared" ca="1" si="870"/>
        <v>204.95715893110327</v>
      </c>
      <c r="GH244" s="201">
        <f t="shared" ca="1" si="870"/>
        <v>205.22227890875277</v>
      </c>
      <c r="GI244" s="201">
        <f t="shared" ca="1" si="870"/>
        <v>205.48825787546522</v>
      </c>
      <c r="GJ244" s="201">
        <f t="shared" ca="1" si="870"/>
        <v>205.75509861436629</v>
      </c>
      <c r="GK244" s="201">
        <f t="shared" ca="1" si="870"/>
        <v>206.02280391759888</v>
      </c>
      <c r="GL244" s="201">
        <f t="shared" ca="1" si="870"/>
        <v>206.29137658635261</v>
      </c>
      <c r="GM244" s="201">
        <f t="shared" ca="1" si="870"/>
        <v>206.56081943089282</v>
      </c>
      <c r="GN244" s="201">
        <f t="shared" ca="1" si="870"/>
        <v>206.83113527059015</v>
      </c>
      <c r="GO244" s="201">
        <f t="shared" ca="1" si="870"/>
        <v>207.10232693395</v>
      </c>
      <c r="GP244" s="201">
        <f t="shared" ref="GP244:JA244" ca="1" si="871">GP139*(600/($B$23/12)/1000)+((1+$C$256)^GP$121)*$C$254*600</f>
        <v>207.3743972586422</v>
      </c>
      <c r="GQ244" s="201">
        <f t="shared" ca="1" si="871"/>
        <v>207.64734909153057</v>
      </c>
      <c r="GR244" s="201">
        <f t="shared" ca="1" si="871"/>
        <v>207.92118528870276</v>
      </c>
      <c r="GS244" s="201">
        <f t="shared" ca="1" si="871"/>
        <v>208.19590871550014</v>
      </c>
      <c r="GT244" s="201">
        <f t="shared" ca="1" si="871"/>
        <v>208.47152224654786</v>
      </c>
      <c r="GU244" s="201">
        <f t="shared" ca="1" si="871"/>
        <v>208.7480287657848</v>
      </c>
      <c r="GV244" s="201">
        <f t="shared" ca="1" si="871"/>
        <v>209.02543116649383</v>
      </c>
      <c r="GW244" s="201">
        <f t="shared" ca="1" si="871"/>
        <v>209.30373235133203</v>
      </c>
      <c r="GX244" s="201">
        <f t="shared" ca="1" si="871"/>
        <v>209.58293523236114</v>
      </c>
      <c r="GY244" s="201">
        <f t="shared" ca="1" si="871"/>
        <v>209.86304273107794</v>
      </c>
      <c r="GZ244" s="201">
        <f t="shared" ca="1" si="871"/>
        <v>210.14405777844493</v>
      </c>
      <c r="HA244" s="201">
        <f t="shared" ca="1" si="871"/>
        <v>210.42598331492081</v>
      </c>
      <c r="HB244" s="201">
        <f t="shared" ca="1" si="871"/>
        <v>210.70882229049153</v>
      </c>
      <c r="HC244" s="201">
        <f t="shared" ca="1" si="871"/>
        <v>210.99257766470083</v>
      </c>
      <c r="HD244" s="201">
        <f t="shared" ca="1" si="871"/>
        <v>211.27725240668153</v>
      </c>
      <c r="HE244" s="201">
        <f t="shared" ca="1" si="871"/>
        <v>211.5628494951863</v>
      </c>
      <c r="HF244" s="201">
        <f t="shared" ca="1" si="871"/>
        <v>211.84937191861911</v>
      </c>
      <c r="HG244" s="201">
        <f t="shared" ca="1" si="871"/>
        <v>212.13682267506624</v>
      </c>
      <c r="HH244" s="201">
        <f t="shared" ca="1" si="871"/>
        <v>212.4252047723279</v>
      </c>
      <c r="HI244" s="201">
        <f t="shared" ca="1" si="871"/>
        <v>212.71452122794943</v>
      </c>
      <c r="HJ244" s="201">
        <f t="shared" ca="1" si="871"/>
        <v>213.00477506925313</v>
      </c>
      <c r="HK244" s="201">
        <f t="shared" ca="1" si="871"/>
        <v>213.29596933336984</v>
      </c>
      <c r="HL244" s="201">
        <f t="shared" ca="1" si="871"/>
        <v>213.58810706727058</v>
      </c>
      <c r="HM244" s="201">
        <f t="shared" ca="1" si="871"/>
        <v>213.88119132779877</v>
      </c>
      <c r="HN244" s="201">
        <f t="shared" ca="1" si="871"/>
        <v>214.17522518170171</v>
      </c>
      <c r="HO244" s="201">
        <f t="shared" ca="1" si="871"/>
        <v>214.4702117056633</v>
      </c>
      <c r="HP244" s="201">
        <f t="shared" ca="1" si="871"/>
        <v>214.76615398633561</v>
      </c>
      <c r="HQ244" s="201">
        <f t="shared" ca="1" si="871"/>
        <v>215.06305512037164</v>
      </c>
      <c r="HR244" s="201">
        <f t="shared" ca="1" si="871"/>
        <v>215.36091821445751</v>
      </c>
      <c r="HS244" s="201">
        <f t="shared" ca="1" si="871"/>
        <v>215.65974638534499</v>
      </c>
      <c r="HT244" s="201">
        <f t="shared" ca="1" si="871"/>
        <v>215.95954275988413</v>
      </c>
      <c r="HU244" s="201">
        <f t="shared" ca="1" si="871"/>
        <v>216.26031047505603</v>
      </c>
      <c r="HV244" s="201">
        <f t="shared" ca="1" si="871"/>
        <v>216.56205267800556</v>
      </c>
      <c r="HW244" s="201">
        <f t="shared" ca="1" si="871"/>
        <v>216.86477252607426</v>
      </c>
      <c r="HX244" s="201">
        <f t="shared" ca="1" si="871"/>
        <v>217.16847318683364</v>
      </c>
      <c r="HY244" s="201">
        <f t="shared" ca="1" si="871"/>
        <v>217.47315783811803</v>
      </c>
      <c r="HZ244" s="201">
        <f t="shared" ca="1" si="871"/>
        <v>217.77882966805794</v>
      </c>
      <c r="IA244" s="201">
        <f t="shared" ca="1" si="871"/>
        <v>218.08549187511358</v>
      </c>
      <c r="IB244" s="201">
        <f t="shared" ca="1" si="871"/>
        <v>218.39314766810793</v>
      </c>
      <c r="IC244" s="201">
        <f t="shared" ca="1" si="871"/>
        <v>218.70180026626076</v>
      </c>
      <c r="ID244" s="201">
        <f t="shared" ca="1" si="871"/>
        <v>219.01145289922204</v>
      </c>
      <c r="IE244" s="201">
        <f t="shared" ca="1" si="871"/>
        <v>219.32210880710579</v>
      </c>
      <c r="IF244" s="201">
        <f t="shared" ca="1" si="871"/>
        <v>219.63377124052403</v>
      </c>
      <c r="IG244" s="201">
        <f t="shared" ca="1" si="871"/>
        <v>219.9464434606208</v>
      </c>
      <c r="IH244" s="201">
        <f t="shared" ca="1" si="871"/>
        <v>220.26012873910616</v>
      </c>
      <c r="II244" s="201">
        <f t="shared" ca="1" si="871"/>
        <v>220.57483035829063</v>
      </c>
      <c r="IJ244" s="201">
        <f t="shared" ca="1" si="871"/>
        <v>220.89055161111929</v>
      </c>
      <c r="IK244" s="201">
        <f t="shared" ca="1" si="871"/>
        <v>84.000000000000014</v>
      </c>
      <c r="IL244" s="201">
        <f t="shared" ca="1" si="871"/>
        <v>84.000000000000014</v>
      </c>
      <c r="IM244" s="201">
        <f t="shared" ca="1" si="871"/>
        <v>84.000000000000014</v>
      </c>
      <c r="IN244" s="201">
        <f t="shared" ca="1" si="871"/>
        <v>84.000000000000014</v>
      </c>
      <c r="IO244" s="201">
        <f t="shared" ca="1" si="871"/>
        <v>84.000000000000014</v>
      </c>
      <c r="IP244" s="201">
        <f t="shared" ca="1" si="871"/>
        <v>84.000000000000014</v>
      </c>
      <c r="IQ244" s="201">
        <f t="shared" ca="1" si="871"/>
        <v>84.000000000000014</v>
      </c>
      <c r="IR244" s="201">
        <f t="shared" ca="1" si="871"/>
        <v>84.000000000000014</v>
      </c>
      <c r="IS244" s="201">
        <f t="shared" ca="1" si="871"/>
        <v>84.000000000000014</v>
      </c>
      <c r="IT244" s="201">
        <f t="shared" ca="1" si="871"/>
        <v>84.000000000000014</v>
      </c>
      <c r="IU244" s="201">
        <f t="shared" ca="1" si="871"/>
        <v>84.000000000000014</v>
      </c>
      <c r="IV244" s="201">
        <f t="shared" ca="1" si="871"/>
        <v>84.000000000000014</v>
      </c>
      <c r="IW244" s="201">
        <f t="shared" ca="1" si="871"/>
        <v>84.000000000000014</v>
      </c>
      <c r="IX244" s="201">
        <f t="shared" ca="1" si="871"/>
        <v>84.000000000000014</v>
      </c>
      <c r="IY244" s="201">
        <f t="shared" ca="1" si="871"/>
        <v>84.000000000000014</v>
      </c>
      <c r="IZ244" s="201">
        <f t="shared" ca="1" si="871"/>
        <v>84.000000000000014</v>
      </c>
      <c r="JA244" s="201">
        <f t="shared" ca="1" si="871"/>
        <v>84.000000000000014</v>
      </c>
      <c r="JB244" s="201">
        <f t="shared" ref="JB244:LM244" ca="1" si="872">JB139*(600/($B$23/12)/1000)+((1+$C$256)^JB$121)*$C$254*600</f>
        <v>84.000000000000014</v>
      </c>
      <c r="JC244" s="201">
        <f t="shared" ca="1" si="872"/>
        <v>84.000000000000014</v>
      </c>
      <c r="JD244" s="201">
        <f t="shared" ca="1" si="872"/>
        <v>84.000000000000014</v>
      </c>
      <c r="JE244" s="201">
        <f t="shared" ca="1" si="872"/>
        <v>84.000000000000014</v>
      </c>
      <c r="JF244" s="201">
        <f t="shared" ca="1" si="872"/>
        <v>84.000000000000014</v>
      </c>
      <c r="JG244" s="201">
        <f t="shared" ca="1" si="872"/>
        <v>84.000000000000014</v>
      </c>
      <c r="JH244" s="201">
        <f t="shared" ca="1" si="872"/>
        <v>84.000000000000014</v>
      </c>
      <c r="JI244" s="201">
        <f t="shared" ca="1" si="872"/>
        <v>84.000000000000014</v>
      </c>
      <c r="JJ244" s="201">
        <f t="shared" ca="1" si="872"/>
        <v>84.000000000000014</v>
      </c>
      <c r="JK244" s="201">
        <f t="shared" ca="1" si="872"/>
        <v>84.000000000000014</v>
      </c>
      <c r="JL244" s="201">
        <f t="shared" ca="1" si="872"/>
        <v>84.000000000000014</v>
      </c>
      <c r="JM244" s="201">
        <f t="shared" ca="1" si="872"/>
        <v>84.000000000000014</v>
      </c>
      <c r="JN244" s="201">
        <f t="shared" ca="1" si="872"/>
        <v>84.000000000000014</v>
      </c>
      <c r="JO244" s="201">
        <f t="shared" ca="1" si="872"/>
        <v>84.000000000000014</v>
      </c>
      <c r="JP244" s="201">
        <f t="shared" ca="1" si="872"/>
        <v>84.000000000000014</v>
      </c>
      <c r="JQ244" s="201">
        <f t="shared" ca="1" si="872"/>
        <v>84.000000000000014</v>
      </c>
      <c r="JR244" s="201">
        <f t="shared" ca="1" si="872"/>
        <v>84.000000000000014</v>
      </c>
      <c r="JS244" s="201">
        <f t="shared" ca="1" si="872"/>
        <v>84.000000000000014</v>
      </c>
      <c r="JT244" s="201">
        <f t="shared" ca="1" si="872"/>
        <v>84.000000000000014</v>
      </c>
      <c r="JU244" s="201">
        <f t="shared" ca="1" si="872"/>
        <v>84.000000000000014</v>
      </c>
      <c r="JV244" s="201">
        <f t="shared" ca="1" si="872"/>
        <v>84.000000000000014</v>
      </c>
      <c r="JW244" s="201">
        <f t="shared" ca="1" si="872"/>
        <v>84.000000000000014</v>
      </c>
      <c r="JX244" s="201">
        <f t="shared" ca="1" si="872"/>
        <v>84.000000000000014</v>
      </c>
      <c r="JY244" s="201">
        <f t="shared" ca="1" si="872"/>
        <v>84.000000000000014</v>
      </c>
      <c r="JZ244" s="201">
        <f t="shared" ca="1" si="872"/>
        <v>84.000000000000014</v>
      </c>
      <c r="KA244" s="201">
        <f t="shared" ca="1" si="872"/>
        <v>84.000000000000014</v>
      </c>
      <c r="KB244" s="201">
        <f t="shared" ca="1" si="872"/>
        <v>84.000000000000014</v>
      </c>
      <c r="KC244" s="201">
        <f t="shared" ca="1" si="872"/>
        <v>84.000000000000014</v>
      </c>
      <c r="KD244" s="201">
        <f t="shared" ca="1" si="872"/>
        <v>84.000000000000014</v>
      </c>
      <c r="KE244" s="201">
        <f t="shared" ca="1" si="872"/>
        <v>84.000000000000014</v>
      </c>
      <c r="KF244" s="201">
        <f t="shared" ca="1" si="872"/>
        <v>84.000000000000014</v>
      </c>
      <c r="KG244" s="201">
        <f t="shared" ca="1" si="872"/>
        <v>84.000000000000014</v>
      </c>
      <c r="KH244" s="201">
        <f t="shared" ca="1" si="872"/>
        <v>84.000000000000014</v>
      </c>
      <c r="KI244" s="201">
        <f t="shared" ca="1" si="872"/>
        <v>84.000000000000014</v>
      </c>
      <c r="KJ244" s="201">
        <f t="shared" ca="1" si="872"/>
        <v>84.000000000000014</v>
      </c>
      <c r="KK244" s="201">
        <f t="shared" ca="1" si="872"/>
        <v>84.000000000000014</v>
      </c>
      <c r="KL244" s="201">
        <f t="shared" ca="1" si="872"/>
        <v>84.000000000000014</v>
      </c>
      <c r="KM244" s="201">
        <f t="shared" ca="1" si="872"/>
        <v>84.000000000000014</v>
      </c>
      <c r="KN244" s="201">
        <f t="shared" ca="1" si="872"/>
        <v>84.000000000000014</v>
      </c>
      <c r="KO244" s="201">
        <f t="shared" ca="1" si="872"/>
        <v>84.000000000000014</v>
      </c>
      <c r="KP244" s="201">
        <f t="shared" ca="1" si="872"/>
        <v>84.000000000000014</v>
      </c>
      <c r="KQ244" s="201">
        <f t="shared" ca="1" si="872"/>
        <v>84.000000000000014</v>
      </c>
      <c r="KR244" s="201">
        <f t="shared" ca="1" si="872"/>
        <v>84.000000000000014</v>
      </c>
      <c r="KS244" s="201">
        <f t="shared" ca="1" si="872"/>
        <v>84.000000000000014</v>
      </c>
      <c r="KT244" s="201">
        <f t="shared" ca="1" si="872"/>
        <v>84.000000000000014</v>
      </c>
      <c r="KU244" s="201">
        <f t="shared" ca="1" si="872"/>
        <v>84.000000000000014</v>
      </c>
      <c r="KV244" s="201">
        <f t="shared" ca="1" si="872"/>
        <v>84.000000000000014</v>
      </c>
      <c r="KW244" s="201">
        <f t="shared" ca="1" si="872"/>
        <v>84.000000000000014</v>
      </c>
      <c r="KX244" s="201">
        <f t="shared" ca="1" si="872"/>
        <v>84.000000000000014</v>
      </c>
      <c r="KY244" s="201">
        <f t="shared" ca="1" si="872"/>
        <v>84.000000000000014</v>
      </c>
      <c r="KZ244" s="201">
        <f t="shared" ca="1" si="872"/>
        <v>84.000000000000014</v>
      </c>
      <c r="LA244" s="201">
        <f t="shared" ca="1" si="872"/>
        <v>84.000000000000014</v>
      </c>
      <c r="LB244" s="201">
        <f t="shared" ca="1" si="872"/>
        <v>84.000000000000014</v>
      </c>
      <c r="LC244" s="201">
        <f t="shared" ca="1" si="872"/>
        <v>84.000000000000014</v>
      </c>
      <c r="LD244" s="201">
        <f t="shared" ca="1" si="872"/>
        <v>84.000000000000014</v>
      </c>
      <c r="LE244" s="201">
        <f t="shared" ca="1" si="872"/>
        <v>84.000000000000014</v>
      </c>
      <c r="LF244" s="201">
        <f t="shared" ca="1" si="872"/>
        <v>84.000000000000014</v>
      </c>
      <c r="LG244" s="201">
        <f t="shared" ca="1" si="872"/>
        <v>84.000000000000014</v>
      </c>
      <c r="LH244" s="201">
        <f t="shared" ca="1" si="872"/>
        <v>84.000000000000014</v>
      </c>
      <c r="LI244" s="201">
        <f t="shared" ca="1" si="872"/>
        <v>84.000000000000014</v>
      </c>
      <c r="LJ244" s="201">
        <f t="shared" ca="1" si="872"/>
        <v>84.000000000000014</v>
      </c>
      <c r="LK244" s="201">
        <f t="shared" ca="1" si="872"/>
        <v>84.000000000000014</v>
      </c>
      <c r="LL244" s="201">
        <f t="shared" ca="1" si="872"/>
        <v>84.000000000000014</v>
      </c>
      <c r="LM244" s="201">
        <f t="shared" ca="1" si="872"/>
        <v>84.000000000000014</v>
      </c>
      <c r="LN244" s="201">
        <f t="shared" ref="LN244:NY244" ca="1" si="873">LN139*(600/($B$23/12)/1000)+((1+$C$256)^LN$121)*$C$254*600</f>
        <v>84.000000000000014</v>
      </c>
      <c r="LO244" s="201">
        <f t="shared" ca="1" si="873"/>
        <v>84.000000000000014</v>
      </c>
      <c r="LP244" s="201">
        <f t="shared" ca="1" si="873"/>
        <v>84.000000000000014</v>
      </c>
      <c r="LQ244" s="201">
        <f t="shared" ca="1" si="873"/>
        <v>84.000000000000014</v>
      </c>
      <c r="LR244" s="201">
        <f t="shared" ca="1" si="873"/>
        <v>84.000000000000014</v>
      </c>
      <c r="LS244" s="201">
        <f t="shared" ca="1" si="873"/>
        <v>84.000000000000014</v>
      </c>
      <c r="LT244" s="201">
        <f t="shared" ca="1" si="873"/>
        <v>84.000000000000014</v>
      </c>
      <c r="LU244" s="201">
        <f t="shared" ca="1" si="873"/>
        <v>84.000000000000014</v>
      </c>
      <c r="LV244" s="201">
        <f t="shared" ca="1" si="873"/>
        <v>84.000000000000014</v>
      </c>
      <c r="LW244" s="201">
        <f t="shared" ca="1" si="873"/>
        <v>84.000000000000014</v>
      </c>
      <c r="LX244" s="201">
        <f t="shared" ca="1" si="873"/>
        <v>84.000000000000014</v>
      </c>
      <c r="LY244" s="201">
        <f t="shared" ca="1" si="873"/>
        <v>84.000000000000014</v>
      </c>
      <c r="LZ244" s="201">
        <f t="shared" ca="1" si="873"/>
        <v>84.000000000000014</v>
      </c>
      <c r="MA244" s="201">
        <f t="shared" ca="1" si="873"/>
        <v>84.000000000000014</v>
      </c>
      <c r="MB244" s="201">
        <f t="shared" ca="1" si="873"/>
        <v>84.000000000000014</v>
      </c>
      <c r="MC244" s="201">
        <f t="shared" ca="1" si="873"/>
        <v>84.000000000000014</v>
      </c>
      <c r="MD244" s="201">
        <f t="shared" ca="1" si="873"/>
        <v>84.000000000000014</v>
      </c>
      <c r="ME244" s="201">
        <f t="shared" ca="1" si="873"/>
        <v>84.000000000000014</v>
      </c>
      <c r="MF244" s="201">
        <f t="shared" ca="1" si="873"/>
        <v>84.000000000000014</v>
      </c>
      <c r="MG244" s="201">
        <f t="shared" ca="1" si="873"/>
        <v>84.000000000000014</v>
      </c>
      <c r="MH244" s="201">
        <f t="shared" ca="1" si="873"/>
        <v>84.000000000000014</v>
      </c>
      <c r="MI244" s="201">
        <f t="shared" ca="1" si="873"/>
        <v>84.000000000000014</v>
      </c>
      <c r="MJ244" s="201">
        <f t="shared" ca="1" si="873"/>
        <v>84.000000000000014</v>
      </c>
      <c r="MK244" s="201">
        <f t="shared" ca="1" si="873"/>
        <v>84.000000000000014</v>
      </c>
      <c r="ML244" s="201">
        <f t="shared" ca="1" si="873"/>
        <v>84.000000000000014</v>
      </c>
      <c r="MM244" s="201">
        <f t="shared" ca="1" si="873"/>
        <v>84.000000000000014</v>
      </c>
      <c r="MN244" s="201">
        <f t="shared" ca="1" si="873"/>
        <v>84.000000000000014</v>
      </c>
      <c r="MO244" s="201">
        <f t="shared" ca="1" si="873"/>
        <v>84.000000000000014</v>
      </c>
      <c r="MP244" s="201">
        <f t="shared" ca="1" si="873"/>
        <v>84.000000000000014</v>
      </c>
      <c r="MQ244" s="201">
        <f t="shared" ca="1" si="873"/>
        <v>84.000000000000014</v>
      </c>
      <c r="MR244" s="201">
        <f t="shared" ca="1" si="873"/>
        <v>84.000000000000014</v>
      </c>
      <c r="MS244" s="201">
        <f t="shared" ca="1" si="873"/>
        <v>84.000000000000014</v>
      </c>
      <c r="MT244" s="201">
        <f t="shared" ca="1" si="873"/>
        <v>84.000000000000014</v>
      </c>
      <c r="MU244" s="201">
        <f t="shared" ca="1" si="873"/>
        <v>84.000000000000014</v>
      </c>
      <c r="MV244" s="201">
        <f t="shared" ca="1" si="873"/>
        <v>84.000000000000014</v>
      </c>
      <c r="MW244" s="201">
        <f t="shared" ca="1" si="873"/>
        <v>84.000000000000014</v>
      </c>
      <c r="MX244" s="201">
        <f t="shared" ca="1" si="873"/>
        <v>84.000000000000014</v>
      </c>
      <c r="MY244" s="201">
        <f t="shared" ca="1" si="873"/>
        <v>84.000000000000014</v>
      </c>
      <c r="MZ244" s="201">
        <f t="shared" ca="1" si="873"/>
        <v>84.000000000000014</v>
      </c>
      <c r="NA244" s="201">
        <f t="shared" ca="1" si="873"/>
        <v>84.000000000000014</v>
      </c>
      <c r="NB244" s="201">
        <f t="shared" ca="1" si="873"/>
        <v>84.000000000000014</v>
      </c>
      <c r="NC244" s="201">
        <f t="shared" ca="1" si="873"/>
        <v>84.000000000000014</v>
      </c>
      <c r="ND244" s="201">
        <f t="shared" ca="1" si="873"/>
        <v>84.000000000000014</v>
      </c>
      <c r="NE244" s="201">
        <f t="shared" ca="1" si="873"/>
        <v>84.000000000000014</v>
      </c>
      <c r="NF244" s="201">
        <f t="shared" ca="1" si="873"/>
        <v>84.000000000000014</v>
      </c>
      <c r="NG244" s="201">
        <f t="shared" ca="1" si="873"/>
        <v>84.000000000000014</v>
      </c>
      <c r="NH244" s="201">
        <f t="shared" ca="1" si="873"/>
        <v>84.000000000000014</v>
      </c>
      <c r="NI244" s="201">
        <f t="shared" ca="1" si="873"/>
        <v>84.000000000000014</v>
      </c>
      <c r="NJ244" s="201">
        <f t="shared" ca="1" si="873"/>
        <v>84.000000000000014</v>
      </c>
      <c r="NK244" s="201">
        <f t="shared" ca="1" si="873"/>
        <v>84.000000000000014</v>
      </c>
      <c r="NL244" s="201">
        <f t="shared" ca="1" si="873"/>
        <v>84.000000000000014</v>
      </c>
      <c r="NM244" s="201">
        <f t="shared" ca="1" si="873"/>
        <v>84.000000000000014</v>
      </c>
      <c r="NN244" s="201">
        <f t="shared" ca="1" si="873"/>
        <v>84.000000000000014</v>
      </c>
      <c r="NO244" s="201">
        <f t="shared" ca="1" si="873"/>
        <v>84.000000000000014</v>
      </c>
      <c r="NP244" s="201">
        <f t="shared" ca="1" si="873"/>
        <v>84.000000000000014</v>
      </c>
      <c r="NQ244" s="201">
        <f t="shared" ca="1" si="873"/>
        <v>84.000000000000014</v>
      </c>
      <c r="NR244" s="201">
        <f t="shared" ca="1" si="873"/>
        <v>84.000000000000014</v>
      </c>
      <c r="NS244" s="201">
        <f t="shared" ca="1" si="873"/>
        <v>84.000000000000014</v>
      </c>
      <c r="NT244" s="201">
        <f t="shared" ca="1" si="873"/>
        <v>84.000000000000014</v>
      </c>
      <c r="NU244" s="201">
        <f t="shared" ca="1" si="873"/>
        <v>84.000000000000014</v>
      </c>
      <c r="NV244" s="201">
        <f t="shared" ca="1" si="873"/>
        <v>84.000000000000014</v>
      </c>
      <c r="NW244" s="201">
        <f t="shared" ca="1" si="873"/>
        <v>84.000000000000014</v>
      </c>
      <c r="NX244" s="201">
        <f t="shared" ca="1" si="873"/>
        <v>84.000000000000014</v>
      </c>
      <c r="NY244" s="201">
        <f t="shared" ca="1" si="873"/>
        <v>84.000000000000014</v>
      </c>
      <c r="NZ244" s="201">
        <f t="shared" ref="NZ244:QK244" ca="1" si="874">NZ139*(600/($B$23/12)/1000)+((1+$C$256)^NZ$121)*$C$254*600</f>
        <v>84.000000000000014</v>
      </c>
      <c r="OA244" s="201">
        <f t="shared" ca="1" si="874"/>
        <v>84.000000000000014</v>
      </c>
      <c r="OB244" s="201">
        <f t="shared" ca="1" si="874"/>
        <v>84.000000000000014</v>
      </c>
      <c r="OC244" s="201">
        <f t="shared" ca="1" si="874"/>
        <v>84.000000000000014</v>
      </c>
      <c r="OD244" s="201">
        <f t="shared" ca="1" si="874"/>
        <v>84.000000000000014</v>
      </c>
      <c r="OE244" s="201">
        <f t="shared" ca="1" si="874"/>
        <v>84.000000000000014</v>
      </c>
      <c r="OF244" s="201">
        <f t="shared" ca="1" si="874"/>
        <v>84.000000000000014</v>
      </c>
      <c r="OG244" s="201">
        <f t="shared" ca="1" si="874"/>
        <v>84.000000000000014</v>
      </c>
      <c r="OH244" s="201">
        <f t="shared" ca="1" si="874"/>
        <v>84.000000000000014</v>
      </c>
      <c r="OI244" s="201">
        <f t="shared" ca="1" si="874"/>
        <v>84.000000000000014</v>
      </c>
      <c r="OJ244" s="201">
        <f t="shared" ca="1" si="874"/>
        <v>84.000000000000014</v>
      </c>
      <c r="OK244" s="201">
        <f t="shared" ca="1" si="874"/>
        <v>84.000000000000014</v>
      </c>
      <c r="OL244" s="201">
        <f t="shared" ca="1" si="874"/>
        <v>84.000000000000014</v>
      </c>
      <c r="OM244" s="201">
        <f t="shared" ca="1" si="874"/>
        <v>84.000000000000014</v>
      </c>
      <c r="ON244" s="201">
        <f t="shared" ca="1" si="874"/>
        <v>84.000000000000014</v>
      </c>
      <c r="OO244" s="201">
        <f t="shared" ca="1" si="874"/>
        <v>84.000000000000014</v>
      </c>
      <c r="OP244" s="201">
        <f t="shared" ca="1" si="874"/>
        <v>84.000000000000014</v>
      </c>
      <c r="OQ244" s="201">
        <f t="shared" ca="1" si="874"/>
        <v>84.000000000000014</v>
      </c>
      <c r="OR244" s="201">
        <f t="shared" ca="1" si="874"/>
        <v>84.000000000000014</v>
      </c>
      <c r="OS244" s="201">
        <f t="shared" ca="1" si="874"/>
        <v>84.000000000000014</v>
      </c>
      <c r="OT244" s="201">
        <f t="shared" ca="1" si="874"/>
        <v>84.000000000000014</v>
      </c>
      <c r="OU244" s="201">
        <f t="shared" ca="1" si="874"/>
        <v>84.000000000000014</v>
      </c>
      <c r="OV244" s="201">
        <f t="shared" ca="1" si="874"/>
        <v>84.000000000000014</v>
      </c>
      <c r="OW244" s="201">
        <f t="shared" ca="1" si="874"/>
        <v>84.000000000000014</v>
      </c>
      <c r="OX244" s="201">
        <f t="shared" ca="1" si="874"/>
        <v>84.000000000000014</v>
      </c>
      <c r="OY244" s="201">
        <f t="shared" ca="1" si="874"/>
        <v>84.000000000000014</v>
      </c>
      <c r="OZ244" s="201">
        <f t="shared" ca="1" si="874"/>
        <v>84.000000000000014</v>
      </c>
      <c r="PA244" s="201">
        <f t="shared" ca="1" si="874"/>
        <v>84.000000000000014</v>
      </c>
      <c r="PB244" s="201">
        <f t="shared" ca="1" si="874"/>
        <v>84.000000000000014</v>
      </c>
      <c r="PC244" s="201">
        <f t="shared" ca="1" si="874"/>
        <v>84.000000000000014</v>
      </c>
      <c r="PD244" s="201">
        <f t="shared" ca="1" si="874"/>
        <v>84.000000000000014</v>
      </c>
      <c r="PE244" s="201">
        <f t="shared" ca="1" si="874"/>
        <v>84.000000000000014</v>
      </c>
      <c r="PF244" s="201">
        <f t="shared" ca="1" si="874"/>
        <v>84.000000000000014</v>
      </c>
      <c r="PG244" s="201">
        <f t="shared" ca="1" si="874"/>
        <v>84.000000000000014</v>
      </c>
      <c r="PH244" s="201">
        <f t="shared" ca="1" si="874"/>
        <v>84.000000000000014</v>
      </c>
      <c r="PI244" s="201">
        <f t="shared" ca="1" si="874"/>
        <v>84.000000000000014</v>
      </c>
      <c r="PJ244" s="201">
        <f t="shared" ca="1" si="874"/>
        <v>84.000000000000014</v>
      </c>
      <c r="PK244" s="201">
        <f t="shared" ca="1" si="874"/>
        <v>84.000000000000014</v>
      </c>
      <c r="PL244" s="201">
        <f t="shared" ca="1" si="874"/>
        <v>84.000000000000014</v>
      </c>
      <c r="PM244" s="201">
        <f t="shared" ca="1" si="874"/>
        <v>84.000000000000014</v>
      </c>
      <c r="PN244" s="201">
        <f t="shared" ca="1" si="874"/>
        <v>84.000000000000014</v>
      </c>
      <c r="PO244" s="201">
        <f t="shared" ca="1" si="874"/>
        <v>84.000000000000014</v>
      </c>
      <c r="PP244" s="201">
        <f t="shared" ca="1" si="874"/>
        <v>84.000000000000014</v>
      </c>
      <c r="PQ244" s="201">
        <f t="shared" ca="1" si="874"/>
        <v>84.000000000000014</v>
      </c>
      <c r="PR244" s="201">
        <f t="shared" ca="1" si="874"/>
        <v>84.000000000000014</v>
      </c>
      <c r="PS244" s="201">
        <f t="shared" ca="1" si="874"/>
        <v>84.000000000000014</v>
      </c>
      <c r="PT244" s="201">
        <f t="shared" ca="1" si="874"/>
        <v>84.000000000000014</v>
      </c>
      <c r="PU244" s="201">
        <f t="shared" ca="1" si="874"/>
        <v>84.000000000000014</v>
      </c>
      <c r="PV244" s="201">
        <f t="shared" ca="1" si="874"/>
        <v>84.000000000000014</v>
      </c>
      <c r="PW244" s="201">
        <f t="shared" ca="1" si="874"/>
        <v>84.000000000000014</v>
      </c>
      <c r="PX244" s="201">
        <f t="shared" ca="1" si="874"/>
        <v>84.000000000000014</v>
      </c>
      <c r="PY244" s="201">
        <f t="shared" ca="1" si="874"/>
        <v>84.000000000000014</v>
      </c>
      <c r="PZ244" s="201">
        <f t="shared" ca="1" si="874"/>
        <v>84.000000000000014</v>
      </c>
      <c r="QA244" s="201">
        <f t="shared" ca="1" si="874"/>
        <v>84.000000000000014</v>
      </c>
      <c r="QB244" s="201">
        <f t="shared" ca="1" si="874"/>
        <v>84.000000000000014</v>
      </c>
      <c r="QC244" s="201">
        <f t="shared" ca="1" si="874"/>
        <v>84.000000000000014</v>
      </c>
      <c r="QD244" s="201">
        <f t="shared" ca="1" si="874"/>
        <v>84.000000000000014</v>
      </c>
      <c r="QE244" s="201">
        <f t="shared" ca="1" si="874"/>
        <v>84.000000000000014</v>
      </c>
      <c r="QF244" s="201">
        <f t="shared" ca="1" si="874"/>
        <v>84.000000000000014</v>
      </c>
      <c r="QG244" s="201">
        <f t="shared" ca="1" si="874"/>
        <v>84.000000000000014</v>
      </c>
      <c r="QH244" s="201">
        <f t="shared" ca="1" si="874"/>
        <v>84.000000000000014</v>
      </c>
      <c r="QI244" s="201">
        <f t="shared" ca="1" si="874"/>
        <v>84.000000000000014</v>
      </c>
      <c r="QJ244" s="201">
        <f t="shared" ca="1" si="874"/>
        <v>84.000000000000014</v>
      </c>
      <c r="QK244" s="201">
        <f t="shared" ca="1" si="874"/>
        <v>84.000000000000014</v>
      </c>
      <c r="QL244" s="201">
        <f t="shared" ref="QL244:RR244" ca="1" si="875">QL139*(600/($B$23/12)/1000)+((1+$C$256)^QL$121)*$C$254*600</f>
        <v>84.000000000000014</v>
      </c>
      <c r="QM244" s="201">
        <f t="shared" ca="1" si="875"/>
        <v>84.000000000000014</v>
      </c>
      <c r="QN244" s="201">
        <f t="shared" ca="1" si="875"/>
        <v>84.000000000000014</v>
      </c>
      <c r="QO244" s="201">
        <f t="shared" ca="1" si="875"/>
        <v>84.000000000000014</v>
      </c>
      <c r="QP244" s="201">
        <f t="shared" ca="1" si="875"/>
        <v>84.000000000000014</v>
      </c>
      <c r="QQ244" s="201">
        <f t="shared" ca="1" si="875"/>
        <v>84.000000000000014</v>
      </c>
      <c r="QR244" s="201">
        <f t="shared" ca="1" si="875"/>
        <v>84.000000000000014</v>
      </c>
      <c r="QS244" s="201">
        <f t="shared" ca="1" si="875"/>
        <v>84.000000000000014</v>
      </c>
      <c r="QT244" s="201">
        <f t="shared" ca="1" si="875"/>
        <v>84.000000000000014</v>
      </c>
      <c r="QU244" s="201">
        <f t="shared" ca="1" si="875"/>
        <v>84.000000000000014</v>
      </c>
      <c r="QV244" s="201">
        <f t="shared" ca="1" si="875"/>
        <v>84.000000000000014</v>
      </c>
      <c r="QW244" s="201">
        <f t="shared" ca="1" si="875"/>
        <v>84.000000000000014</v>
      </c>
      <c r="QX244" s="201">
        <f t="shared" ca="1" si="875"/>
        <v>84.000000000000014</v>
      </c>
      <c r="QY244" s="201">
        <f t="shared" ca="1" si="875"/>
        <v>84.000000000000014</v>
      </c>
      <c r="QZ244" s="201">
        <f t="shared" ca="1" si="875"/>
        <v>84.000000000000014</v>
      </c>
      <c r="RA244" s="201">
        <f t="shared" ca="1" si="875"/>
        <v>84.000000000000014</v>
      </c>
      <c r="RB244" s="201">
        <f t="shared" ca="1" si="875"/>
        <v>84.000000000000014</v>
      </c>
      <c r="RC244" s="201">
        <f t="shared" ca="1" si="875"/>
        <v>84.000000000000014</v>
      </c>
      <c r="RD244" s="201">
        <f t="shared" ca="1" si="875"/>
        <v>84.000000000000014</v>
      </c>
      <c r="RE244" s="201">
        <f t="shared" ca="1" si="875"/>
        <v>84.000000000000014</v>
      </c>
      <c r="RF244" s="201">
        <f t="shared" ca="1" si="875"/>
        <v>84.000000000000014</v>
      </c>
      <c r="RG244" s="201">
        <f t="shared" ca="1" si="875"/>
        <v>84.000000000000014</v>
      </c>
      <c r="RH244" s="201">
        <f t="shared" ca="1" si="875"/>
        <v>84.000000000000014</v>
      </c>
      <c r="RI244" s="201">
        <f t="shared" ca="1" si="875"/>
        <v>84.000000000000014</v>
      </c>
      <c r="RJ244" s="201">
        <f t="shared" ca="1" si="875"/>
        <v>84.000000000000014</v>
      </c>
      <c r="RK244" s="201">
        <f t="shared" ca="1" si="875"/>
        <v>84.000000000000014</v>
      </c>
      <c r="RL244" s="201">
        <f t="shared" ca="1" si="875"/>
        <v>84.000000000000014</v>
      </c>
      <c r="RM244" s="201">
        <f t="shared" ca="1" si="875"/>
        <v>84.000000000000014</v>
      </c>
      <c r="RN244" s="201">
        <f t="shared" ca="1" si="875"/>
        <v>84.000000000000014</v>
      </c>
      <c r="RO244" s="201">
        <f t="shared" ca="1" si="875"/>
        <v>84.000000000000014</v>
      </c>
      <c r="RP244" s="201">
        <f t="shared" ca="1" si="875"/>
        <v>84.000000000000014</v>
      </c>
      <c r="RQ244" s="201">
        <f t="shared" ca="1" si="875"/>
        <v>84.000000000000014</v>
      </c>
      <c r="RR244" s="201">
        <f t="shared" ca="1" si="875"/>
        <v>84.000000000000014</v>
      </c>
      <c r="RS244" s="201"/>
    </row>
    <row r="245" spans="2:487" s="9" customFormat="1">
      <c r="D245" s="9" t="s">
        <v>257</v>
      </c>
      <c r="E245" s="201">
        <f>E141*(600/($B$23/12)/1000)+((1+$C$256)^E$121)*$C$254*600</f>
        <v>168.3896424530474</v>
      </c>
      <c r="F245" s="201">
        <f t="shared" ref="F245:BQ245" ca="1" si="876">F141*(600/($B$23/12)/1000)+((1+$C$256)^F$121)*$C$254*600</f>
        <v>168.60867187743065</v>
      </c>
      <c r="G245" s="201">
        <f t="shared" ca="1" si="876"/>
        <v>168.82841095742597</v>
      </c>
      <c r="H245" s="201">
        <f t="shared" ca="1" si="876"/>
        <v>169.04886199231845</v>
      </c>
      <c r="I245" s="201">
        <f t="shared" ca="1" si="876"/>
        <v>169.27002728884275</v>
      </c>
      <c r="J245" s="201">
        <f t="shared" ca="1" si="876"/>
        <v>169.49190916120764</v>
      </c>
      <c r="K245" s="201">
        <f t="shared" ca="1" si="876"/>
        <v>169.71450993111961</v>
      </c>
      <c r="L245" s="201">
        <f t="shared" ca="1" si="876"/>
        <v>169.93783192780765</v>
      </c>
      <c r="M245" s="201">
        <f t="shared" ca="1" si="876"/>
        <v>170.16187748804748</v>
      </c>
      <c r="N245" s="201">
        <f t="shared" ca="1" si="876"/>
        <v>170.38664895618587</v>
      </c>
      <c r="O245" s="201">
        <f t="shared" ca="1" si="876"/>
        <v>170.61214868416533</v>
      </c>
      <c r="P245" s="201">
        <f t="shared" ca="1" si="876"/>
        <v>170.83837903154867</v>
      </c>
      <c r="Q245" s="201">
        <f t="shared" ca="1" si="876"/>
        <v>171.06534236554373</v>
      </c>
      <c r="R245" s="201">
        <f t="shared" ca="1" si="876"/>
        <v>171.29304106102799</v>
      </c>
      <c r="S245" s="201">
        <f t="shared" ca="1" si="876"/>
        <v>171.52147750057367</v>
      </c>
      <c r="T245" s="201">
        <f t="shared" ca="1" si="876"/>
        <v>171.75065407447244</v>
      </c>
      <c r="U245" s="201">
        <f t="shared" ca="1" si="876"/>
        <v>171.9805731807605</v>
      </c>
      <c r="V245" s="201">
        <f t="shared" ca="1" si="876"/>
        <v>172.21123722524379</v>
      </c>
      <c r="W245" s="201">
        <f t="shared" ca="1" si="876"/>
        <v>172.44264862152295</v>
      </c>
      <c r="X245" s="201">
        <f t="shared" ca="1" si="876"/>
        <v>172.67480979101879</v>
      </c>
      <c r="Y245" s="201">
        <f t="shared" ca="1" si="876"/>
        <v>172.90772316299746</v>
      </c>
      <c r="Z245" s="201">
        <f t="shared" ca="1" si="876"/>
        <v>173.14139117459595</v>
      </c>
      <c r="AA245" s="201">
        <f t="shared" ca="1" si="876"/>
        <v>173.37581627084759</v>
      </c>
      <c r="AB245" s="201">
        <f t="shared" ca="1" si="876"/>
        <v>173.61100090470762</v>
      </c>
      <c r="AC245" s="201">
        <f t="shared" ca="1" si="876"/>
        <v>173.84694753707885</v>
      </c>
      <c r="AD245" s="201">
        <f t="shared" ca="1" si="876"/>
        <v>174.08365863683741</v>
      </c>
      <c r="AE245" s="201">
        <f t="shared" ca="1" si="876"/>
        <v>174.32113668085861</v>
      </c>
      <c r="AF245" s="201">
        <f t="shared" ca="1" si="876"/>
        <v>174.55938415404282</v>
      </c>
      <c r="AG245" s="201">
        <f t="shared" ca="1" si="876"/>
        <v>174.79840354934151</v>
      </c>
      <c r="AH245" s="201">
        <f t="shared" ca="1" si="876"/>
        <v>175.03819736778331</v>
      </c>
      <c r="AI245" s="201">
        <f t="shared" ca="1" si="876"/>
        <v>175.27876811850021</v>
      </c>
      <c r="AJ245" s="201">
        <f t="shared" ca="1" si="876"/>
        <v>175.5201183187537</v>
      </c>
      <c r="AK245" s="201">
        <f t="shared" ca="1" si="876"/>
        <v>175.76225049396132</v>
      </c>
      <c r="AL245" s="201">
        <f t="shared" ca="1" si="876"/>
        <v>176.00516717772285</v>
      </c>
      <c r="AM245" s="201">
        <f t="shared" ca="1" si="876"/>
        <v>176.24887091184712</v>
      </c>
      <c r="AN245" s="201">
        <f t="shared" ca="1" si="876"/>
        <v>176.49336424637812</v>
      </c>
      <c r="AO245" s="201">
        <f t="shared" ca="1" si="876"/>
        <v>176.73864973962233</v>
      </c>
      <c r="AP245" s="201">
        <f t="shared" ca="1" si="876"/>
        <v>176.98472995817491</v>
      </c>
      <c r="AQ245" s="201">
        <f t="shared" ca="1" si="876"/>
        <v>177.23160747694686</v>
      </c>
      <c r="AR245" s="201">
        <f t="shared" ca="1" si="876"/>
        <v>177.47928487919188</v>
      </c>
      <c r="AS245" s="201">
        <f t="shared" ca="1" si="876"/>
        <v>177.7277647565335</v>
      </c>
      <c r="AT245" s="201">
        <f t="shared" ca="1" si="876"/>
        <v>177.97704970899201</v>
      </c>
      <c r="AU245" s="201">
        <f t="shared" ca="1" si="876"/>
        <v>178.22714234501183</v>
      </c>
      <c r="AV245" s="201">
        <f t="shared" ca="1" si="876"/>
        <v>178.47804528148868</v>
      </c>
      <c r="AW245" s="201">
        <f t="shared" ca="1" si="876"/>
        <v>178.72976114379708</v>
      </c>
      <c r="AX245" s="201">
        <f t="shared" ca="1" si="876"/>
        <v>178.98229256581777</v>
      </c>
      <c r="AY245" s="201">
        <f t="shared" ca="1" si="876"/>
        <v>179.23564218996523</v>
      </c>
      <c r="AZ245" s="201">
        <f t="shared" ca="1" si="876"/>
        <v>179.4898126672154</v>
      </c>
      <c r="BA245" s="201">
        <f t="shared" ca="1" si="876"/>
        <v>179.74480665713338</v>
      </c>
      <c r="BB245" s="201">
        <f t="shared" ca="1" si="876"/>
        <v>180.00062682790124</v>
      </c>
      <c r="BC245" s="201">
        <f t="shared" ca="1" si="876"/>
        <v>180.25727585634596</v>
      </c>
      <c r="BD245" s="201">
        <f t="shared" ca="1" si="876"/>
        <v>180.51475642796748</v>
      </c>
      <c r="BE245" s="201">
        <f t="shared" ca="1" si="876"/>
        <v>180.77307123696676</v>
      </c>
      <c r="BF245" s="201">
        <f t="shared" ca="1" si="876"/>
        <v>181.03222298627395</v>
      </c>
      <c r="BG245" s="201">
        <f t="shared" ca="1" si="876"/>
        <v>181.29221438757668</v>
      </c>
      <c r="BH245" s="201">
        <f t="shared" ca="1" si="876"/>
        <v>181.5530481613485</v>
      </c>
      <c r="BI245" s="201">
        <f t="shared" ca="1" si="876"/>
        <v>181.81472703687729</v>
      </c>
      <c r="BJ245" s="201">
        <f t="shared" ca="1" si="876"/>
        <v>182.07725375229376</v>
      </c>
      <c r="BK245" s="201">
        <f t="shared" ca="1" si="876"/>
        <v>182.34063105460029</v>
      </c>
      <c r="BL245" s="201">
        <f t="shared" ca="1" si="876"/>
        <v>182.60486169969946</v>
      </c>
      <c r="BM245" s="201">
        <f t="shared" ca="1" si="876"/>
        <v>152.39580166054466</v>
      </c>
      <c r="BN245" s="201">
        <f t="shared" ca="1" si="876"/>
        <v>152.46662727446713</v>
      </c>
      <c r="BO245" s="201">
        <f t="shared" ca="1" si="876"/>
        <v>152.53768237011406</v>
      </c>
      <c r="BP245" s="201">
        <f t="shared" ca="1" si="876"/>
        <v>152.60896769102811</v>
      </c>
      <c r="BQ245" s="201">
        <f t="shared" ca="1" si="876"/>
        <v>152.68048398316103</v>
      </c>
      <c r="BR245" s="201">
        <f t="shared" ref="BR245:EC245" ca="1" si="877">BR141*(600/($B$23/12)/1000)+((1+$C$256)^BR$121)*$C$254*600</f>
        <v>152.75223199488153</v>
      </c>
      <c r="BS245" s="201">
        <f t="shared" ca="1" si="877"/>
        <v>152.82421247698312</v>
      </c>
      <c r="BT245" s="201">
        <f t="shared" ca="1" si="877"/>
        <v>152.89642618269193</v>
      </c>
      <c r="BU245" s="201">
        <f t="shared" ca="1" si="877"/>
        <v>152.96887386767463</v>
      </c>
      <c r="BV245" s="201">
        <f t="shared" ca="1" si="877"/>
        <v>153.04155629004629</v>
      </c>
      <c r="BW245" s="201">
        <f t="shared" ca="1" si="877"/>
        <v>153.11447421037843</v>
      </c>
      <c r="BX245" s="201">
        <f t="shared" ca="1" si="877"/>
        <v>153.18762839170682</v>
      </c>
      <c r="BY245" s="201">
        <f t="shared" ca="1" si="877"/>
        <v>153.26101959953951</v>
      </c>
      <c r="BZ245" s="201">
        <f t="shared" ca="1" si="877"/>
        <v>153.33464860186496</v>
      </c>
      <c r="CA245" s="201">
        <f t="shared" ca="1" si="877"/>
        <v>153.40851616915995</v>
      </c>
      <c r="CB245" s="201">
        <f t="shared" ca="1" si="877"/>
        <v>153.48262307439762</v>
      </c>
      <c r="CC245" s="201">
        <f t="shared" ca="1" si="877"/>
        <v>153.55697009305572</v>
      </c>
      <c r="CD245" s="201">
        <f t="shared" ca="1" si="877"/>
        <v>153.63155800312455</v>
      </c>
      <c r="CE245" s="201">
        <f t="shared" ca="1" si="877"/>
        <v>153.70638758511515</v>
      </c>
      <c r="CF245" s="201">
        <f t="shared" ca="1" si="877"/>
        <v>153.78145962206759</v>
      </c>
      <c r="CG245" s="201">
        <f t="shared" ca="1" si="877"/>
        <v>153.85677489955896</v>
      </c>
      <c r="CH245" s="201">
        <f t="shared" ca="1" si="877"/>
        <v>153.93233420571175</v>
      </c>
      <c r="CI245" s="201">
        <f t="shared" ca="1" si="877"/>
        <v>154.00813833120202</v>
      </c>
      <c r="CJ245" s="201">
        <f t="shared" ca="1" si="877"/>
        <v>154.08418806926773</v>
      </c>
      <c r="CK245" s="201">
        <f t="shared" ca="1" si="877"/>
        <v>154.16048421571696</v>
      </c>
      <c r="CL245" s="201">
        <f t="shared" ca="1" si="877"/>
        <v>154.23702756893633</v>
      </c>
      <c r="CM245" s="201">
        <f t="shared" ca="1" si="877"/>
        <v>154.31381892989927</v>
      </c>
      <c r="CN245" s="201">
        <f t="shared" ca="1" si="877"/>
        <v>154.39085910217443</v>
      </c>
      <c r="CO245" s="201">
        <f t="shared" ca="1" si="877"/>
        <v>154.46814889193416</v>
      </c>
      <c r="CP245" s="201">
        <f t="shared" ca="1" si="877"/>
        <v>154.54568910796286</v>
      </c>
      <c r="CQ245" s="201">
        <f t="shared" ca="1" si="877"/>
        <v>154.62348056166542</v>
      </c>
      <c r="CR245" s="201">
        <f t="shared" ca="1" si="877"/>
        <v>154.70152406707578</v>
      </c>
      <c r="CS245" s="201">
        <f t="shared" ca="1" si="877"/>
        <v>154.77982044086551</v>
      </c>
      <c r="CT245" s="201">
        <f t="shared" ca="1" si="877"/>
        <v>154.85837050235216</v>
      </c>
      <c r="CU245" s="201">
        <f t="shared" ca="1" si="877"/>
        <v>154.93717507350797</v>
      </c>
      <c r="CV245" s="201">
        <f t="shared" ca="1" si="877"/>
        <v>155.01623497896853</v>
      </c>
      <c r="CW245" s="201">
        <f t="shared" ca="1" si="877"/>
        <v>155.09555104604124</v>
      </c>
      <c r="CX245" s="201">
        <f t="shared" ca="1" si="877"/>
        <v>155.17512410471409</v>
      </c>
      <c r="CY245" s="201">
        <f t="shared" ca="1" si="877"/>
        <v>155.25495498766429</v>
      </c>
      <c r="CZ245" s="201">
        <f t="shared" ca="1" si="877"/>
        <v>155.33504453026706</v>
      </c>
      <c r="DA245" s="201">
        <f t="shared" ca="1" si="877"/>
        <v>155.41539357060418</v>
      </c>
      <c r="DB245" s="201">
        <f t="shared" ca="1" si="877"/>
        <v>155.49600294947311</v>
      </c>
      <c r="DC245" s="201">
        <f t="shared" ca="1" si="877"/>
        <v>155.57687351039533</v>
      </c>
      <c r="DD245" s="201">
        <f t="shared" ca="1" si="877"/>
        <v>155.65800609962565</v>
      </c>
      <c r="DE245" s="201">
        <f t="shared" ca="1" si="877"/>
        <v>155.73940156616061</v>
      </c>
      <c r="DF245" s="201">
        <f t="shared" ca="1" si="877"/>
        <v>155.82106076174773</v>
      </c>
      <c r="DG245" s="201">
        <f t="shared" ca="1" si="877"/>
        <v>155.90298454089421</v>
      </c>
      <c r="DH245" s="201">
        <f t="shared" ca="1" si="877"/>
        <v>155.98517376087594</v>
      </c>
      <c r="DI245" s="201">
        <f t="shared" ca="1" si="877"/>
        <v>156.06762928174646</v>
      </c>
      <c r="DJ245" s="201">
        <f t="shared" ca="1" si="877"/>
        <v>156.15035196634597</v>
      </c>
      <c r="DK245" s="201">
        <f t="shared" ca="1" si="877"/>
        <v>156.23334268031039</v>
      </c>
      <c r="DL245" s="201">
        <f t="shared" ca="1" si="877"/>
        <v>156.31660229208029</v>
      </c>
      <c r="DM245" s="201">
        <f t="shared" ca="1" si="877"/>
        <v>156.40013167291022</v>
      </c>
      <c r="DN245" s="201">
        <f t="shared" ca="1" si="877"/>
        <v>156.48393169687751</v>
      </c>
      <c r="DO245" s="201">
        <f t="shared" ca="1" si="877"/>
        <v>156.5680032408917</v>
      </c>
      <c r="DP245" s="201">
        <f t="shared" ca="1" si="877"/>
        <v>156.65234718470361</v>
      </c>
      <c r="DQ245" s="201">
        <f t="shared" ca="1" si="877"/>
        <v>156.7369644109144</v>
      </c>
      <c r="DR245" s="201">
        <f t="shared" ca="1" si="877"/>
        <v>156.82185580498506</v>
      </c>
      <c r="DS245" s="201">
        <f t="shared" ca="1" si="877"/>
        <v>156.90702225524558</v>
      </c>
      <c r="DT245" s="201">
        <f t="shared" ca="1" si="877"/>
        <v>156.99246465290409</v>
      </c>
      <c r="DU245" s="201">
        <f t="shared" ca="1" si="877"/>
        <v>157.07818389205647</v>
      </c>
      <c r="DV245" s="201">
        <f t="shared" ca="1" si="877"/>
        <v>157.16418086969543</v>
      </c>
      <c r="DW245" s="201">
        <f t="shared" ca="1" si="877"/>
        <v>157.25045648572012</v>
      </c>
      <c r="DX245" s="201">
        <f t="shared" ca="1" si="877"/>
        <v>157.33701164294541</v>
      </c>
      <c r="DY245" s="201">
        <f t="shared" ca="1" si="877"/>
        <v>157.42384724711138</v>
      </c>
      <c r="DZ245" s="201">
        <f t="shared" ca="1" si="877"/>
        <v>157.51096420689277</v>
      </c>
      <c r="EA245" s="201">
        <f t="shared" ca="1" si="877"/>
        <v>157.5983634339085</v>
      </c>
      <c r="EB245" s="201">
        <f t="shared" ca="1" si="877"/>
        <v>157.68604584273129</v>
      </c>
      <c r="EC245" s="201">
        <f t="shared" ca="1" si="877"/>
        <v>157.77401235089715</v>
      </c>
      <c r="ED245" s="201">
        <f t="shared" ref="ED245:GO245" ca="1" si="878">ED141*(600/($B$23/12)/1000)+((1+$C$256)^ED$121)*$C$254*600</f>
        <v>157.86226387891492</v>
      </c>
      <c r="EE245" s="201">
        <f t="shared" ca="1" si="878"/>
        <v>157.95080135027604</v>
      </c>
      <c r="EF245" s="201">
        <f t="shared" ca="1" si="878"/>
        <v>158.03962569146415</v>
      </c>
      <c r="EG245" s="201">
        <f t="shared" ca="1" si="878"/>
        <v>158.12873783196477</v>
      </c>
      <c r="EH245" s="201">
        <f t="shared" ca="1" si="878"/>
        <v>158.21813870427502</v>
      </c>
      <c r="EI245" s="201">
        <f t="shared" ca="1" si="878"/>
        <v>158.30782924391343</v>
      </c>
      <c r="EJ245" s="201">
        <f t="shared" ca="1" si="878"/>
        <v>158.39781038942971</v>
      </c>
      <c r="EK245" s="201">
        <f t="shared" ca="1" si="878"/>
        <v>158.48808308241451</v>
      </c>
      <c r="EL245" s="201">
        <f t="shared" ca="1" si="878"/>
        <v>158.57864826750938</v>
      </c>
      <c r="EM245" s="201">
        <f t="shared" ca="1" si="878"/>
        <v>158.66950689241654</v>
      </c>
      <c r="EN245" s="201">
        <f t="shared" ca="1" si="878"/>
        <v>158.76065990790892</v>
      </c>
      <c r="EO245" s="201">
        <f t="shared" ca="1" si="878"/>
        <v>158.85210826784001</v>
      </c>
      <c r="EP245" s="201">
        <f t="shared" ca="1" si="878"/>
        <v>158.94385292915388</v>
      </c>
      <c r="EQ245" s="201">
        <f t="shared" ca="1" si="878"/>
        <v>159.03589485189514</v>
      </c>
      <c r="ER245" s="201">
        <f t="shared" ca="1" si="878"/>
        <v>159.12823499921916</v>
      </c>
      <c r="ES245" s="201">
        <f t="shared" ca="1" si="878"/>
        <v>159.22087433740188</v>
      </c>
      <c r="ET245" s="201">
        <f t="shared" ca="1" si="878"/>
        <v>159.31381383585017</v>
      </c>
      <c r="EU245" s="201">
        <f t="shared" ca="1" si="878"/>
        <v>159.40705446711186</v>
      </c>
      <c r="EV245" s="201">
        <f t="shared" ca="1" si="878"/>
        <v>159.50059720688586</v>
      </c>
      <c r="EW245" s="201">
        <f t="shared" ca="1" si="878"/>
        <v>159.59444303403251</v>
      </c>
      <c r="EX245" s="201">
        <f t="shared" ca="1" si="878"/>
        <v>159.6885929305837</v>
      </c>
      <c r="EY245" s="201">
        <f t="shared" ca="1" si="878"/>
        <v>159.78304788175319</v>
      </c>
      <c r="EZ245" s="201">
        <f t="shared" ca="1" si="878"/>
        <v>159.87780887594704</v>
      </c>
      <c r="FA245" s="201">
        <f t="shared" ca="1" si="878"/>
        <v>159.97287690477367</v>
      </c>
      <c r="FB245" s="201">
        <f t="shared" ca="1" si="878"/>
        <v>160.06825296305453</v>
      </c>
      <c r="FC245" s="201">
        <f t="shared" ca="1" si="878"/>
        <v>160.16393804883432</v>
      </c>
      <c r="FD245" s="201">
        <f t="shared" ca="1" si="878"/>
        <v>160.25993316339157</v>
      </c>
      <c r="FE245" s="201">
        <f t="shared" ca="1" si="878"/>
        <v>160.35623931124894</v>
      </c>
      <c r="FF245" s="201">
        <f t="shared" ca="1" si="878"/>
        <v>160.45285750018394</v>
      </c>
      <c r="FG245" s="201">
        <f t="shared" ca="1" si="878"/>
        <v>160.54978874123935</v>
      </c>
      <c r="FH245" s="201">
        <f t="shared" ca="1" si="878"/>
        <v>160.64703404873376</v>
      </c>
      <c r="FI245" s="201">
        <f t="shared" ca="1" si="878"/>
        <v>160.74459444027235</v>
      </c>
      <c r="FJ245" s="201">
        <f t="shared" ca="1" si="878"/>
        <v>160.84247093675737</v>
      </c>
      <c r="FK245" s="201">
        <f t="shared" ca="1" si="878"/>
        <v>160.94066456239892</v>
      </c>
      <c r="FL245" s="201">
        <f t="shared" ca="1" si="878"/>
        <v>161.03917634472558</v>
      </c>
      <c r="FM245" s="201">
        <f t="shared" ca="1" si="878"/>
        <v>161.13800731459531</v>
      </c>
      <c r="FN245" s="201">
        <f t="shared" ca="1" si="878"/>
        <v>161.23715850620613</v>
      </c>
      <c r="FO245" s="201">
        <f t="shared" ca="1" si="878"/>
        <v>161.33663095710685</v>
      </c>
      <c r="FP245" s="201">
        <f t="shared" ca="1" si="878"/>
        <v>161.43642570820819</v>
      </c>
      <c r="FQ245" s="201">
        <f t="shared" ca="1" si="878"/>
        <v>161.53654380379339</v>
      </c>
      <c r="FR245" s="201">
        <f t="shared" ca="1" si="878"/>
        <v>161.63698629152941</v>
      </c>
      <c r="FS245" s="201">
        <f t="shared" ca="1" si="878"/>
        <v>161.73775422247761</v>
      </c>
      <c r="FT245" s="201">
        <f t="shared" ca="1" si="878"/>
        <v>161.83884865110497</v>
      </c>
      <c r="FU245" s="201">
        <f t="shared" ca="1" si="878"/>
        <v>161.94027063529501</v>
      </c>
      <c r="FV245" s="201">
        <f t="shared" ca="1" si="878"/>
        <v>162.04202123635889</v>
      </c>
      <c r="FW245" s="201">
        <f t="shared" ca="1" si="878"/>
        <v>162.14410151904656</v>
      </c>
      <c r="FX245" s="201">
        <f t="shared" ca="1" si="878"/>
        <v>162.2465125515578</v>
      </c>
      <c r="FY245" s="201">
        <f t="shared" ca="1" si="878"/>
        <v>162.34925540555355</v>
      </c>
      <c r="FZ245" s="201">
        <f t="shared" ca="1" si="878"/>
        <v>162.45233115616691</v>
      </c>
      <c r="GA245" s="201">
        <f t="shared" ca="1" si="878"/>
        <v>162.55574088201462</v>
      </c>
      <c r="GB245" s="201">
        <f t="shared" ca="1" si="878"/>
        <v>162.65948566520819</v>
      </c>
      <c r="GC245" s="201">
        <f t="shared" ca="1" si="878"/>
        <v>162.76356659136525</v>
      </c>
      <c r="GD245" s="201">
        <f t="shared" ca="1" si="878"/>
        <v>162.86798474962103</v>
      </c>
      <c r="GE245" s="201">
        <f t="shared" ca="1" si="878"/>
        <v>162.97274123263958</v>
      </c>
      <c r="GF245" s="201">
        <f t="shared" ca="1" si="878"/>
        <v>163.07783713662531</v>
      </c>
      <c r="GG245" s="201">
        <f t="shared" ca="1" si="878"/>
        <v>163.18327356133437</v>
      </c>
      <c r="GH245" s="201">
        <f t="shared" ca="1" si="878"/>
        <v>163.28905161008637</v>
      </c>
      <c r="GI245" s="201">
        <f t="shared" ca="1" si="878"/>
        <v>163.39517238977567</v>
      </c>
      <c r="GJ245" s="201">
        <f t="shared" ca="1" si="878"/>
        <v>163.50163701088309</v>
      </c>
      <c r="GK245" s="201">
        <f t="shared" ca="1" si="878"/>
        <v>163.60844658748749</v>
      </c>
      <c r="GL245" s="201">
        <f t="shared" ca="1" si="878"/>
        <v>163.71560223727758</v>
      </c>
      <c r="GM245" s="201">
        <f t="shared" ca="1" si="878"/>
        <v>163.82310508156331</v>
      </c>
      <c r="GN245" s="201">
        <f t="shared" ca="1" si="878"/>
        <v>163.93095624528792</v>
      </c>
      <c r="GO245" s="201">
        <f t="shared" ca="1" si="878"/>
        <v>164.03915685703944</v>
      </c>
      <c r="GP245" s="201">
        <f t="shared" ref="GP245:JA245" ca="1" si="879">GP141*(600/($B$23/12)/1000)+((1+$C$256)^GP$121)*$C$254*600</f>
        <v>164.14770804906277</v>
      </c>
      <c r="GQ245" s="201">
        <f t="shared" ca="1" si="879"/>
        <v>164.25661095727133</v>
      </c>
      <c r="GR245" s="201">
        <f t="shared" ca="1" si="879"/>
        <v>164.36586672125901</v>
      </c>
      <c r="GS245" s="201">
        <f t="shared" ca="1" si="879"/>
        <v>164.47547648431208</v>
      </c>
      <c r="GT245" s="201">
        <f t="shared" ca="1" si="879"/>
        <v>164.58544139342115</v>
      </c>
      <c r="GU245" s="201">
        <f t="shared" ca="1" si="879"/>
        <v>164.69576259929323</v>
      </c>
      <c r="GV245" s="201">
        <f t="shared" ca="1" si="879"/>
        <v>164.80644125636374</v>
      </c>
      <c r="GW245" s="201">
        <f t="shared" ca="1" si="879"/>
        <v>164.91747852280855</v>
      </c>
      <c r="GX245" s="201">
        <f t="shared" ca="1" si="879"/>
        <v>165.02887556055612</v>
      </c>
      <c r="GY245" s="201">
        <f t="shared" ca="1" si="879"/>
        <v>165.14063353529968</v>
      </c>
      <c r="GZ245" s="201">
        <f t="shared" ca="1" si="879"/>
        <v>165.25275361650949</v>
      </c>
      <c r="HA245" s="201">
        <f t="shared" ca="1" si="879"/>
        <v>165.36523697744482</v>
      </c>
      <c r="HB245" s="201">
        <f t="shared" ca="1" si="879"/>
        <v>165.47808479516661</v>
      </c>
      <c r="HC245" s="201">
        <f t="shared" ca="1" si="879"/>
        <v>165.5912982505495</v>
      </c>
      <c r="HD245" s="201">
        <f t="shared" ca="1" si="879"/>
        <v>165.70487852829424</v>
      </c>
      <c r="HE245" s="201">
        <f t="shared" ca="1" si="879"/>
        <v>165.81882681694023</v>
      </c>
      <c r="HF245" s="201">
        <f t="shared" ca="1" si="879"/>
        <v>165.93314430887776</v>
      </c>
      <c r="HG245" s="201">
        <f t="shared" ca="1" si="879"/>
        <v>166.04783220036057</v>
      </c>
      <c r="HH245" s="201">
        <f t="shared" ca="1" si="879"/>
        <v>166.16289169151847</v>
      </c>
      <c r="HI245" s="201">
        <f t="shared" ca="1" si="879"/>
        <v>166.27832398636971</v>
      </c>
      <c r="HJ245" s="201">
        <f t="shared" ca="1" si="879"/>
        <v>166.39413029283372</v>
      </c>
      <c r="HK245" s="201">
        <f t="shared" ca="1" si="879"/>
        <v>166.51031182274369</v>
      </c>
      <c r="HL245" s="201">
        <f t="shared" ca="1" si="879"/>
        <v>166.62686979185929</v>
      </c>
      <c r="HM245" s="201">
        <f t="shared" ca="1" si="879"/>
        <v>166.74380541987932</v>
      </c>
      <c r="HN245" s="201">
        <f t="shared" ca="1" si="879"/>
        <v>166.86111993045455</v>
      </c>
      <c r="HO245" s="201">
        <f t="shared" ca="1" si="879"/>
        <v>166.97881455120046</v>
      </c>
      <c r="HP245" s="201">
        <f t="shared" ca="1" si="879"/>
        <v>167.09689051371026</v>
      </c>
      <c r="HQ245" s="201">
        <f t="shared" ca="1" si="879"/>
        <v>167.21534905356739</v>
      </c>
      <c r="HR245" s="201">
        <f t="shared" ca="1" si="879"/>
        <v>167.33419141035893</v>
      </c>
      <c r="HS245" s="201">
        <f t="shared" ca="1" si="879"/>
        <v>167.45341882768821</v>
      </c>
      <c r="HT245" s="201">
        <f t="shared" ca="1" si="879"/>
        <v>167.573032553188</v>
      </c>
      <c r="HU245" s="201">
        <f t="shared" ca="1" si="879"/>
        <v>167.69303383853355</v>
      </c>
      <c r="HV245" s="201">
        <f t="shared" ca="1" si="879"/>
        <v>167.81342393945556</v>
      </c>
      <c r="HW245" s="201">
        <f t="shared" ca="1" si="879"/>
        <v>167.93420411575346</v>
      </c>
      <c r="HX245" s="201">
        <f t="shared" ca="1" si="879"/>
        <v>168.05537563130866</v>
      </c>
      <c r="HY245" s="201">
        <f t="shared" ca="1" si="879"/>
        <v>168.17693975409748</v>
      </c>
      <c r="HZ245" s="201">
        <f t="shared" ca="1" si="879"/>
        <v>168.2988977562047</v>
      </c>
      <c r="IA245" s="201">
        <f t="shared" ca="1" si="879"/>
        <v>168.42125091383679</v>
      </c>
      <c r="IB245" s="201">
        <f t="shared" ca="1" si="879"/>
        <v>168.54400050733528</v>
      </c>
      <c r="IC245" s="201">
        <f t="shared" ca="1" si="879"/>
        <v>168.66714782118999</v>
      </c>
      <c r="ID245" s="201">
        <f t="shared" ca="1" si="879"/>
        <v>168.79069414405274</v>
      </c>
      <c r="IE245" s="201">
        <f t="shared" ca="1" si="879"/>
        <v>168.91464076875064</v>
      </c>
      <c r="IF245" s="201">
        <f t="shared" ca="1" si="879"/>
        <v>169.03898899229978</v>
      </c>
      <c r="IG245" s="201">
        <f t="shared" ca="1" si="879"/>
        <v>169.16374011591853</v>
      </c>
      <c r="IH245" s="201">
        <f t="shared" ca="1" si="879"/>
        <v>169.28889544504148</v>
      </c>
      <c r="II245" s="201">
        <f t="shared" ca="1" si="879"/>
        <v>169.41445628933289</v>
      </c>
      <c r="IJ245" s="201">
        <f t="shared" ca="1" si="879"/>
        <v>169.54042396270046</v>
      </c>
      <c r="IK245" s="201">
        <f t="shared" ca="1" si="879"/>
        <v>84.000000000000014</v>
      </c>
      <c r="IL245" s="201">
        <f t="shared" ca="1" si="879"/>
        <v>84.000000000000014</v>
      </c>
      <c r="IM245" s="201">
        <f t="shared" ca="1" si="879"/>
        <v>84.000000000000014</v>
      </c>
      <c r="IN245" s="201">
        <f t="shared" ca="1" si="879"/>
        <v>84.000000000000014</v>
      </c>
      <c r="IO245" s="201">
        <f t="shared" ca="1" si="879"/>
        <v>84.000000000000014</v>
      </c>
      <c r="IP245" s="201">
        <f t="shared" ca="1" si="879"/>
        <v>84.000000000000014</v>
      </c>
      <c r="IQ245" s="201">
        <f t="shared" ca="1" si="879"/>
        <v>84.000000000000014</v>
      </c>
      <c r="IR245" s="201">
        <f t="shared" ca="1" si="879"/>
        <v>84.000000000000014</v>
      </c>
      <c r="IS245" s="201">
        <f t="shared" ca="1" si="879"/>
        <v>84.000000000000014</v>
      </c>
      <c r="IT245" s="201">
        <f t="shared" ca="1" si="879"/>
        <v>84.000000000000014</v>
      </c>
      <c r="IU245" s="201">
        <f t="shared" ca="1" si="879"/>
        <v>84.000000000000014</v>
      </c>
      <c r="IV245" s="201">
        <f t="shared" ca="1" si="879"/>
        <v>84.000000000000014</v>
      </c>
      <c r="IW245" s="201">
        <f t="shared" ca="1" si="879"/>
        <v>84.000000000000014</v>
      </c>
      <c r="IX245" s="201">
        <f t="shared" ca="1" si="879"/>
        <v>84.000000000000014</v>
      </c>
      <c r="IY245" s="201">
        <f t="shared" ca="1" si="879"/>
        <v>84.000000000000014</v>
      </c>
      <c r="IZ245" s="201">
        <f t="shared" ca="1" si="879"/>
        <v>84.000000000000014</v>
      </c>
      <c r="JA245" s="201">
        <f t="shared" ca="1" si="879"/>
        <v>84.000000000000014</v>
      </c>
      <c r="JB245" s="201">
        <f t="shared" ref="JB245:LM245" ca="1" si="880">JB141*(600/($B$23/12)/1000)+((1+$C$256)^JB$121)*$C$254*600</f>
        <v>84.000000000000014</v>
      </c>
      <c r="JC245" s="201">
        <f t="shared" ca="1" si="880"/>
        <v>84.000000000000014</v>
      </c>
      <c r="JD245" s="201">
        <f t="shared" ca="1" si="880"/>
        <v>84.000000000000014</v>
      </c>
      <c r="JE245" s="201">
        <f t="shared" ca="1" si="880"/>
        <v>84.000000000000014</v>
      </c>
      <c r="JF245" s="201">
        <f t="shared" ca="1" si="880"/>
        <v>84.000000000000014</v>
      </c>
      <c r="JG245" s="201">
        <f t="shared" ca="1" si="880"/>
        <v>84.000000000000014</v>
      </c>
      <c r="JH245" s="201">
        <f t="shared" ca="1" si="880"/>
        <v>84.000000000000014</v>
      </c>
      <c r="JI245" s="201">
        <f t="shared" ca="1" si="880"/>
        <v>84.000000000000014</v>
      </c>
      <c r="JJ245" s="201">
        <f t="shared" ca="1" si="880"/>
        <v>84.000000000000014</v>
      </c>
      <c r="JK245" s="201">
        <f t="shared" ca="1" si="880"/>
        <v>84.000000000000014</v>
      </c>
      <c r="JL245" s="201">
        <f t="shared" ca="1" si="880"/>
        <v>84.000000000000014</v>
      </c>
      <c r="JM245" s="201">
        <f t="shared" ca="1" si="880"/>
        <v>84.000000000000014</v>
      </c>
      <c r="JN245" s="201">
        <f t="shared" ca="1" si="880"/>
        <v>84.000000000000014</v>
      </c>
      <c r="JO245" s="201">
        <f t="shared" ca="1" si="880"/>
        <v>84.000000000000014</v>
      </c>
      <c r="JP245" s="201">
        <f t="shared" ca="1" si="880"/>
        <v>84.000000000000014</v>
      </c>
      <c r="JQ245" s="201">
        <f t="shared" ca="1" si="880"/>
        <v>84.000000000000014</v>
      </c>
      <c r="JR245" s="201">
        <f t="shared" ca="1" si="880"/>
        <v>84.000000000000014</v>
      </c>
      <c r="JS245" s="201">
        <f t="shared" ca="1" si="880"/>
        <v>84.000000000000014</v>
      </c>
      <c r="JT245" s="201">
        <f t="shared" ca="1" si="880"/>
        <v>84.000000000000014</v>
      </c>
      <c r="JU245" s="201">
        <f t="shared" ca="1" si="880"/>
        <v>84.000000000000014</v>
      </c>
      <c r="JV245" s="201">
        <f t="shared" ca="1" si="880"/>
        <v>84.000000000000014</v>
      </c>
      <c r="JW245" s="201">
        <f t="shared" ca="1" si="880"/>
        <v>84.000000000000014</v>
      </c>
      <c r="JX245" s="201">
        <f t="shared" ca="1" si="880"/>
        <v>84.000000000000014</v>
      </c>
      <c r="JY245" s="201">
        <f t="shared" ca="1" si="880"/>
        <v>84.000000000000014</v>
      </c>
      <c r="JZ245" s="201">
        <f t="shared" ca="1" si="880"/>
        <v>84.000000000000014</v>
      </c>
      <c r="KA245" s="201">
        <f t="shared" ca="1" si="880"/>
        <v>84.000000000000014</v>
      </c>
      <c r="KB245" s="201">
        <f t="shared" ca="1" si="880"/>
        <v>84.000000000000014</v>
      </c>
      <c r="KC245" s="201">
        <f t="shared" ca="1" si="880"/>
        <v>84.000000000000014</v>
      </c>
      <c r="KD245" s="201">
        <f t="shared" ca="1" si="880"/>
        <v>84.000000000000014</v>
      </c>
      <c r="KE245" s="201">
        <f t="shared" ca="1" si="880"/>
        <v>84.000000000000014</v>
      </c>
      <c r="KF245" s="201">
        <f t="shared" ca="1" si="880"/>
        <v>84.000000000000014</v>
      </c>
      <c r="KG245" s="201">
        <f t="shared" ca="1" si="880"/>
        <v>84.000000000000014</v>
      </c>
      <c r="KH245" s="201">
        <f t="shared" ca="1" si="880"/>
        <v>84.000000000000014</v>
      </c>
      <c r="KI245" s="201">
        <f t="shared" ca="1" si="880"/>
        <v>84.000000000000014</v>
      </c>
      <c r="KJ245" s="201">
        <f t="shared" ca="1" si="880"/>
        <v>84.000000000000014</v>
      </c>
      <c r="KK245" s="201">
        <f t="shared" ca="1" si="880"/>
        <v>84.000000000000014</v>
      </c>
      <c r="KL245" s="201">
        <f t="shared" ca="1" si="880"/>
        <v>84.000000000000014</v>
      </c>
      <c r="KM245" s="201">
        <f t="shared" ca="1" si="880"/>
        <v>84.000000000000014</v>
      </c>
      <c r="KN245" s="201">
        <f t="shared" ca="1" si="880"/>
        <v>84.000000000000014</v>
      </c>
      <c r="KO245" s="201">
        <f t="shared" ca="1" si="880"/>
        <v>84.000000000000014</v>
      </c>
      <c r="KP245" s="201">
        <f t="shared" ca="1" si="880"/>
        <v>84.000000000000014</v>
      </c>
      <c r="KQ245" s="201">
        <f t="shared" ca="1" si="880"/>
        <v>84.000000000000014</v>
      </c>
      <c r="KR245" s="201">
        <f t="shared" ca="1" si="880"/>
        <v>84.000000000000014</v>
      </c>
      <c r="KS245" s="201">
        <f t="shared" ca="1" si="880"/>
        <v>84.000000000000014</v>
      </c>
      <c r="KT245" s="201">
        <f t="shared" ca="1" si="880"/>
        <v>84.000000000000014</v>
      </c>
      <c r="KU245" s="201">
        <f t="shared" ca="1" si="880"/>
        <v>84.000000000000014</v>
      </c>
      <c r="KV245" s="201">
        <f t="shared" ca="1" si="880"/>
        <v>84.000000000000014</v>
      </c>
      <c r="KW245" s="201">
        <f t="shared" ca="1" si="880"/>
        <v>84.000000000000014</v>
      </c>
      <c r="KX245" s="201">
        <f t="shared" ca="1" si="880"/>
        <v>84.000000000000014</v>
      </c>
      <c r="KY245" s="201">
        <f t="shared" ca="1" si="880"/>
        <v>84.000000000000014</v>
      </c>
      <c r="KZ245" s="201">
        <f t="shared" ca="1" si="880"/>
        <v>84.000000000000014</v>
      </c>
      <c r="LA245" s="201">
        <f t="shared" ca="1" si="880"/>
        <v>84.000000000000014</v>
      </c>
      <c r="LB245" s="201">
        <f t="shared" ca="1" si="880"/>
        <v>84.000000000000014</v>
      </c>
      <c r="LC245" s="201">
        <f t="shared" ca="1" si="880"/>
        <v>84.000000000000014</v>
      </c>
      <c r="LD245" s="201">
        <f t="shared" ca="1" si="880"/>
        <v>84.000000000000014</v>
      </c>
      <c r="LE245" s="201">
        <f t="shared" ca="1" si="880"/>
        <v>84.000000000000014</v>
      </c>
      <c r="LF245" s="201">
        <f t="shared" ca="1" si="880"/>
        <v>84.000000000000014</v>
      </c>
      <c r="LG245" s="201">
        <f t="shared" ca="1" si="880"/>
        <v>84.000000000000014</v>
      </c>
      <c r="LH245" s="201">
        <f t="shared" ca="1" si="880"/>
        <v>84.000000000000014</v>
      </c>
      <c r="LI245" s="201">
        <f t="shared" ca="1" si="880"/>
        <v>84.000000000000014</v>
      </c>
      <c r="LJ245" s="201">
        <f t="shared" ca="1" si="880"/>
        <v>84.000000000000014</v>
      </c>
      <c r="LK245" s="201">
        <f t="shared" ca="1" si="880"/>
        <v>84.000000000000014</v>
      </c>
      <c r="LL245" s="201">
        <f t="shared" ca="1" si="880"/>
        <v>84.000000000000014</v>
      </c>
      <c r="LM245" s="201">
        <f t="shared" ca="1" si="880"/>
        <v>84.000000000000014</v>
      </c>
      <c r="LN245" s="201">
        <f t="shared" ref="LN245:NY245" ca="1" si="881">LN141*(600/($B$23/12)/1000)+((1+$C$256)^LN$121)*$C$254*600</f>
        <v>84.000000000000014</v>
      </c>
      <c r="LO245" s="201">
        <f t="shared" ca="1" si="881"/>
        <v>84.000000000000014</v>
      </c>
      <c r="LP245" s="201">
        <f t="shared" ca="1" si="881"/>
        <v>84.000000000000014</v>
      </c>
      <c r="LQ245" s="201">
        <f t="shared" ca="1" si="881"/>
        <v>84.000000000000014</v>
      </c>
      <c r="LR245" s="201">
        <f t="shared" ca="1" si="881"/>
        <v>84.000000000000014</v>
      </c>
      <c r="LS245" s="201">
        <f t="shared" ca="1" si="881"/>
        <v>84.000000000000014</v>
      </c>
      <c r="LT245" s="201">
        <f t="shared" ca="1" si="881"/>
        <v>84.000000000000014</v>
      </c>
      <c r="LU245" s="201">
        <f t="shared" ca="1" si="881"/>
        <v>84.000000000000014</v>
      </c>
      <c r="LV245" s="201">
        <f t="shared" ca="1" si="881"/>
        <v>84.000000000000014</v>
      </c>
      <c r="LW245" s="201">
        <f t="shared" ca="1" si="881"/>
        <v>84.000000000000014</v>
      </c>
      <c r="LX245" s="201">
        <f t="shared" ca="1" si="881"/>
        <v>84.000000000000014</v>
      </c>
      <c r="LY245" s="201">
        <f t="shared" ca="1" si="881"/>
        <v>84.000000000000014</v>
      </c>
      <c r="LZ245" s="201">
        <f t="shared" ca="1" si="881"/>
        <v>84.000000000000014</v>
      </c>
      <c r="MA245" s="201">
        <f t="shared" ca="1" si="881"/>
        <v>84.000000000000014</v>
      </c>
      <c r="MB245" s="201">
        <f t="shared" ca="1" si="881"/>
        <v>84.000000000000014</v>
      </c>
      <c r="MC245" s="201">
        <f t="shared" ca="1" si="881"/>
        <v>84.000000000000014</v>
      </c>
      <c r="MD245" s="201">
        <f t="shared" ca="1" si="881"/>
        <v>84.000000000000014</v>
      </c>
      <c r="ME245" s="201">
        <f t="shared" ca="1" si="881"/>
        <v>84.000000000000014</v>
      </c>
      <c r="MF245" s="201">
        <f t="shared" ca="1" si="881"/>
        <v>84.000000000000014</v>
      </c>
      <c r="MG245" s="201">
        <f t="shared" ca="1" si="881"/>
        <v>84.000000000000014</v>
      </c>
      <c r="MH245" s="201">
        <f t="shared" ca="1" si="881"/>
        <v>84.000000000000014</v>
      </c>
      <c r="MI245" s="201">
        <f t="shared" ca="1" si="881"/>
        <v>84.000000000000014</v>
      </c>
      <c r="MJ245" s="201">
        <f t="shared" ca="1" si="881"/>
        <v>84.000000000000014</v>
      </c>
      <c r="MK245" s="201">
        <f t="shared" ca="1" si="881"/>
        <v>84.000000000000014</v>
      </c>
      <c r="ML245" s="201">
        <f t="shared" ca="1" si="881"/>
        <v>84.000000000000014</v>
      </c>
      <c r="MM245" s="201">
        <f t="shared" ca="1" si="881"/>
        <v>84.000000000000014</v>
      </c>
      <c r="MN245" s="201">
        <f t="shared" ca="1" si="881"/>
        <v>84.000000000000014</v>
      </c>
      <c r="MO245" s="201">
        <f t="shared" ca="1" si="881"/>
        <v>84.000000000000014</v>
      </c>
      <c r="MP245" s="201">
        <f t="shared" ca="1" si="881"/>
        <v>84.000000000000014</v>
      </c>
      <c r="MQ245" s="201">
        <f t="shared" ca="1" si="881"/>
        <v>84.000000000000014</v>
      </c>
      <c r="MR245" s="201">
        <f t="shared" ca="1" si="881"/>
        <v>84.000000000000014</v>
      </c>
      <c r="MS245" s="201">
        <f t="shared" ca="1" si="881"/>
        <v>84.000000000000014</v>
      </c>
      <c r="MT245" s="201">
        <f t="shared" ca="1" si="881"/>
        <v>84.000000000000014</v>
      </c>
      <c r="MU245" s="201">
        <f t="shared" ca="1" si="881"/>
        <v>84.000000000000014</v>
      </c>
      <c r="MV245" s="201">
        <f t="shared" ca="1" si="881"/>
        <v>84.000000000000014</v>
      </c>
      <c r="MW245" s="201">
        <f t="shared" ca="1" si="881"/>
        <v>84.000000000000014</v>
      </c>
      <c r="MX245" s="201">
        <f t="shared" ca="1" si="881"/>
        <v>84.000000000000014</v>
      </c>
      <c r="MY245" s="201">
        <f t="shared" ca="1" si="881"/>
        <v>84.000000000000014</v>
      </c>
      <c r="MZ245" s="201">
        <f t="shared" ca="1" si="881"/>
        <v>84.000000000000014</v>
      </c>
      <c r="NA245" s="201">
        <f t="shared" ca="1" si="881"/>
        <v>84.000000000000014</v>
      </c>
      <c r="NB245" s="201">
        <f t="shared" ca="1" si="881"/>
        <v>84.000000000000014</v>
      </c>
      <c r="NC245" s="201">
        <f t="shared" ca="1" si="881"/>
        <v>84.000000000000014</v>
      </c>
      <c r="ND245" s="201">
        <f t="shared" ca="1" si="881"/>
        <v>84.000000000000014</v>
      </c>
      <c r="NE245" s="201">
        <f t="shared" ca="1" si="881"/>
        <v>84.000000000000014</v>
      </c>
      <c r="NF245" s="201">
        <f t="shared" ca="1" si="881"/>
        <v>84.000000000000014</v>
      </c>
      <c r="NG245" s="201">
        <f t="shared" ca="1" si="881"/>
        <v>84.000000000000014</v>
      </c>
      <c r="NH245" s="201">
        <f t="shared" ca="1" si="881"/>
        <v>84.000000000000014</v>
      </c>
      <c r="NI245" s="201">
        <f t="shared" ca="1" si="881"/>
        <v>84.000000000000014</v>
      </c>
      <c r="NJ245" s="201">
        <f t="shared" ca="1" si="881"/>
        <v>84.000000000000014</v>
      </c>
      <c r="NK245" s="201">
        <f t="shared" ca="1" si="881"/>
        <v>84.000000000000014</v>
      </c>
      <c r="NL245" s="201">
        <f t="shared" ca="1" si="881"/>
        <v>84.000000000000014</v>
      </c>
      <c r="NM245" s="201">
        <f t="shared" ca="1" si="881"/>
        <v>84.000000000000014</v>
      </c>
      <c r="NN245" s="201">
        <f t="shared" ca="1" si="881"/>
        <v>84.000000000000014</v>
      </c>
      <c r="NO245" s="201">
        <f t="shared" ca="1" si="881"/>
        <v>84.000000000000014</v>
      </c>
      <c r="NP245" s="201">
        <f t="shared" ca="1" si="881"/>
        <v>84.000000000000014</v>
      </c>
      <c r="NQ245" s="201">
        <f t="shared" ca="1" si="881"/>
        <v>84.000000000000014</v>
      </c>
      <c r="NR245" s="201">
        <f t="shared" ca="1" si="881"/>
        <v>84.000000000000014</v>
      </c>
      <c r="NS245" s="201">
        <f t="shared" ca="1" si="881"/>
        <v>84.000000000000014</v>
      </c>
      <c r="NT245" s="201">
        <f t="shared" ca="1" si="881"/>
        <v>84.000000000000014</v>
      </c>
      <c r="NU245" s="201">
        <f t="shared" ca="1" si="881"/>
        <v>84.000000000000014</v>
      </c>
      <c r="NV245" s="201">
        <f t="shared" ca="1" si="881"/>
        <v>84.000000000000014</v>
      </c>
      <c r="NW245" s="201">
        <f t="shared" ca="1" si="881"/>
        <v>84.000000000000014</v>
      </c>
      <c r="NX245" s="201">
        <f t="shared" ca="1" si="881"/>
        <v>84.000000000000014</v>
      </c>
      <c r="NY245" s="201">
        <f t="shared" ca="1" si="881"/>
        <v>84.000000000000014</v>
      </c>
      <c r="NZ245" s="201">
        <f t="shared" ref="NZ245:QK245" ca="1" si="882">NZ141*(600/($B$23/12)/1000)+((1+$C$256)^NZ$121)*$C$254*600</f>
        <v>84.000000000000014</v>
      </c>
      <c r="OA245" s="201">
        <f t="shared" ca="1" si="882"/>
        <v>84.000000000000014</v>
      </c>
      <c r="OB245" s="201">
        <f t="shared" ca="1" si="882"/>
        <v>84.000000000000014</v>
      </c>
      <c r="OC245" s="201">
        <f t="shared" ca="1" si="882"/>
        <v>84.000000000000014</v>
      </c>
      <c r="OD245" s="201">
        <f t="shared" ca="1" si="882"/>
        <v>84.000000000000014</v>
      </c>
      <c r="OE245" s="201">
        <f t="shared" ca="1" si="882"/>
        <v>84.000000000000014</v>
      </c>
      <c r="OF245" s="201">
        <f t="shared" ca="1" si="882"/>
        <v>84.000000000000014</v>
      </c>
      <c r="OG245" s="201">
        <f t="shared" ca="1" si="882"/>
        <v>84.000000000000014</v>
      </c>
      <c r="OH245" s="201">
        <f t="shared" ca="1" si="882"/>
        <v>84.000000000000014</v>
      </c>
      <c r="OI245" s="201">
        <f t="shared" ca="1" si="882"/>
        <v>84.000000000000014</v>
      </c>
      <c r="OJ245" s="201">
        <f t="shared" ca="1" si="882"/>
        <v>84.000000000000014</v>
      </c>
      <c r="OK245" s="201">
        <f t="shared" ca="1" si="882"/>
        <v>84.000000000000014</v>
      </c>
      <c r="OL245" s="201">
        <f t="shared" ca="1" si="882"/>
        <v>84.000000000000014</v>
      </c>
      <c r="OM245" s="201">
        <f t="shared" ca="1" si="882"/>
        <v>84.000000000000014</v>
      </c>
      <c r="ON245" s="201">
        <f t="shared" ca="1" si="882"/>
        <v>84.000000000000014</v>
      </c>
      <c r="OO245" s="201">
        <f t="shared" ca="1" si="882"/>
        <v>84.000000000000014</v>
      </c>
      <c r="OP245" s="201">
        <f t="shared" ca="1" si="882"/>
        <v>84.000000000000014</v>
      </c>
      <c r="OQ245" s="201">
        <f t="shared" ca="1" si="882"/>
        <v>84.000000000000014</v>
      </c>
      <c r="OR245" s="201">
        <f t="shared" ca="1" si="882"/>
        <v>84.000000000000014</v>
      </c>
      <c r="OS245" s="201">
        <f t="shared" ca="1" si="882"/>
        <v>84.000000000000014</v>
      </c>
      <c r="OT245" s="201">
        <f t="shared" ca="1" si="882"/>
        <v>84.000000000000014</v>
      </c>
      <c r="OU245" s="201">
        <f t="shared" ca="1" si="882"/>
        <v>84.000000000000014</v>
      </c>
      <c r="OV245" s="201">
        <f t="shared" ca="1" si="882"/>
        <v>84.000000000000014</v>
      </c>
      <c r="OW245" s="201">
        <f t="shared" ca="1" si="882"/>
        <v>84.000000000000014</v>
      </c>
      <c r="OX245" s="201">
        <f t="shared" ca="1" si="882"/>
        <v>84.000000000000014</v>
      </c>
      <c r="OY245" s="201">
        <f t="shared" ca="1" si="882"/>
        <v>84.000000000000014</v>
      </c>
      <c r="OZ245" s="201">
        <f t="shared" ca="1" si="882"/>
        <v>84.000000000000014</v>
      </c>
      <c r="PA245" s="201">
        <f t="shared" ca="1" si="882"/>
        <v>84.000000000000014</v>
      </c>
      <c r="PB245" s="201">
        <f t="shared" ca="1" si="882"/>
        <v>84.000000000000014</v>
      </c>
      <c r="PC245" s="201">
        <f t="shared" ca="1" si="882"/>
        <v>84.000000000000014</v>
      </c>
      <c r="PD245" s="201">
        <f t="shared" ca="1" si="882"/>
        <v>84.000000000000014</v>
      </c>
      <c r="PE245" s="201">
        <f t="shared" ca="1" si="882"/>
        <v>84.000000000000014</v>
      </c>
      <c r="PF245" s="201">
        <f t="shared" ca="1" si="882"/>
        <v>84.000000000000014</v>
      </c>
      <c r="PG245" s="201">
        <f t="shared" ca="1" si="882"/>
        <v>84.000000000000014</v>
      </c>
      <c r="PH245" s="201">
        <f t="shared" ca="1" si="882"/>
        <v>84.000000000000014</v>
      </c>
      <c r="PI245" s="201">
        <f t="shared" ca="1" si="882"/>
        <v>84.000000000000014</v>
      </c>
      <c r="PJ245" s="201">
        <f t="shared" ca="1" si="882"/>
        <v>84.000000000000014</v>
      </c>
      <c r="PK245" s="201">
        <f t="shared" ca="1" si="882"/>
        <v>84.000000000000014</v>
      </c>
      <c r="PL245" s="201">
        <f t="shared" ca="1" si="882"/>
        <v>84.000000000000014</v>
      </c>
      <c r="PM245" s="201">
        <f t="shared" ca="1" si="882"/>
        <v>84.000000000000014</v>
      </c>
      <c r="PN245" s="201">
        <f t="shared" ca="1" si="882"/>
        <v>84.000000000000014</v>
      </c>
      <c r="PO245" s="201">
        <f t="shared" ca="1" si="882"/>
        <v>84.000000000000014</v>
      </c>
      <c r="PP245" s="201">
        <f t="shared" ca="1" si="882"/>
        <v>84.000000000000014</v>
      </c>
      <c r="PQ245" s="201">
        <f t="shared" ca="1" si="882"/>
        <v>84.000000000000014</v>
      </c>
      <c r="PR245" s="201">
        <f t="shared" ca="1" si="882"/>
        <v>84.000000000000014</v>
      </c>
      <c r="PS245" s="201">
        <f t="shared" ca="1" si="882"/>
        <v>84.000000000000014</v>
      </c>
      <c r="PT245" s="201">
        <f t="shared" ca="1" si="882"/>
        <v>84.000000000000014</v>
      </c>
      <c r="PU245" s="201">
        <f t="shared" ca="1" si="882"/>
        <v>84.000000000000014</v>
      </c>
      <c r="PV245" s="201">
        <f t="shared" ca="1" si="882"/>
        <v>84.000000000000014</v>
      </c>
      <c r="PW245" s="201">
        <f t="shared" ca="1" si="882"/>
        <v>84.000000000000014</v>
      </c>
      <c r="PX245" s="201">
        <f t="shared" ca="1" si="882"/>
        <v>84.000000000000014</v>
      </c>
      <c r="PY245" s="201">
        <f t="shared" ca="1" si="882"/>
        <v>84.000000000000014</v>
      </c>
      <c r="PZ245" s="201">
        <f t="shared" ca="1" si="882"/>
        <v>84.000000000000014</v>
      </c>
      <c r="QA245" s="201">
        <f t="shared" ca="1" si="882"/>
        <v>84.000000000000014</v>
      </c>
      <c r="QB245" s="201">
        <f t="shared" ca="1" si="882"/>
        <v>84.000000000000014</v>
      </c>
      <c r="QC245" s="201">
        <f t="shared" ca="1" si="882"/>
        <v>84.000000000000014</v>
      </c>
      <c r="QD245" s="201">
        <f t="shared" ca="1" si="882"/>
        <v>84.000000000000014</v>
      </c>
      <c r="QE245" s="201">
        <f t="shared" ca="1" si="882"/>
        <v>84.000000000000014</v>
      </c>
      <c r="QF245" s="201">
        <f t="shared" ca="1" si="882"/>
        <v>84.000000000000014</v>
      </c>
      <c r="QG245" s="201">
        <f t="shared" ca="1" si="882"/>
        <v>84.000000000000014</v>
      </c>
      <c r="QH245" s="201">
        <f t="shared" ca="1" si="882"/>
        <v>84.000000000000014</v>
      </c>
      <c r="QI245" s="201">
        <f t="shared" ca="1" si="882"/>
        <v>84.000000000000014</v>
      </c>
      <c r="QJ245" s="201">
        <f t="shared" ca="1" si="882"/>
        <v>84.000000000000014</v>
      </c>
      <c r="QK245" s="201">
        <f t="shared" ca="1" si="882"/>
        <v>84.000000000000014</v>
      </c>
      <c r="QL245" s="201">
        <f t="shared" ref="QL245:RR245" ca="1" si="883">QL141*(600/($B$23/12)/1000)+((1+$C$256)^QL$121)*$C$254*600</f>
        <v>84.000000000000014</v>
      </c>
      <c r="QM245" s="201">
        <f t="shared" ca="1" si="883"/>
        <v>84.000000000000014</v>
      </c>
      <c r="QN245" s="201">
        <f t="shared" ca="1" si="883"/>
        <v>84.000000000000014</v>
      </c>
      <c r="QO245" s="201">
        <f t="shared" ca="1" si="883"/>
        <v>84.000000000000014</v>
      </c>
      <c r="QP245" s="201">
        <f t="shared" ca="1" si="883"/>
        <v>84.000000000000014</v>
      </c>
      <c r="QQ245" s="201">
        <f t="shared" ca="1" si="883"/>
        <v>84.000000000000014</v>
      </c>
      <c r="QR245" s="201">
        <f t="shared" ca="1" si="883"/>
        <v>84.000000000000014</v>
      </c>
      <c r="QS245" s="201">
        <f t="shared" ca="1" si="883"/>
        <v>84.000000000000014</v>
      </c>
      <c r="QT245" s="201">
        <f t="shared" ca="1" si="883"/>
        <v>84.000000000000014</v>
      </c>
      <c r="QU245" s="201">
        <f t="shared" ca="1" si="883"/>
        <v>84.000000000000014</v>
      </c>
      <c r="QV245" s="201">
        <f t="shared" ca="1" si="883"/>
        <v>84.000000000000014</v>
      </c>
      <c r="QW245" s="201">
        <f t="shared" ca="1" si="883"/>
        <v>84.000000000000014</v>
      </c>
      <c r="QX245" s="201">
        <f t="shared" ca="1" si="883"/>
        <v>84.000000000000014</v>
      </c>
      <c r="QY245" s="201">
        <f t="shared" ca="1" si="883"/>
        <v>84.000000000000014</v>
      </c>
      <c r="QZ245" s="201">
        <f t="shared" ca="1" si="883"/>
        <v>84.000000000000014</v>
      </c>
      <c r="RA245" s="201">
        <f t="shared" ca="1" si="883"/>
        <v>84.000000000000014</v>
      </c>
      <c r="RB245" s="201">
        <f t="shared" ca="1" si="883"/>
        <v>84.000000000000014</v>
      </c>
      <c r="RC245" s="201">
        <f t="shared" ca="1" si="883"/>
        <v>84.000000000000014</v>
      </c>
      <c r="RD245" s="201">
        <f t="shared" ca="1" si="883"/>
        <v>84.000000000000014</v>
      </c>
      <c r="RE245" s="201">
        <f t="shared" ca="1" si="883"/>
        <v>84.000000000000014</v>
      </c>
      <c r="RF245" s="201">
        <f t="shared" ca="1" si="883"/>
        <v>84.000000000000014</v>
      </c>
      <c r="RG245" s="201">
        <f t="shared" ca="1" si="883"/>
        <v>84.000000000000014</v>
      </c>
      <c r="RH245" s="201">
        <f t="shared" ca="1" si="883"/>
        <v>84.000000000000014</v>
      </c>
      <c r="RI245" s="201">
        <f t="shared" ca="1" si="883"/>
        <v>84.000000000000014</v>
      </c>
      <c r="RJ245" s="201">
        <f t="shared" ca="1" si="883"/>
        <v>84.000000000000014</v>
      </c>
      <c r="RK245" s="201">
        <f t="shared" ca="1" si="883"/>
        <v>84.000000000000014</v>
      </c>
      <c r="RL245" s="201">
        <f t="shared" ca="1" si="883"/>
        <v>84.000000000000014</v>
      </c>
      <c r="RM245" s="201">
        <f t="shared" ca="1" si="883"/>
        <v>84.000000000000014</v>
      </c>
      <c r="RN245" s="201">
        <f t="shared" ca="1" si="883"/>
        <v>84.000000000000014</v>
      </c>
      <c r="RO245" s="201">
        <f t="shared" ca="1" si="883"/>
        <v>84.000000000000014</v>
      </c>
      <c r="RP245" s="201">
        <f t="shared" ca="1" si="883"/>
        <v>84.000000000000014</v>
      </c>
      <c r="RQ245" s="201">
        <f t="shared" ca="1" si="883"/>
        <v>84.000000000000014</v>
      </c>
      <c r="RR245" s="201">
        <f t="shared" ca="1" si="883"/>
        <v>84.000000000000014</v>
      </c>
      <c r="RS245" s="201"/>
    </row>
    <row r="246" spans="2:487" s="9" customFormat="1">
      <c r="D246" s="9" t="s">
        <v>511</v>
      </c>
      <c r="E246" s="201">
        <f>E245-E244</f>
        <v>0</v>
      </c>
      <c r="F246" s="280">
        <f t="shared" ref="F246:BQ246" ca="1" si="884">F245-F244</f>
        <v>0</v>
      </c>
      <c r="G246" s="280">
        <f t="shared" ca="1" si="884"/>
        <v>0</v>
      </c>
      <c r="H246" s="280">
        <f t="shared" ca="1" si="884"/>
        <v>0</v>
      </c>
      <c r="I246" s="280">
        <f t="shared" ca="1" si="884"/>
        <v>0</v>
      </c>
      <c r="J246" s="280">
        <f t="shared" ca="1" si="884"/>
        <v>0</v>
      </c>
      <c r="K246" s="280">
        <f t="shared" ca="1" si="884"/>
        <v>0</v>
      </c>
      <c r="L246" s="280">
        <f t="shared" ca="1" si="884"/>
        <v>0</v>
      </c>
      <c r="M246" s="280">
        <f t="shared" ca="1" si="884"/>
        <v>0</v>
      </c>
      <c r="N246" s="280">
        <f t="shared" ca="1" si="884"/>
        <v>0</v>
      </c>
      <c r="O246" s="280">
        <f t="shared" ca="1" si="884"/>
        <v>0</v>
      </c>
      <c r="P246" s="280">
        <f t="shared" ca="1" si="884"/>
        <v>0</v>
      </c>
      <c r="Q246" s="280">
        <f t="shared" ca="1" si="884"/>
        <v>0</v>
      </c>
      <c r="R246" s="280">
        <f t="shared" ca="1" si="884"/>
        <v>0</v>
      </c>
      <c r="S246" s="280">
        <f t="shared" ca="1" si="884"/>
        <v>0</v>
      </c>
      <c r="T246" s="280">
        <f t="shared" ca="1" si="884"/>
        <v>0</v>
      </c>
      <c r="U246" s="280">
        <f t="shared" ca="1" si="884"/>
        <v>0</v>
      </c>
      <c r="V246" s="280">
        <f t="shared" ca="1" si="884"/>
        <v>0</v>
      </c>
      <c r="W246" s="280">
        <f t="shared" ca="1" si="884"/>
        <v>0</v>
      </c>
      <c r="X246" s="280">
        <f t="shared" ca="1" si="884"/>
        <v>0</v>
      </c>
      <c r="Y246" s="280">
        <f t="shared" ca="1" si="884"/>
        <v>0</v>
      </c>
      <c r="Z246" s="280">
        <f t="shared" ca="1" si="884"/>
        <v>0</v>
      </c>
      <c r="AA246" s="280">
        <f t="shared" ca="1" si="884"/>
        <v>0</v>
      </c>
      <c r="AB246" s="280">
        <f t="shared" ca="1" si="884"/>
        <v>0</v>
      </c>
      <c r="AC246" s="280">
        <f t="shared" ca="1" si="884"/>
        <v>0</v>
      </c>
      <c r="AD246" s="280">
        <f t="shared" ca="1" si="884"/>
        <v>0</v>
      </c>
      <c r="AE246" s="280">
        <f t="shared" ca="1" si="884"/>
        <v>0</v>
      </c>
      <c r="AF246" s="280">
        <f t="shared" ca="1" si="884"/>
        <v>0</v>
      </c>
      <c r="AG246" s="280">
        <f t="shared" ca="1" si="884"/>
        <v>0</v>
      </c>
      <c r="AH246" s="280">
        <f t="shared" ca="1" si="884"/>
        <v>0</v>
      </c>
      <c r="AI246" s="280">
        <f t="shared" ca="1" si="884"/>
        <v>0</v>
      </c>
      <c r="AJ246" s="280">
        <f t="shared" ca="1" si="884"/>
        <v>0</v>
      </c>
      <c r="AK246" s="280">
        <f t="shared" ca="1" si="884"/>
        <v>0</v>
      </c>
      <c r="AL246" s="280">
        <f t="shared" ca="1" si="884"/>
        <v>0</v>
      </c>
      <c r="AM246" s="280">
        <f t="shared" ca="1" si="884"/>
        <v>0</v>
      </c>
      <c r="AN246" s="280">
        <f t="shared" ca="1" si="884"/>
        <v>0</v>
      </c>
      <c r="AO246" s="280">
        <f t="shared" ca="1" si="884"/>
        <v>0</v>
      </c>
      <c r="AP246" s="280">
        <f t="shared" ca="1" si="884"/>
        <v>0</v>
      </c>
      <c r="AQ246" s="280">
        <f t="shared" ca="1" si="884"/>
        <v>0</v>
      </c>
      <c r="AR246" s="280">
        <f t="shared" ca="1" si="884"/>
        <v>0</v>
      </c>
      <c r="AS246" s="280">
        <f t="shared" ca="1" si="884"/>
        <v>0</v>
      </c>
      <c r="AT246" s="280">
        <f t="shared" ca="1" si="884"/>
        <v>0</v>
      </c>
      <c r="AU246" s="280">
        <f t="shared" ca="1" si="884"/>
        <v>0</v>
      </c>
      <c r="AV246" s="280">
        <f t="shared" ca="1" si="884"/>
        <v>0</v>
      </c>
      <c r="AW246" s="280">
        <f t="shared" ca="1" si="884"/>
        <v>0</v>
      </c>
      <c r="AX246" s="280">
        <f t="shared" ca="1" si="884"/>
        <v>0</v>
      </c>
      <c r="AY246" s="280">
        <f t="shared" ca="1" si="884"/>
        <v>0</v>
      </c>
      <c r="AZ246" s="280">
        <f t="shared" ca="1" si="884"/>
        <v>0</v>
      </c>
      <c r="BA246" s="280">
        <f t="shared" ca="1" si="884"/>
        <v>0</v>
      </c>
      <c r="BB246" s="280">
        <f t="shared" ca="1" si="884"/>
        <v>0</v>
      </c>
      <c r="BC246" s="280">
        <f t="shared" ca="1" si="884"/>
        <v>0</v>
      </c>
      <c r="BD246" s="280">
        <f t="shared" ca="1" si="884"/>
        <v>0</v>
      </c>
      <c r="BE246" s="280">
        <f t="shared" ca="1" si="884"/>
        <v>0</v>
      </c>
      <c r="BF246" s="280">
        <f t="shared" ca="1" si="884"/>
        <v>0</v>
      </c>
      <c r="BG246" s="280">
        <f t="shared" ca="1" si="884"/>
        <v>0</v>
      </c>
      <c r="BH246" s="280">
        <f t="shared" ca="1" si="884"/>
        <v>0</v>
      </c>
      <c r="BI246" s="280">
        <f t="shared" ca="1" si="884"/>
        <v>0</v>
      </c>
      <c r="BJ246" s="280">
        <f t="shared" ca="1" si="884"/>
        <v>0</v>
      </c>
      <c r="BK246" s="280">
        <f t="shared" ca="1" si="884"/>
        <v>0</v>
      </c>
      <c r="BL246" s="280">
        <f t="shared" ca="1" si="884"/>
        <v>0</v>
      </c>
      <c r="BM246" s="280">
        <f t="shared" ca="1" si="884"/>
        <v>-25.523706682933692</v>
      </c>
      <c r="BN246" s="280">
        <f t="shared" ca="1" si="884"/>
        <v>-25.630399024556453</v>
      </c>
      <c r="BO246" s="280">
        <f t="shared" ca="1" si="884"/>
        <v>-25.73743704285522</v>
      </c>
      <c r="BP246" s="280">
        <f t="shared" ca="1" si="884"/>
        <v>-25.844821857801321</v>
      </c>
      <c r="BQ246" s="280">
        <f t="shared" ca="1" si="884"/>
        <v>-25.952554592994773</v>
      </c>
      <c r="BR246" s="280">
        <f t="shared" ref="BR246:EC246" ca="1" si="885">BR245-BR244</f>
        <v>-26.06063637567587</v>
      </c>
      <c r="BS246" s="280">
        <f t="shared" ca="1" si="885"/>
        <v>-26.169068336737212</v>
      </c>
      <c r="BT246" s="280">
        <f t="shared" ca="1" si="885"/>
        <v>-26.277851610735439</v>
      </c>
      <c r="BU246" s="280">
        <f t="shared" ca="1" si="885"/>
        <v>-26.386987335902916</v>
      </c>
      <c r="BV246" s="280">
        <f t="shared" ca="1" si="885"/>
        <v>-26.496476654160062</v>
      </c>
      <c r="BW246" s="280">
        <f t="shared" ca="1" si="885"/>
        <v>-26.606320711126784</v>
      </c>
      <c r="BX246" s="280">
        <f t="shared" ca="1" si="885"/>
        <v>-26.716520656134833</v>
      </c>
      <c r="BY246" s="280">
        <f t="shared" ca="1" si="885"/>
        <v>-26.827077642239885</v>
      </c>
      <c r="BZ246" s="280">
        <f t="shared" ca="1" si="885"/>
        <v>-26.937992826233227</v>
      </c>
      <c r="CA246" s="280">
        <f t="shared" ca="1" si="885"/>
        <v>-27.049267368654114</v>
      </c>
      <c r="CB246" s="280">
        <f t="shared" ca="1" si="885"/>
        <v>-27.160902433801994</v>
      </c>
      <c r="CC246" s="280">
        <f t="shared" ca="1" si="885"/>
        <v>-27.272899189748443</v>
      </c>
      <c r="CD246" s="280">
        <f t="shared" ca="1" si="885"/>
        <v>-27.38525880834959</v>
      </c>
      <c r="CE246" s="280">
        <f t="shared" ca="1" si="885"/>
        <v>-27.497982465258332</v>
      </c>
      <c r="CF246" s="280">
        <f t="shared" ca="1" si="885"/>
        <v>-27.611071339936501</v>
      </c>
      <c r="CG246" s="280">
        <f t="shared" ca="1" si="885"/>
        <v>-27.724526615667429</v>
      </c>
      <c r="CH246" s="280">
        <f t="shared" ca="1" si="885"/>
        <v>-27.838349479568137</v>
      </c>
      <c r="CI246" s="280">
        <f t="shared" ca="1" si="885"/>
        <v>-27.952541122601929</v>
      </c>
      <c r="CJ246" s="280">
        <f t="shared" ca="1" si="885"/>
        <v>-28.067102739590609</v>
      </c>
      <c r="CK246" s="280">
        <f t="shared" ca="1" si="885"/>
        <v>-28.182035529227278</v>
      </c>
      <c r="CL246" s="280">
        <f t="shared" ca="1" si="885"/>
        <v>-28.297340694088604</v>
      </c>
      <c r="CM246" s="280">
        <f t="shared" ca="1" si="885"/>
        <v>-28.413019440647588</v>
      </c>
      <c r="CN246" s="280">
        <f t="shared" ca="1" si="885"/>
        <v>-28.529072979286184</v>
      </c>
      <c r="CO246" s="280">
        <f t="shared" ca="1" si="885"/>
        <v>-28.645502524307858</v>
      </c>
      <c r="CP246" s="280">
        <f t="shared" ca="1" si="885"/>
        <v>-28.762309293950238</v>
      </c>
      <c r="CQ246" s="280">
        <f t="shared" ca="1" si="885"/>
        <v>-28.879494510398217</v>
      </c>
      <c r="CR246" s="280">
        <f t="shared" ca="1" si="885"/>
        <v>-28.997059399796314</v>
      </c>
      <c r="CS246" s="280">
        <f t="shared" ca="1" si="885"/>
        <v>-29.115005192261606</v>
      </c>
      <c r="CT246" s="280">
        <f t="shared" ca="1" si="885"/>
        <v>-29.233333121896919</v>
      </c>
      <c r="CU246" s="280">
        <f t="shared" ca="1" si="885"/>
        <v>-29.352044426803303</v>
      </c>
      <c r="CV246" s="280">
        <f t="shared" ca="1" si="885"/>
        <v>-29.471140349093218</v>
      </c>
      <c r="CW246" s="280">
        <f t="shared" ca="1" si="885"/>
        <v>-29.590622134903583</v>
      </c>
      <c r="CX246" s="280">
        <f t="shared" ca="1" si="885"/>
        <v>-29.710491034408591</v>
      </c>
      <c r="CY246" s="280">
        <f t="shared" ca="1" si="885"/>
        <v>-29.830748301833012</v>
      </c>
      <c r="CZ246" s="280">
        <f t="shared" ca="1" si="885"/>
        <v>-29.951395195465182</v>
      </c>
      <c r="DA246" s="280">
        <f t="shared" ca="1" si="885"/>
        <v>-30.072432977670303</v>
      </c>
      <c r="DB246" s="280">
        <f t="shared" ca="1" si="885"/>
        <v>-30.193862914903434</v>
      </c>
      <c r="DC246" s="280">
        <f t="shared" ca="1" si="885"/>
        <v>-30.315686277722961</v>
      </c>
      <c r="DD246" s="280">
        <f t="shared" ca="1" si="885"/>
        <v>-30.437904340803726</v>
      </c>
      <c r="DE246" s="280">
        <f t="shared" ca="1" si="885"/>
        <v>-30.560518382950562</v>
      </c>
      <c r="DF246" s="280">
        <f t="shared" ca="1" si="885"/>
        <v>-30.683529687111417</v>
      </c>
      <c r="DG246" s="280">
        <f t="shared" ca="1" si="885"/>
        <v>-30.806939540390999</v>
      </c>
      <c r="DH246" s="280">
        <f t="shared" ca="1" si="885"/>
        <v>-30.930749234064109</v>
      </c>
      <c r="DI246" s="280">
        <f t="shared" ca="1" si="885"/>
        <v>-31.054960063589249</v>
      </c>
      <c r="DJ246" s="280">
        <f t="shared" ca="1" si="885"/>
        <v>-31.17957332862207</v>
      </c>
      <c r="DK246" s="280">
        <f t="shared" ca="1" si="885"/>
        <v>-31.304590333029068</v>
      </c>
      <c r="DL246" s="280">
        <f t="shared" ca="1" si="885"/>
        <v>-31.430012384901261</v>
      </c>
      <c r="DM246" s="280">
        <f t="shared" ca="1" si="885"/>
        <v>-31.555840796567566</v>
      </c>
      <c r="DN246" s="280">
        <f t="shared" ca="1" si="885"/>
        <v>-31.682076884608989</v>
      </c>
      <c r="DO246" s="280">
        <f t="shared" ca="1" si="885"/>
        <v>-31.808721969872124</v>
      </c>
      <c r="DP246" s="280">
        <f t="shared" ca="1" si="885"/>
        <v>-31.935777377482935</v>
      </c>
      <c r="DQ246" s="280">
        <f t="shared" ca="1" si="885"/>
        <v>-32.063244436860856</v>
      </c>
      <c r="DR246" s="280">
        <f t="shared" ca="1" si="885"/>
        <v>-32.191124481732544</v>
      </c>
      <c r="DS246" s="280">
        <f t="shared" ca="1" si="885"/>
        <v>-32.31941885014561</v>
      </c>
      <c r="DT246" s="280">
        <f t="shared" ca="1" si="885"/>
        <v>-32.448128884483225</v>
      </c>
      <c r="DU246" s="280">
        <f t="shared" ca="1" si="885"/>
        <v>-32.577255931477538</v>
      </c>
      <c r="DV246" s="280">
        <f t="shared" ca="1" si="885"/>
        <v>-32.706801342224139</v>
      </c>
      <c r="DW246" s="280">
        <f t="shared" ca="1" si="885"/>
        <v>-32.836766472196018</v>
      </c>
      <c r="DX246" s="280">
        <f t="shared" ca="1" si="885"/>
        <v>-32.967152681257858</v>
      </c>
      <c r="DY246" s="280">
        <f t="shared" ca="1" si="885"/>
        <v>-33.097961333680246</v>
      </c>
      <c r="DZ246" s="280">
        <f t="shared" ca="1" si="885"/>
        <v>-33.229193798153801</v>
      </c>
      <c r="EA246" s="280">
        <f t="shared" ca="1" si="885"/>
        <v>-33.36085144780381</v>
      </c>
      <c r="EB246" s="280">
        <f t="shared" ca="1" si="885"/>
        <v>-33.492935660204239</v>
      </c>
      <c r="EC246" s="280">
        <f t="shared" ca="1" si="885"/>
        <v>-33.62544781739237</v>
      </c>
      <c r="ED246" s="280">
        <f t="shared" ref="ED246:GO246" ca="1" si="886">ED245-ED244</f>
        <v>-33.758389305883242</v>
      </c>
      <c r="EE246" s="280">
        <f t="shared" ca="1" si="886"/>
        <v>-33.891761516684028</v>
      </c>
      <c r="EF246" s="280">
        <f t="shared" ca="1" si="886"/>
        <v>-34.025565845308677</v>
      </c>
      <c r="EG246" s="280">
        <f t="shared" ca="1" si="886"/>
        <v>-34.159803691792689</v>
      </c>
      <c r="EH246" s="280">
        <f t="shared" ca="1" si="886"/>
        <v>-34.294476460707358</v>
      </c>
      <c r="EI246" s="280">
        <f t="shared" ca="1" si="886"/>
        <v>-34.429585561174918</v>
      </c>
      <c r="EJ246" s="280">
        <f t="shared" ca="1" si="886"/>
        <v>-34.565132406882867</v>
      </c>
      <c r="EK246" s="280">
        <f t="shared" ca="1" si="886"/>
        <v>-34.701118416099177</v>
      </c>
      <c r="EL246" s="280">
        <f t="shared" ca="1" si="886"/>
        <v>-34.837545011686728</v>
      </c>
      <c r="EM246" s="280">
        <f t="shared" ca="1" si="886"/>
        <v>-34.974413621118487</v>
      </c>
      <c r="EN246" s="280">
        <f t="shared" ca="1" si="886"/>
        <v>-35.111725676492398</v>
      </c>
      <c r="EO246" s="280">
        <f t="shared" ca="1" si="886"/>
        <v>-35.249482614546167</v>
      </c>
      <c r="EP246" s="280">
        <f t="shared" ca="1" si="886"/>
        <v>-35.387685876672549</v>
      </c>
      <c r="EQ246" s="280">
        <f t="shared" ca="1" si="886"/>
        <v>-35.526336908934383</v>
      </c>
      <c r="ER246" s="280">
        <f t="shared" ca="1" si="886"/>
        <v>-35.665437162079456</v>
      </c>
      <c r="ES246" s="280">
        <f t="shared" ca="1" si="886"/>
        <v>-35.804988091556083</v>
      </c>
      <c r="ET246" s="280">
        <f t="shared" ca="1" si="886"/>
        <v>-35.944991157528079</v>
      </c>
      <c r="EU246" s="280">
        <f t="shared" ca="1" si="886"/>
        <v>-36.085447824890053</v>
      </c>
      <c r="EV246" s="280">
        <f t="shared" ca="1" si="886"/>
        <v>-36.22635956328287</v>
      </c>
      <c r="EW246" s="280">
        <f t="shared" ca="1" si="886"/>
        <v>-36.367727847108881</v>
      </c>
      <c r="EX246" s="280">
        <f t="shared" ca="1" si="886"/>
        <v>-36.509554155547391</v>
      </c>
      <c r="EY246" s="280">
        <f t="shared" ca="1" si="886"/>
        <v>-36.65183997257023</v>
      </c>
      <c r="EZ246" s="280">
        <f t="shared" ca="1" si="886"/>
        <v>-36.794586786957183</v>
      </c>
      <c r="FA246" s="280">
        <f t="shared" ca="1" si="886"/>
        <v>-36.937796092311544</v>
      </c>
      <c r="FB246" s="280">
        <f t="shared" ca="1" si="886"/>
        <v>-37.081469387075799</v>
      </c>
      <c r="FC246" s="280">
        <f t="shared" ca="1" si="886"/>
        <v>-37.225608174547432</v>
      </c>
      <c r="FD246" s="280">
        <f t="shared" ca="1" si="886"/>
        <v>-37.370213962894269</v>
      </c>
      <c r="FE246" s="280">
        <f t="shared" ca="1" si="886"/>
        <v>-37.515288265170739</v>
      </c>
      <c r="FF246" s="280">
        <f t="shared" ca="1" si="886"/>
        <v>-37.660832599333304</v>
      </c>
      <c r="FG246" s="280">
        <f t="shared" ca="1" si="886"/>
        <v>-37.806848488256634</v>
      </c>
      <c r="FH246" s="280">
        <f t="shared" ca="1" si="886"/>
        <v>-37.953337459749406</v>
      </c>
      <c r="FI246" s="280">
        <f t="shared" ca="1" si="886"/>
        <v>-38.100301046570223</v>
      </c>
      <c r="FJ246" s="280">
        <f t="shared" ca="1" si="886"/>
        <v>-38.247740786443785</v>
      </c>
      <c r="FK246" s="280">
        <f t="shared" ca="1" si="886"/>
        <v>-38.395658222076946</v>
      </c>
      <c r="FL246" s="280">
        <f t="shared" ca="1" si="886"/>
        <v>-38.54405490117486</v>
      </c>
      <c r="FM246" s="280">
        <f t="shared" ca="1" si="886"/>
        <v>-38.692932376457009</v>
      </c>
      <c r="FN246" s="280">
        <f t="shared" ca="1" si="886"/>
        <v>-38.842292205673687</v>
      </c>
      <c r="FO246" s="280">
        <f t="shared" ca="1" si="886"/>
        <v>-38.992135951622288</v>
      </c>
      <c r="FP246" s="280">
        <f t="shared" ca="1" si="886"/>
        <v>-39.14246518216342</v>
      </c>
      <c r="FQ246" s="280">
        <f t="shared" ca="1" si="886"/>
        <v>-39.293281470237616</v>
      </c>
      <c r="FR246" s="280">
        <f t="shared" ca="1" si="886"/>
        <v>-39.444586393881423</v>
      </c>
      <c r="FS246" s="280">
        <f t="shared" ca="1" si="886"/>
        <v>-39.596381536244422</v>
      </c>
      <c r="FT246" s="280">
        <f t="shared" ca="1" si="886"/>
        <v>-39.748668485605236</v>
      </c>
      <c r="FU246" s="280">
        <f t="shared" ca="1" si="886"/>
        <v>-39.901448835388578</v>
      </c>
      <c r="FV246" s="280">
        <f t="shared" ca="1" si="886"/>
        <v>-40.054724184181651</v>
      </c>
      <c r="FW246" s="280">
        <f t="shared" ca="1" si="886"/>
        <v>-40.208496135751091</v>
      </c>
      <c r="FX246" s="280">
        <f t="shared" ca="1" si="886"/>
        <v>-40.362766299059558</v>
      </c>
      <c r="FY246" s="280">
        <f t="shared" ca="1" si="886"/>
        <v>-40.517536288282713</v>
      </c>
      <c r="FZ246" s="280">
        <f t="shared" ca="1" si="886"/>
        <v>-40.672807722825951</v>
      </c>
      <c r="GA246" s="280">
        <f t="shared" ca="1" si="886"/>
        <v>-40.828582227341542</v>
      </c>
      <c r="GB246" s="280">
        <f t="shared" ca="1" si="886"/>
        <v>-40.984861431745543</v>
      </c>
      <c r="GC246" s="280">
        <f t="shared" ca="1" si="886"/>
        <v>-41.141646971234763</v>
      </c>
      <c r="GD246" s="280">
        <f t="shared" ca="1" si="886"/>
        <v>-41.298940486303877</v>
      </c>
      <c r="GE246" s="280">
        <f t="shared" ca="1" si="886"/>
        <v>-41.4567436227629</v>
      </c>
      <c r="GF246" s="280">
        <f t="shared" ca="1" si="886"/>
        <v>-41.615058031753961</v>
      </c>
      <c r="GG246" s="280">
        <f t="shared" ca="1" si="886"/>
        <v>-41.773885369768891</v>
      </c>
      <c r="GH246" s="280">
        <f t="shared" ca="1" si="886"/>
        <v>-41.933227298666395</v>
      </c>
      <c r="GI246" s="280">
        <f t="shared" ca="1" si="886"/>
        <v>-42.093085485689556</v>
      </c>
      <c r="GJ246" s="280">
        <f t="shared" ca="1" si="886"/>
        <v>-42.253461603483203</v>
      </c>
      <c r="GK246" s="280">
        <f t="shared" ca="1" si="886"/>
        <v>-42.414357330111386</v>
      </c>
      <c r="GL246" s="280">
        <f t="shared" ca="1" si="886"/>
        <v>-42.575774349075033</v>
      </c>
      <c r="GM246" s="280">
        <f t="shared" ca="1" si="886"/>
        <v>-42.737714349329508</v>
      </c>
      <c r="GN246" s="280">
        <f t="shared" ca="1" si="886"/>
        <v>-42.900179025302236</v>
      </c>
      <c r="GO246" s="280">
        <f t="shared" ca="1" si="886"/>
        <v>-43.063170076910552</v>
      </c>
      <c r="GP246" s="280">
        <f t="shared" ref="GP246:JA246" ca="1" si="887">GP245-GP244</f>
        <v>-43.226689209579433</v>
      </c>
      <c r="GQ246" s="280">
        <f t="shared" ca="1" si="887"/>
        <v>-43.390738134259237</v>
      </c>
      <c r="GR246" s="280">
        <f t="shared" ca="1" si="887"/>
        <v>-43.555318567443749</v>
      </c>
      <c r="GS246" s="280">
        <f t="shared" ca="1" si="887"/>
        <v>-43.720432231188056</v>
      </c>
      <c r="GT246" s="280">
        <f t="shared" ca="1" si="887"/>
        <v>-43.886080853126714</v>
      </c>
      <c r="GU246" s="280">
        <f t="shared" ca="1" si="887"/>
        <v>-44.052266166491563</v>
      </c>
      <c r="GV246" s="280">
        <f t="shared" ca="1" si="887"/>
        <v>-44.218989910130091</v>
      </c>
      <c r="GW246" s="280">
        <f t="shared" ca="1" si="887"/>
        <v>-44.386253828523479</v>
      </c>
      <c r="GX246" s="280">
        <f t="shared" ca="1" si="887"/>
        <v>-44.554059671805021</v>
      </c>
      <c r="GY246" s="280">
        <f t="shared" ca="1" si="887"/>
        <v>-44.722409195778255</v>
      </c>
      <c r="GZ246" s="280">
        <f t="shared" ca="1" si="887"/>
        <v>-44.891304161935437</v>
      </c>
      <c r="HA246" s="280">
        <f t="shared" ca="1" si="887"/>
        <v>-45.06074633747599</v>
      </c>
      <c r="HB246" s="280">
        <f t="shared" ca="1" si="887"/>
        <v>-45.230737495324917</v>
      </c>
      <c r="HC246" s="280">
        <f t="shared" ca="1" si="887"/>
        <v>-45.401279414151333</v>
      </c>
      <c r="HD246" s="280">
        <f t="shared" ca="1" si="887"/>
        <v>-45.572373878387282</v>
      </c>
      <c r="HE246" s="280">
        <f t="shared" ca="1" si="887"/>
        <v>-45.744022678246068</v>
      </c>
      <c r="HF246" s="280">
        <f t="shared" ca="1" si="887"/>
        <v>-45.916227609741355</v>
      </c>
      <c r="HG246" s="280">
        <f t="shared" ca="1" si="887"/>
        <v>-46.088990474705668</v>
      </c>
      <c r="HH246" s="280">
        <f t="shared" ca="1" si="887"/>
        <v>-46.262313080809434</v>
      </c>
      <c r="HI246" s="280">
        <f t="shared" ca="1" si="887"/>
        <v>-46.43619724157972</v>
      </c>
      <c r="HJ246" s="280">
        <f t="shared" ca="1" si="887"/>
        <v>-46.610644776419406</v>
      </c>
      <c r="HK246" s="280">
        <f t="shared" ca="1" si="887"/>
        <v>-46.785657510626152</v>
      </c>
      <c r="HL246" s="280">
        <f t="shared" ca="1" si="887"/>
        <v>-46.961237275411293</v>
      </c>
      <c r="HM246" s="280">
        <f t="shared" ca="1" si="887"/>
        <v>-47.137385907919452</v>
      </c>
      <c r="HN246" s="280">
        <f t="shared" ca="1" si="887"/>
        <v>-47.314105251247156</v>
      </c>
      <c r="HO246" s="280">
        <f t="shared" ca="1" si="887"/>
        <v>-47.491397154462845</v>
      </c>
      <c r="HP246" s="280">
        <f t="shared" ca="1" si="887"/>
        <v>-47.669263472625346</v>
      </c>
      <c r="HQ246" s="280">
        <f t="shared" ca="1" si="887"/>
        <v>-47.84770606680425</v>
      </c>
      <c r="HR246" s="280">
        <f t="shared" ca="1" si="887"/>
        <v>-48.026726804098587</v>
      </c>
      <c r="HS246" s="280">
        <f t="shared" ca="1" si="887"/>
        <v>-48.206327557656778</v>
      </c>
      <c r="HT246" s="280">
        <f t="shared" ca="1" si="887"/>
        <v>-48.38651020669613</v>
      </c>
      <c r="HU246" s="280">
        <f t="shared" ca="1" si="887"/>
        <v>-48.567276636522479</v>
      </c>
      <c r="HV246" s="280">
        <f t="shared" ca="1" si="887"/>
        <v>-48.748628738549996</v>
      </c>
      <c r="HW246" s="280">
        <f t="shared" ca="1" si="887"/>
        <v>-48.930568410320802</v>
      </c>
      <c r="HX246" s="280">
        <f t="shared" ca="1" si="887"/>
        <v>-49.113097555524973</v>
      </c>
      <c r="HY246" s="280">
        <f t="shared" ca="1" si="887"/>
        <v>-49.296218084020552</v>
      </c>
      <c r="HZ246" s="280">
        <f t="shared" ca="1" si="887"/>
        <v>-49.479931911853242</v>
      </c>
      <c r="IA246" s="280">
        <f t="shared" ca="1" si="887"/>
        <v>-49.664240961276789</v>
      </c>
      <c r="IB246" s="280">
        <f t="shared" ca="1" si="887"/>
        <v>-49.849147160772645</v>
      </c>
      <c r="IC246" s="280">
        <f t="shared" ca="1" si="887"/>
        <v>-50.034652445070776</v>
      </c>
      <c r="ID246" s="280">
        <f t="shared" ca="1" si="887"/>
        <v>-50.2207587551693</v>
      </c>
      <c r="IE246" s="280">
        <f t="shared" ca="1" si="887"/>
        <v>-50.407468038355148</v>
      </c>
      <c r="IF246" s="280">
        <f t="shared" ca="1" si="887"/>
        <v>-50.594782248224249</v>
      </c>
      <c r="IG246" s="280">
        <f t="shared" ca="1" si="887"/>
        <v>-50.78270334470227</v>
      </c>
      <c r="IH246" s="280">
        <f t="shared" ca="1" si="887"/>
        <v>-50.971233294064689</v>
      </c>
      <c r="II246" s="280">
        <f t="shared" ca="1" si="887"/>
        <v>-51.160374068957736</v>
      </c>
      <c r="IJ246" s="280">
        <f t="shared" ca="1" si="887"/>
        <v>-51.350127648418834</v>
      </c>
      <c r="IK246" s="280">
        <f t="shared" ca="1" si="887"/>
        <v>0</v>
      </c>
      <c r="IL246" s="280">
        <f t="shared" ca="1" si="887"/>
        <v>0</v>
      </c>
      <c r="IM246" s="280">
        <f t="shared" ca="1" si="887"/>
        <v>0</v>
      </c>
      <c r="IN246" s="280">
        <f t="shared" ca="1" si="887"/>
        <v>0</v>
      </c>
      <c r="IO246" s="280">
        <f t="shared" ca="1" si="887"/>
        <v>0</v>
      </c>
      <c r="IP246" s="280">
        <f t="shared" ca="1" si="887"/>
        <v>0</v>
      </c>
      <c r="IQ246" s="280">
        <f t="shared" ca="1" si="887"/>
        <v>0</v>
      </c>
      <c r="IR246" s="280">
        <f t="shared" ca="1" si="887"/>
        <v>0</v>
      </c>
      <c r="IS246" s="280">
        <f t="shared" ca="1" si="887"/>
        <v>0</v>
      </c>
      <c r="IT246" s="280">
        <f t="shared" ca="1" si="887"/>
        <v>0</v>
      </c>
      <c r="IU246" s="280">
        <f t="shared" ca="1" si="887"/>
        <v>0</v>
      </c>
      <c r="IV246" s="280">
        <f t="shared" ca="1" si="887"/>
        <v>0</v>
      </c>
      <c r="IW246" s="280">
        <f t="shared" ca="1" si="887"/>
        <v>0</v>
      </c>
      <c r="IX246" s="280">
        <f t="shared" ca="1" si="887"/>
        <v>0</v>
      </c>
      <c r="IY246" s="280">
        <f t="shared" ca="1" si="887"/>
        <v>0</v>
      </c>
      <c r="IZ246" s="280">
        <f t="shared" ca="1" si="887"/>
        <v>0</v>
      </c>
      <c r="JA246" s="280">
        <f t="shared" ca="1" si="887"/>
        <v>0</v>
      </c>
      <c r="JB246" s="280">
        <f t="shared" ref="JB246:LM246" ca="1" si="888">JB245-JB244</f>
        <v>0</v>
      </c>
      <c r="JC246" s="280">
        <f t="shared" ca="1" si="888"/>
        <v>0</v>
      </c>
      <c r="JD246" s="280">
        <f t="shared" ca="1" si="888"/>
        <v>0</v>
      </c>
      <c r="JE246" s="280">
        <f t="shared" ca="1" si="888"/>
        <v>0</v>
      </c>
      <c r="JF246" s="280">
        <f t="shared" ca="1" si="888"/>
        <v>0</v>
      </c>
      <c r="JG246" s="280">
        <f t="shared" ca="1" si="888"/>
        <v>0</v>
      </c>
      <c r="JH246" s="280">
        <f t="shared" ca="1" si="888"/>
        <v>0</v>
      </c>
      <c r="JI246" s="280">
        <f t="shared" ca="1" si="888"/>
        <v>0</v>
      </c>
      <c r="JJ246" s="280">
        <f t="shared" ca="1" si="888"/>
        <v>0</v>
      </c>
      <c r="JK246" s="280">
        <f t="shared" ca="1" si="888"/>
        <v>0</v>
      </c>
      <c r="JL246" s="280">
        <f t="shared" ca="1" si="888"/>
        <v>0</v>
      </c>
      <c r="JM246" s="280">
        <f t="shared" ca="1" si="888"/>
        <v>0</v>
      </c>
      <c r="JN246" s="280">
        <f t="shared" ca="1" si="888"/>
        <v>0</v>
      </c>
      <c r="JO246" s="280">
        <f t="shared" ca="1" si="888"/>
        <v>0</v>
      </c>
      <c r="JP246" s="280">
        <f t="shared" ca="1" si="888"/>
        <v>0</v>
      </c>
      <c r="JQ246" s="280">
        <f t="shared" ca="1" si="888"/>
        <v>0</v>
      </c>
      <c r="JR246" s="280">
        <f t="shared" ca="1" si="888"/>
        <v>0</v>
      </c>
      <c r="JS246" s="280">
        <f t="shared" ca="1" si="888"/>
        <v>0</v>
      </c>
      <c r="JT246" s="280">
        <f t="shared" ca="1" si="888"/>
        <v>0</v>
      </c>
      <c r="JU246" s="280">
        <f t="shared" ca="1" si="888"/>
        <v>0</v>
      </c>
      <c r="JV246" s="280">
        <f t="shared" ca="1" si="888"/>
        <v>0</v>
      </c>
      <c r="JW246" s="280">
        <f t="shared" ca="1" si="888"/>
        <v>0</v>
      </c>
      <c r="JX246" s="280">
        <f t="shared" ca="1" si="888"/>
        <v>0</v>
      </c>
      <c r="JY246" s="280">
        <f t="shared" ca="1" si="888"/>
        <v>0</v>
      </c>
      <c r="JZ246" s="280">
        <f t="shared" ca="1" si="888"/>
        <v>0</v>
      </c>
      <c r="KA246" s="280">
        <f t="shared" ca="1" si="888"/>
        <v>0</v>
      </c>
      <c r="KB246" s="280">
        <f t="shared" ca="1" si="888"/>
        <v>0</v>
      </c>
      <c r="KC246" s="280">
        <f t="shared" ca="1" si="888"/>
        <v>0</v>
      </c>
      <c r="KD246" s="280">
        <f t="shared" ca="1" si="888"/>
        <v>0</v>
      </c>
      <c r="KE246" s="280">
        <f t="shared" ca="1" si="888"/>
        <v>0</v>
      </c>
      <c r="KF246" s="280">
        <f t="shared" ca="1" si="888"/>
        <v>0</v>
      </c>
      <c r="KG246" s="280">
        <f t="shared" ca="1" si="888"/>
        <v>0</v>
      </c>
      <c r="KH246" s="280">
        <f t="shared" ca="1" si="888"/>
        <v>0</v>
      </c>
      <c r="KI246" s="280">
        <f t="shared" ca="1" si="888"/>
        <v>0</v>
      </c>
      <c r="KJ246" s="280">
        <f t="shared" ca="1" si="888"/>
        <v>0</v>
      </c>
      <c r="KK246" s="280">
        <f t="shared" ca="1" si="888"/>
        <v>0</v>
      </c>
      <c r="KL246" s="280">
        <f t="shared" ca="1" si="888"/>
        <v>0</v>
      </c>
      <c r="KM246" s="280">
        <f t="shared" ca="1" si="888"/>
        <v>0</v>
      </c>
      <c r="KN246" s="280">
        <f t="shared" ca="1" si="888"/>
        <v>0</v>
      </c>
      <c r="KO246" s="280">
        <f t="shared" ca="1" si="888"/>
        <v>0</v>
      </c>
      <c r="KP246" s="280">
        <f t="shared" ca="1" si="888"/>
        <v>0</v>
      </c>
      <c r="KQ246" s="280">
        <f t="shared" ca="1" si="888"/>
        <v>0</v>
      </c>
      <c r="KR246" s="280">
        <f t="shared" ca="1" si="888"/>
        <v>0</v>
      </c>
      <c r="KS246" s="280">
        <f t="shared" ca="1" si="888"/>
        <v>0</v>
      </c>
      <c r="KT246" s="280">
        <f t="shared" ca="1" si="888"/>
        <v>0</v>
      </c>
      <c r="KU246" s="280">
        <f t="shared" ca="1" si="888"/>
        <v>0</v>
      </c>
      <c r="KV246" s="280">
        <f t="shared" ca="1" si="888"/>
        <v>0</v>
      </c>
      <c r="KW246" s="280">
        <f t="shared" ca="1" si="888"/>
        <v>0</v>
      </c>
      <c r="KX246" s="280">
        <f t="shared" ca="1" si="888"/>
        <v>0</v>
      </c>
      <c r="KY246" s="280">
        <f t="shared" ca="1" si="888"/>
        <v>0</v>
      </c>
      <c r="KZ246" s="280">
        <f t="shared" ca="1" si="888"/>
        <v>0</v>
      </c>
      <c r="LA246" s="280">
        <f t="shared" ca="1" si="888"/>
        <v>0</v>
      </c>
      <c r="LB246" s="280">
        <f t="shared" ca="1" si="888"/>
        <v>0</v>
      </c>
      <c r="LC246" s="280">
        <f t="shared" ca="1" si="888"/>
        <v>0</v>
      </c>
      <c r="LD246" s="280">
        <f t="shared" ca="1" si="888"/>
        <v>0</v>
      </c>
      <c r="LE246" s="280">
        <f t="shared" ca="1" si="888"/>
        <v>0</v>
      </c>
      <c r="LF246" s="280">
        <f t="shared" ca="1" si="888"/>
        <v>0</v>
      </c>
      <c r="LG246" s="280">
        <f t="shared" ca="1" si="888"/>
        <v>0</v>
      </c>
      <c r="LH246" s="280">
        <f t="shared" ca="1" si="888"/>
        <v>0</v>
      </c>
      <c r="LI246" s="280">
        <f t="shared" ca="1" si="888"/>
        <v>0</v>
      </c>
      <c r="LJ246" s="280">
        <f t="shared" ca="1" si="888"/>
        <v>0</v>
      </c>
      <c r="LK246" s="280">
        <f t="shared" ca="1" si="888"/>
        <v>0</v>
      </c>
      <c r="LL246" s="280">
        <f t="shared" ca="1" si="888"/>
        <v>0</v>
      </c>
      <c r="LM246" s="280">
        <f t="shared" ca="1" si="888"/>
        <v>0</v>
      </c>
      <c r="LN246" s="280">
        <f t="shared" ref="LN246:NY246" ca="1" si="889">LN245-LN244</f>
        <v>0</v>
      </c>
      <c r="LO246" s="280">
        <f t="shared" ca="1" si="889"/>
        <v>0</v>
      </c>
      <c r="LP246" s="280">
        <f t="shared" ca="1" si="889"/>
        <v>0</v>
      </c>
      <c r="LQ246" s="280">
        <f t="shared" ca="1" si="889"/>
        <v>0</v>
      </c>
      <c r="LR246" s="280">
        <f t="shared" ca="1" si="889"/>
        <v>0</v>
      </c>
      <c r="LS246" s="280">
        <f t="shared" ca="1" si="889"/>
        <v>0</v>
      </c>
      <c r="LT246" s="280">
        <f t="shared" ca="1" si="889"/>
        <v>0</v>
      </c>
      <c r="LU246" s="280">
        <f t="shared" ca="1" si="889"/>
        <v>0</v>
      </c>
      <c r="LV246" s="280">
        <f t="shared" ca="1" si="889"/>
        <v>0</v>
      </c>
      <c r="LW246" s="280">
        <f t="shared" ca="1" si="889"/>
        <v>0</v>
      </c>
      <c r="LX246" s="280">
        <f t="shared" ca="1" si="889"/>
        <v>0</v>
      </c>
      <c r="LY246" s="280">
        <f t="shared" ca="1" si="889"/>
        <v>0</v>
      </c>
      <c r="LZ246" s="280">
        <f t="shared" ca="1" si="889"/>
        <v>0</v>
      </c>
      <c r="MA246" s="280">
        <f t="shared" ca="1" si="889"/>
        <v>0</v>
      </c>
      <c r="MB246" s="280">
        <f t="shared" ca="1" si="889"/>
        <v>0</v>
      </c>
      <c r="MC246" s="280">
        <f t="shared" ca="1" si="889"/>
        <v>0</v>
      </c>
      <c r="MD246" s="280">
        <f t="shared" ca="1" si="889"/>
        <v>0</v>
      </c>
      <c r="ME246" s="280">
        <f t="shared" ca="1" si="889"/>
        <v>0</v>
      </c>
      <c r="MF246" s="280">
        <f t="shared" ca="1" si="889"/>
        <v>0</v>
      </c>
      <c r="MG246" s="280">
        <f t="shared" ca="1" si="889"/>
        <v>0</v>
      </c>
      <c r="MH246" s="280">
        <f t="shared" ca="1" si="889"/>
        <v>0</v>
      </c>
      <c r="MI246" s="280">
        <f t="shared" ca="1" si="889"/>
        <v>0</v>
      </c>
      <c r="MJ246" s="280">
        <f t="shared" ca="1" si="889"/>
        <v>0</v>
      </c>
      <c r="MK246" s="280">
        <f t="shared" ca="1" si="889"/>
        <v>0</v>
      </c>
      <c r="ML246" s="280">
        <f t="shared" ca="1" si="889"/>
        <v>0</v>
      </c>
      <c r="MM246" s="280">
        <f t="shared" ca="1" si="889"/>
        <v>0</v>
      </c>
      <c r="MN246" s="280">
        <f t="shared" ca="1" si="889"/>
        <v>0</v>
      </c>
      <c r="MO246" s="280">
        <f t="shared" ca="1" si="889"/>
        <v>0</v>
      </c>
      <c r="MP246" s="280">
        <f t="shared" ca="1" si="889"/>
        <v>0</v>
      </c>
      <c r="MQ246" s="280">
        <f t="shared" ca="1" si="889"/>
        <v>0</v>
      </c>
      <c r="MR246" s="280">
        <f t="shared" ca="1" si="889"/>
        <v>0</v>
      </c>
      <c r="MS246" s="280">
        <f t="shared" ca="1" si="889"/>
        <v>0</v>
      </c>
      <c r="MT246" s="280">
        <f t="shared" ca="1" si="889"/>
        <v>0</v>
      </c>
      <c r="MU246" s="280">
        <f t="shared" ca="1" si="889"/>
        <v>0</v>
      </c>
      <c r="MV246" s="280">
        <f t="shared" ca="1" si="889"/>
        <v>0</v>
      </c>
      <c r="MW246" s="280">
        <f t="shared" ca="1" si="889"/>
        <v>0</v>
      </c>
      <c r="MX246" s="280">
        <f t="shared" ca="1" si="889"/>
        <v>0</v>
      </c>
      <c r="MY246" s="280">
        <f t="shared" ca="1" si="889"/>
        <v>0</v>
      </c>
      <c r="MZ246" s="280">
        <f t="shared" ca="1" si="889"/>
        <v>0</v>
      </c>
      <c r="NA246" s="280">
        <f t="shared" ca="1" si="889"/>
        <v>0</v>
      </c>
      <c r="NB246" s="280">
        <f t="shared" ca="1" si="889"/>
        <v>0</v>
      </c>
      <c r="NC246" s="280">
        <f t="shared" ca="1" si="889"/>
        <v>0</v>
      </c>
      <c r="ND246" s="280">
        <f t="shared" ca="1" si="889"/>
        <v>0</v>
      </c>
      <c r="NE246" s="280">
        <f t="shared" ca="1" si="889"/>
        <v>0</v>
      </c>
      <c r="NF246" s="280">
        <f t="shared" ca="1" si="889"/>
        <v>0</v>
      </c>
      <c r="NG246" s="280">
        <f t="shared" ca="1" si="889"/>
        <v>0</v>
      </c>
      <c r="NH246" s="280">
        <f t="shared" ca="1" si="889"/>
        <v>0</v>
      </c>
      <c r="NI246" s="280">
        <f t="shared" ca="1" si="889"/>
        <v>0</v>
      </c>
      <c r="NJ246" s="280">
        <f t="shared" ca="1" si="889"/>
        <v>0</v>
      </c>
      <c r="NK246" s="280">
        <f t="shared" ca="1" si="889"/>
        <v>0</v>
      </c>
      <c r="NL246" s="280">
        <f t="shared" ca="1" si="889"/>
        <v>0</v>
      </c>
      <c r="NM246" s="280">
        <f t="shared" ca="1" si="889"/>
        <v>0</v>
      </c>
      <c r="NN246" s="280">
        <f t="shared" ca="1" si="889"/>
        <v>0</v>
      </c>
      <c r="NO246" s="280">
        <f t="shared" ca="1" si="889"/>
        <v>0</v>
      </c>
      <c r="NP246" s="280">
        <f t="shared" ca="1" si="889"/>
        <v>0</v>
      </c>
      <c r="NQ246" s="280">
        <f t="shared" ca="1" si="889"/>
        <v>0</v>
      </c>
      <c r="NR246" s="280">
        <f t="shared" ca="1" si="889"/>
        <v>0</v>
      </c>
      <c r="NS246" s="280">
        <f t="shared" ca="1" si="889"/>
        <v>0</v>
      </c>
      <c r="NT246" s="280">
        <f t="shared" ca="1" si="889"/>
        <v>0</v>
      </c>
      <c r="NU246" s="280">
        <f t="shared" ca="1" si="889"/>
        <v>0</v>
      </c>
      <c r="NV246" s="280">
        <f t="shared" ca="1" si="889"/>
        <v>0</v>
      </c>
      <c r="NW246" s="280">
        <f t="shared" ca="1" si="889"/>
        <v>0</v>
      </c>
      <c r="NX246" s="280">
        <f t="shared" ca="1" si="889"/>
        <v>0</v>
      </c>
      <c r="NY246" s="280">
        <f t="shared" ca="1" si="889"/>
        <v>0</v>
      </c>
      <c r="NZ246" s="280">
        <f t="shared" ref="NZ246:QK246" ca="1" si="890">NZ245-NZ244</f>
        <v>0</v>
      </c>
      <c r="OA246" s="280">
        <f t="shared" ca="1" si="890"/>
        <v>0</v>
      </c>
      <c r="OB246" s="280">
        <f t="shared" ca="1" si="890"/>
        <v>0</v>
      </c>
      <c r="OC246" s="280">
        <f t="shared" ca="1" si="890"/>
        <v>0</v>
      </c>
      <c r="OD246" s="280">
        <f t="shared" ca="1" si="890"/>
        <v>0</v>
      </c>
      <c r="OE246" s="280">
        <f t="shared" ca="1" si="890"/>
        <v>0</v>
      </c>
      <c r="OF246" s="280">
        <f t="shared" ca="1" si="890"/>
        <v>0</v>
      </c>
      <c r="OG246" s="280">
        <f t="shared" ca="1" si="890"/>
        <v>0</v>
      </c>
      <c r="OH246" s="280">
        <f t="shared" ca="1" si="890"/>
        <v>0</v>
      </c>
      <c r="OI246" s="280">
        <f t="shared" ca="1" si="890"/>
        <v>0</v>
      </c>
      <c r="OJ246" s="280">
        <f t="shared" ca="1" si="890"/>
        <v>0</v>
      </c>
      <c r="OK246" s="280">
        <f t="shared" ca="1" si="890"/>
        <v>0</v>
      </c>
      <c r="OL246" s="280">
        <f t="shared" ca="1" si="890"/>
        <v>0</v>
      </c>
      <c r="OM246" s="280">
        <f t="shared" ca="1" si="890"/>
        <v>0</v>
      </c>
      <c r="ON246" s="280">
        <f t="shared" ca="1" si="890"/>
        <v>0</v>
      </c>
      <c r="OO246" s="280">
        <f t="shared" ca="1" si="890"/>
        <v>0</v>
      </c>
      <c r="OP246" s="280">
        <f t="shared" ca="1" si="890"/>
        <v>0</v>
      </c>
      <c r="OQ246" s="280">
        <f t="shared" ca="1" si="890"/>
        <v>0</v>
      </c>
      <c r="OR246" s="280">
        <f t="shared" ca="1" si="890"/>
        <v>0</v>
      </c>
      <c r="OS246" s="280">
        <f t="shared" ca="1" si="890"/>
        <v>0</v>
      </c>
      <c r="OT246" s="280">
        <f t="shared" ca="1" si="890"/>
        <v>0</v>
      </c>
      <c r="OU246" s="280">
        <f t="shared" ca="1" si="890"/>
        <v>0</v>
      </c>
      <c r="OV246" s="280">
        <f t="shared" ca="1" si="890"/>
        <v>0</v>
      </c>
      <c r="OW246" s="280">
        <f t="shared" ca="1" si="890"/>
        <v>0</v>
      </c>
      <c r="OX246" s="280">
        <f t="shared" ca="1" si="890"/>
        <v>0</v>
      </c>
      <c r="OY246" s="280">
        <f t="shared" ca="1" si="890"/>
        <v>0</v>
      </c>
      <c r="OZ246" s="280">
        <f t="shared" ca="1" si="890"/>
        <v>0</v>
      </c>
      <c r="PA246" s="280">
        <f t="shared" ca="1" si="890"/>
        <v>0</v>
      </c>
      <c r="PB246" s="280">
        <f t="shared" ca="1" si="890"/>
        <v>0</v>
      </c>
      <c r="PC246" s="280">
        <f t="shared" ca="1" si="890"/>
        <v>0</v>
      </c>
      <c r="PD246" s="280">
        <f t="shared" ca="1" si="890"/>
        <v>0</v>
      </c>
      <c r="PE246" s="280">
        <f t="shared" ca="1" si="890"/>
        <v>0</v>
      </c>
      <c r="PF246" s="280">
        <f t="shared" ca="1" si="890"/>
        <v>0</v>
      </c>
      <c r="PG246" s="280">
        <f t="shared" ca="1" si="890"/>
        <v>0</v>
      </c>
      <c r="PH246" s="280">
        <f t="shared" ca="1" si="890"/>
        <v>0</v>
      </c>
      <c r="PI246" s="280">
        <f t="shared" ca="1" si="890"/>
        <v>0</v>
      </c>
      <c r="PJ246" s="280">
        <f t="shared" ca="1" si="890"/>
        <v>0</v>
      </c>
      <c r="PK246" s="280">
        <f t="shared" ca="1" si="890"/>
        <v>0</v>
      </c>
      <c r="PL246" s="280">
        <f t="shared" ca="1" si="890"/>
        <v>0</v>
      </c>
      <c r="PM246" s="280">
        <f t="shared" ca="1" si="890"/>
        <v>0</v>
      </c>
      <c r="PN246" s="280">
        <f t="shared" ca="1" si="890"/>
        <v>0</v>
      </c>
      <c r="PO246" s="280">
        <f t="shared" ca="1" si="890"/>
        <v>0</v>
      </c>
      <c r="PP246" s="280">
        <f t="shared" ca="1" si="890"/>
        <v>0</v>
      </c>
      <c r="PQ246" s="280">
        <f t="shared" ca="1" si="890"/>
        <v>0</v>
      </c>
      <c r="PR246" s="280">
        <f t="shared" ca="1" si="890"/>
        <v>0</v>
      </c>
      <c r="PS246" s="280">
        <f t="shared" ca="1" si="890"/>
        <v>0</v>
      </c>
      <c r="PT246" s="280">
        <f t="shared" ca="1" si="890"/>
        <v>0</v>
      </c>
      <c r="PU246" s="280">
        <f t="shared" ca="1" si="890"/>
        <v>0</v>
      </c>
      <c r="PV246" s="280">
        <f t="shared" ca="1" si="890"/>
        <v>0</v>
      </c>
      <c r="PW246" s="280">
        <f t="shared" ca="1" si="890"/>
        <v>0</v>
      </c>
      <c r="PX246" s="280">
        <f t="shared" ca="1" si="890"/>
        <v>0</v>
      </c>
      <c r="PY246" s="280">
        <f t="shared" ca="1" si="890"/>
        <v>0</v>
      </c>
      <c r="PZ246" s="280">
        <f t="shared" ca="1" si="890"/>
        <v>0</v>
      </c>
      <c r="QA246" s="280">
        <f t="shared" ca="1" si="890"/>
        <v>0</v>
      </c>
      <c r="QB246" s="280">
        <f t="shared" ca="1" si="890"/>
        <v>0</v>
      </c>
      <c r="QC246" s="280">
        <f t="shared" ca="1" si="890"/>
        <v>0</v>
      </c>
      <c r="QD246" s="280">
        <f t="shared" ca="1" si="890"/>
        <v>0</v>
      </c>
      <c r="QE246" s="280">
        <f t="shared" ca="1" si="890"/>
        <v>0</v>
      </c>
      <c r="QF246" s="280">
        <f t="shared" ca="1" si="890"/>
        <v>0</v>
      </c>
      <c r="QG246" s="280">
        <f t="shared" ca="1" si="890"/>
        <v>0</v>
      </c>
      <c r="QH246" s="280">
        <f t="shared" ca="1" si="890"/>
        <v>0</v>
      </c>
      <c r="QI246" s="280">
        <f t="shared" ca="1" si="890"/>
        <v>0</v>
      </c>
      <c r="QJ246" s="280">
        <f t="shared" ca="1" si="890"/>
        <v>0</v>
      </c>
      <c r="QK246" s="280">
        <f t="shared" ca="1" si="890"/>
        <v>0</v>
      </c>
      <c r="QL246" s="280">
        <f t="shared" ref="QL246:RR246" ca="1" si="891">QL245-QL244</f>
        <v>0</v>
      </c>
      <c r="QM246" s="280">
        <f t="shared" ca="1" si="891"/>
        <v>0</v>
      </c>
      <c r="QN246" s="280">
        <f t="shared" ca="1" si="891"/>
        <v>0</v>
      </c>
      <c r="QO246" s="280">
        <f t="shared" ca="1" si="891"/>
        <v>0</v>
      </c>
      <c r="QP246" s="280">
        <f t="shared" ca="1" si="891"/>
        <v>0</v>
      </c>
      <c r="QQ246" s="280">
        <f t="shared" ca="1" si="891"/>
        <v>0</v>
      </c>
      <c r="QR246" s="280">
        <f t="shared" ca="1" si="891"/>
        <v>0</v>
      </c>
      <c r="QS246" s="280">
        <f t="shared" ca="1" si="891"/>
        <v>0</v>
      </c>
      <c r="QT246" s="280">
        <f t="shared" ca="1" si="891"/>
        <v>0</v>
      </c>
      <c r="QU246" s="280">
        <f t="shared" ca="1" si="891"/>
        <v>0</v>
      </c>
      <c r="QV246" s="280">
        <f t="shared" ca="1" si="891"/>
        <v>0</v>
      </c>
      <c r="QW246" s="280">
        <f t="shared" ca="1" si="891"/>
        <v>0</v>
      </c>
      <c r="QX246" s="280">
        <f t="shared" ca="1" si="891"/>
        <v>0</v>
      </c>
      <c r="QY246" s="280">
        <f t="shared" ca="1" si="891"/>
        <v>0</v>
      </c>
      <c r="QZ246" s="280">
        <f t="shared" ca="1" si="891"/>
        <v>0</v>
      </c>
      <c r="RA246" s="280">
        <f t="shared" ca="1" si="891"/>
        <v>0</v>
      </c>
      <c r="RB246" s="280">
        <f t="shared" ca="1" si="891"/>
        <v>0</v>
      </c>
      <c r="RC246" s="280">
        <f t="shared" ca="1" si="891"/>
        <v>0</v>
      </c>
      <c r="RD246" s="280">
        <f t="shared" ca="1" si="891"/>
        <v>0</v>
      </c>
      <c r="RE246" s="280">
        <f t="shared" ca="1" si="891"/>
        <v>0</v>
      </c>
      <c r="RF246" s="280">
        <f t="shared" ca="1" si="891"/>
        <v>0</v>
      </c>
      <c r="RG246" s="280">
        <f t="shared" ca="1" si="891"/>
        <v>0</v>
      </c>
      <c r="RH246" s="280">
        <f t="shared" ca="1" si="891"/>
        <v>0</v>
      </c>
      <c r="RI246" s="280">
        <f t="shared" ca="1" si="891"/>
        <v>0</v>
      </c>
      <c r="RJ246" s="280">
        <f t="shared" ca="1" si="891"/>
        <v>0</v>
      </c>
      <c r="RK246" s="280">
        <f t="shared" ca="1" si="891"/>
        <v>0</v>
      </c>
      <c r="RL246" s="280">
        <f t="shared" ca="1" si="891"/>
        <v>0</v>
      </c>
      <c r="RM246" s="280">
        <f t="shared" ca="1" si="891"/>
        <v>0</v>
      </c>
      <c r="RN246" s="280">
        <f t="shared" ca="1" si="891"/>
        <v>0</v>
      </c>
      <c r="RO246" s="280">
        <f t="shared" ca="1" si="891"/>
        <v>0</v>
      </c>
      <c r="RP246" s="280">
        <f t="shared" ca="1" si="891"/>
        <v>0</v>
      </c>
      <c r="RQ246" s="280">
        <f t="shared" ca="1" si="891"/>
        <v>0</v>
      </c>
      <c r="RR246" s="280">
        <f t="shared" ca="1" si="891"/>
        <v>0</v>
      </c>
      <c r="RS246" s="201"/>
    </row>
    <row r="247" spans="2:487" s="9" customFormat="1">
      <c r="D247" s="9" t="s">
        <v>510</v>
      </c>
      <c r="E247" s="201">
        <f ca="1">_xll.RiskOutput("600 kWH Bill -- Sum (AB2-AB1)")+SUM(E246:RR246)</f>
        <v>-6696.8277436879571</v>
      </c>
      <c r="F247" s="201"/>
      <c r="G247" s="201"/>
      <c r="H247" s="201"/>
      <c r="I247" s="201"/>
      <c r="J247" s="201"/>
      <c r="K247" s="201"/>
      <c r="L247" s="201"/>
      <c r="M247" s="201"/>
      <c r="N247" s="201"/>
      <c r="O247" s="201"/>
      <c r="P247" s="201"/>
      <c r="Q247" s="201"/>
      <c r="R247" s="201"/>
      <c r="S247" s="201"/>
      <c r="T247" s="201"/>
      <c r="U247" s="201"/>
      <c r="V247" s="201"/>
      <c r="W247" s="201"/>
      <c r="X247" s="201"/>
      <c r="Y247" s="201"/>
      <c r="Z247" s="201"/>
      <c r="AA247" s="201"/>
      <c r="AB247" s="201"/>
      <c r="AC247" s="201"/>
      <c r="AD247" s="201"/>
      <c r="AE247" s="201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201"/>
      <c r="AP247" s="201"/>
      <c r="AQ247" s="201"/>
      <c r="AR247" s="201"/>
      <c r="AS247" s="201"/>
      <c r="AT247" s="201"/>
      <c r="AU247" s="201"/>
      <c r="AV247" s="201"/>
      <c r="AW247" s="201"/>
      <c r="AX247" s="201"/>
      <c r="AY247" s="201"/>
      <c r="AZ247" s="201"/>
      <c r="BA247" s="201"/>
      <c r="BB247" s="201"/>
      <c r="BC247" s="201"/>
      <c r="BD247" s="201"/>
      <c r="BE247" s="201"/>
      <c r="BF247" s="201"/>
      <c r="BG247" s="201"/>
      <c r="BH247" s="201"/>
      <c r="BI247" s="201"/>
      <c r="BJ247" s="201"/>
      <c r="BK247" s="201"/>
      <c r="BL247" s="201"/>
      <c r="BM247" s="201"/>
      <c r="BN247" s="201"/>
      <c r="BO247" s="201"/>
      <c r="BP247" s="201"/>
      <c r="BQ247" s="201"/>
      <c r="BR247" s="201"/>
      <c r="BS247" s="201"/>
      <c r="BT247" s="201"/>
      <c r="BU247" s="201"/>
      <c r="BV247" s="201"/>
      <c r="BW247" s="201"/>
      <c r="BX247" s="201"/>
      <c r="BY247" s="201"/>
      <c r="BZ247" s="201"/>
      <c r="CA247" s="201"/>
      <c r="CB247" s="201"/>
      <c r="CC247" s="201"/>
      <c r="CD247" s="201"/>
      <c r="CE247" s="201"/>
      <c r="CF247" s="201"/>
      <c r="CG247" s="201"/>
      <c r="CH247" s="201"/>
      <c r="CI247" s="201"/>
      <c r="CJ247" s="201"/>
      <c r="CK247" s="201"/>
      <c r="CL247" s="201"/>
      <c r="CM247" s="201"/>
      <c r="CN247" s="201"/>
      <c r="CO247" s="201"/>
      <c r="CP247" s="201"/>
      <c r="CQ247" s="201"/>
      <c r="CR247" s="201"/>
      <c r="CS247" s="201"/>
      <c r="CT247" s="201"/>
      <c r="CU247" s="201"/>
      <c r="CV247" s="201"/>
      <c r="CW247" s="201"/>
      <c r="CX247" s="201"/>
      <c r="CY247" s="201"/>
      <c r="CZ247" s="201"/>
      <c r="DA247" s="201"/>
      <c r="DB247" s="201"/>
      <c r="DC247" s="201"/>
      <c r="DD247" s="201"/>
      <c r="DE247" s="201"/>
      <c r="DF247" s="201"/>
      <c r="DG247" s="201"/>
      <c r="DH247" s="201"/>
      <c r="DI247" s="201"/>
      <c r="DJ247" s="201"/>
      <c r="DK247" s="201"/>
      <c r="DL247" s="201"/>
      <c r="DM247" s="201"/>
      <c r="DN247" s="201"/>
      <c r="DO247" s="201"/>
      <c r="DP247" s="201"/>
      <c r="DQ247" s="201"/>
      <c r="DR247" s="201"/>
      <c r="DS247" s="201"/>
      <c r="DT247" s="201"/>
      <c r="DU247" s="201"/>
      <c r="DV247" s="201"/>
      <c r="DW247" s="201"/>
      <c r="DX247" s="201"/>
      <c r="DY247" s="201"/>
      <c r="DZ247" s="201"/>
      <c r="EA247" s="201"/>
      <c r="EB247" s="201"/>
      <c r="EC247" s="201"/>
      <c r="ED247" s="201"/>
      <c r="EE247" s="201"/>
      <c r="EF247" s="201"/>
      <c r="EG247" s="201"/>
      <c r="EH247" s="201"/>
      <c r="EI247" s="201"/>
      <c r="EJ247" s="201"/>
      <c r="EK247" s="201"/>
      <c r="EL247" s="201"/>
      <c r="EM247" s="201"/>
      <c r="EN247" s="201"/>
      <c r="EO247" s="201"/>
      <c r="EP247" s="201"/>
      <c r="EQ247" s="201"/>
      <c r="ER247" s="201"/>
      <c r="ES247" s="201"/>
      <c r="ET247" s="201"/>
      <c r="EU247" s="201"/>
      <c r="EV247" s="201"/>
      <c r="EW247" s="201"/>
      <c r="EX247" s="201"/>
      <c r="EY247" s="201"/>
      <c r="EZ247" s="201"/>
      <c r="FA247" s="201"/>
      <c r="FB247" s="201"/>
      <c r="FC247" s="201"/>
      <c r="FD247" s="201"/>
      <c r="FE247" s="201"/>
      <c r="FF247" s="201"/>
      <c r="FG247" s="201"/>
      <c r="FH247" s="201"/>
      <c r="FI247" s="201"/>
      <c r="FJ247" s="201"/>
      <c r="FK247" s="201"/>
      <c r="FL247" s="201"/>
      <c r="FM247" s="201"/>
      <c r="FN247" s="201"/>
      <c r="FO247" s="201"/>
      <c r="FP247" s="201"/>
      <c r="FQ247" s="201"/>
      <c r="FR247" s="201"/>
      <c r="FS247" s="201"/>
      <c r="FT247" s="201"/>
      <c r="FU247" s="201"/>
      <c r="FV247" s="201"/>
      <c r="FW247" s="201"/>
      <c r="FX247" s="201"/>
      <c r="FY247" s="201"/>
      <c r="FZ247" s="201"/>
      <c r="GA247" s="201"/>
      <c r="GB247" s="201"/>
      <c r="GC247" s="201"/>
      <c r="GD247" s="201"/>
      <c r="GE247" s="201"/>
      <c r="GF247" s="201"/>
      <c r="GG247" s="201"/>
      <c r="GH247" s="201"/>
      <c r="GI247" s="201"/>
      <c r="GJ247" s="201"/>
      <c r="GK247" s="201"/>
      <c r="GL247" s="201"/>
      <c r="GM247" s="201"/>
      <c r="GN247" s="201"/>
      <c r="GO247" s="201"/>
      <c r="GP247" s="201"/>
      <c r="GQ247" s="201"/>
      <c r="GR247" s="201"/>
      <c r="GS247" s="201"/>
      <c r="GT247" s="201"/>
      <c r="GU247" s="201"/>
      <c r="GV247" s="201"/>
      <c r="GW247" s="201"/>
      <c r="GX247" s="201"/>
      <c r="GY247" s="201"/>
      <c r="GZ247" s="201"/>
      <c r="HA247" s="201"/>
      <c r="HB247" s="201"/>
      <c r="HC247" s="201"/>
      <c r="HD247" s="201"/>
      <c r="HE247" s="201"/>
      <c r="HF247" s="201"/>
      <c r="HG247" s="201"/>
      <c r="HH247" s="201"/>
      <c r="HI247" s="201"/>
      <c r="HJ247" s="201"/>
      <c r="HK247" s="201"/>
      <c r="HL247" s="201"/>
      <c r="HM247" s="201"/>
      <c r="HN247" s="201"/>
      <c r="HO247" s="201"/>
      <c r="HP247" s="201"/>
      <c r="HQ247" s="201"/>
      <c r="HR247" s="201"/>
      <c r="HS247" s="201"/>
      <c r="HT247" s="201"/>
      <c r="HU247" s="201"/>
      <c r="HV247" s="201"/>
      <c r="HW247" s="201"/>
      <c r="HX247" s="201"/>
      <c r="HY247" s="201"/>
      <c r="HZ247" s="201"/>
      <c r="IA247" s="201"/>
      <c r="IB247" s="201"/>
      <c r="IC247" s="201"/>
      <c r="ID247" s="201"/>
      <c r="IE247" s="201"/>
      <c r="IF247" s="201"/>
      <c r="IG247" s="201"/>
      <c r="IH247" s="201"/>
      <c r="II247" s="201"/>
      <c r="IJ247" s="201"/>
      <c r="IK247" s="201"/>
      <c r="IL247" s="201"/>
      <c r="IM247" s="201"/>
      <c r="IN247" s="201"/>
      <c r="IO247" s="201"/>
      <c r="IP247" s="201"/>
      <c r="IQ247" s="201"/>
      <c r="IR247" s="201"/>
      <c r="IS247" s="201"/>
      <c r="IT247" s="201"/>
      <c r="IU247" s="201"/>
      <c r="IV247" s="201"/>
      <c r="IW247" s="201"/>
      <c r="IX247" s="201"/>
      <c r="IY247" s="201"/>
      <c r="IZ247" s="201"/>
      <c r="JA247" s="201"/>
      <c r="JB247" s="201"/>
      <c r="JC247" s="201"/>
      <c r="JD247" s="201"/>
      <c r="JE247" s="201"/>
      <c r="JF247" s="201"/>
      <c r="JG247" s="201"/>
      <c r="JH247" s="201"/>
      <c r="JI247" s="201"/>
      <c r="JJ247" s="201"/>
      <c r="JK247" s="201"/>
      <c r="JL247" s="201"/>
      <c r="JM247" s="201"/>
      <c r="JN247" s="201"/>
      <c r="JO247" s="201"/>
      <c r="JP247" s="201"/>
      <c r="JQ247" s="201"/>
      <c r="JR247" s="201"/>
      <c r="JS247" s="201"/>
      <c r="JT247" s="201"/>
      <c r="JU247" s="201"/>
      <c r="JV247" s="201"/>
      <c r="JW247" s="201"/>
      <c r="JX247" s="201"/>
      <c r="JY247" s="201"/>
      <c r="JZ247" s="201"/>
      <c r="KA247" s="201"/>
      <c r="KB247" s="201"/>
      <c r="KC247" s="201"/>
      <c r="KD247" s="201"/>
      <c r="KE247" s="201"/>
      <c r="KF247" s="201"/>
      <c r="KG247" s="201"/>
      <c r="KH247" s="201"/>
      <c r="KI247" s="201"/>
      <c r="KJ247" s="201"/>
      <c r="KK247" s="201"/>
      <c r="KL247" s="201"/>
      <c r="KM247" s="201"/>
      <c r="KN247" s="201"/>
      <c r="KO247" s="201"/>
      <c r="KP247" s="201"/>
      <c r="KQ247" s="201"/>
      <c r="KR247" s="201"/>
      <c r="KS247" s="201"/>
      <c r="KT247" s="201"/>
      <c r="KU247" s="201"/>
      <c r="KV247" s="201"/>
      <c r="KW247" s="201"/>
      <c r="KX247" s="201"/>
      <c r="KY247" s="201"/>
      <c r="KZ247" s="201"/>
      <c r="LA247" s="201"/>
      <c r="LB247" s="201"/>
      <c r="LC247" s="201"/>
      <c r="LD247" s="201"/>
      <c r="LE247" s="201"/>
      <c r="LF247" s="201"/>
      <c r="LG247" s="201"/>
      <c r="LH247" s="201"/>
      <c r="LI247" s="201"/>
      <c r="LJ247" s="201"/>
      <c r="LK247" s="201"/>
      <c r="LL247" s="201"/>
      <c r="LM247" s="201"/>
      <c r="LN247" s="201"/>
      <c r="LO247" s="201"/>
      <c r="LP247" s="201"/>
      <c r="LQ247" s="201"/>
      <c r="LR247" s="201"/>
      <c r="LS247" s="201"/>
      <c r="LT247" s="201"/>
      <c r="LU247" s="201"/>
      <c r="LV247" s="201"/>
      <c r="LW247" s="201"/>
      <c r="LX247" s="201"/>
      <c r="LY247" s="201"/>
      <c r="LZ247" s="201"/>
      <c r="MA247" s="201"/>
      <c r="MB247" s="201"/>
      <c r="MC247" s="201"/>
      <c r="MD247" s="201"/>
      <c r="ME247" s="201"/>
      <c r="MF247" s="201"/>
      <c r="MG247" s="201"/>
      <c r="MH247" s="201"/>
      <c r="MI247" s="201"/>
      <c r="MJ247" s="201"/>
      <c r="MK247" s="201"/>
      <c r="ML247" s="201"/>
      <c r="MM247" s="201"/>
      <c r="MN247" s="201"/>
      <c r="MO247" s="201"/>
      <c r="MP247" s="201"/>
      <c r="MQ247" s="201"/>
      <c r="MR247" s="201"/>
      <c r="MS247" s="201"/>
      <c r="MT247" s="201"/>
      <c r="MU247" s="201"/>
      <c r="MV247" s="201"/>
      <c r="MW247" s="201"/>
      <c r="MX247" s="201"/>
      <c r="MY247" s="201"/>
      <c r="MZ247" s="201"/>
      <c r="NA247" s="201"/>
      <c r="NB247" s="201"/>
      <c r="NC247" s="201"/>
      <c r="ND247" s="201"/>
      <c r="NE247" s="201"/>
      <c r="NF247" s="201"/>
      <c r="NG247" s="201"/>
      <c r="NH247" s="201"/>
      <c r="NI247" s="201"/>
      <c r="NJ247" s="201"/>
      <c r="NK247" s="201"/>
      <c r="NL247" s="201"/>
      <c r="NM247" s="201"/>
      <c r="NN247" s="201"/>
      <c r="NO247" s="201"/>
      <c r="NP247" s="201"/>
      <c r="NQ247" s="201"/>
      <c r="NR247" s="201"/>
      <c r="NS247" s="201"/>
      <c r="NT247" s="201"/>
      <c r="NU247" s="201"/>
      <c r="NV247" s="201"/>
      <c r="NW247" s="201"/>
      <c r="NX247" s="201"/>
      <c r="NY247" s="201"/>
      <c r="NZ247" s="201"/>
      <c r="OA247" s="201"/>
      <c r="OB247" s="201"/>
      <c r="OC247" s="201"/>
      <c r="OD247" s="201"/>
      <c r="OE247" s="201"/>
      <c r="OF247" s="201"/>
      <c r="OG247" s="201"/>
      <c r="OH247" s="201"/>
      <c r="OI247" s="201"/>
      <c r="OJ247" s="201"/>
      <c r="OK247" s="201"/>
      <c r="OL247" s="201"/>
      <c r="OM247" s="201"/>
      <c r="ON247" s="201"/>
      <c r="OO247" s="201"/>
      <c r="OP247" s="201"/>
      <c r="OQ247" s="201"/>
      <c r="OR247" s="201"/>
      <c r="OS247" s="201"/>
      <c r="OT247" s="201"/>
      <c r="OU247" s="201"/>
      <c r="OV247" s="201"/>
      <c r="OW247" s="201"/>
      <c r="OX247" s="201"/>
      <c r="OY247" s="201"/>
      <c r="OZ247" s="201"/>
      <c r="PA247" s="201"/>
      <c r="PB247" s="201"/>
      <c r="PC247" s="201"/>
      <c r="PD247" s="201"/>
      <c r="PE247" s="201"/>
      <c r="PF247" s="201"/>
      <c r="PG247" s="201"/>
      <c r="PH247" s="201"/>
      <c r="PI247" s="201"/>
      <c r="PJ247" s="201"/>
      <c r="PK247" s="201"/>
      <c r="PL247" s="201"/>
      <c r="PM247" s="201"/>
      <c r="PN247" s="201"/>
      <c r="PO247" s="201"/>
      <c r="PP247" s="201"/>
      <c r="PQ247" s="201"/>
      <c r="PR247" s="201"/>
      <c r="PS247" s="201"/>
      <c r="PT247" s="201"/>
      <c r="PU247" s="201"/>
      <c r="PV247" s="201"/>
      <c r="PW247" s="201"/>
      <c r="PX247" s="201"/>
      <c r="PY247" s="201"/>
      <c r="PZ247" s="201"/>
      <c r="QA247" s="201"/>
      <c r="QB247" s="201"/>
      <c r="QC247" s="201"/>
      <c r="QD247" s="201"/>
      <c r="QE247" s="201"/>
      <c r="QF247" s="201"/>
      <c r="QG247" s="201"/>
      <c r="QH247" s="201"/>
      <c r="QI247" s="201"/>
      <c r="QJ247" s="201"/>
      <c r="QK247" s="201"/>
      <c r="QL247" s="201"/>
      <c r="QM247" s="201"/>
      <c r="QN247" s="201"/>
      <c r="QO247" s="201"/>
      <c r="QP247" s="201"/>
      <c r="QQ247" s="201"/>
      <c r="QR247" s="201"/>
      <c r="QS247" s="201"/>
      <c r="QT247" s="201"/>
      <c r="QU247" s="201"/>
      <c r="QV247" s="201"/>
      <c r="QW247" s="201"/>
      <c r="QX247" s="201"/>
      <c r="QY247" s="201"/>
      <c r="QZ247" s="201"/>
      <c r="RA247" s="201"/>
      <c r="RB247" s="201"/>
      <c r="RC247" s="201"/>
      <c r="RD247" s="201"/>
      <c r="RE247" s="201"/>
      <c r="RF247" s="201"/>
      <c r="RG247" s="201"/>
      <c r="RH247" s="201"/>
      <c r="RI247" s="201"/>
      <c r="RJ247" s="201"/>
      <c r="RK247" s="201"/>
      <c r="RL247" s="201"/>
      <c r="RM247" s="201"/>
      <c r="RN247" s="201"/>
      <c r="RO247" s="201"/>
      <c r="RP247" s="201"/>
      <c r="RQ247" s="201"/>
      <c r="RR247" s="201"/>
      <c r="RS247" s="201"/>
    </row>
    <row r="248" spans="2:487" ht="15" thickBot="1"/>
    <row r="249" spans="2:487">
      <c r="B249" s="4" t="s">
        <v>449</v>
      </c>
      <c r="C249" s="218" t="s">
        <v>258</v>
      </c>
      <c r="D249" s="219" t="s">
        <v>259</v>
      </c>
    </row>
    <row r="250" spans="2:487">
      <c r="B250" s="48" t="s">
        <v>450</v>
      </c>
      <c r="C250" s="222">
        <v>1</v>
      </c>
      <c r="D250" s="223">
        <v>0</v>
      </c>
    </row>
    <row r="251" spans="2:487" ht="28.8">
      <c r="B251" s="202" t="s">
        <v>487</v>
      </c>
      <c r="C251" s="222">
        <v>2</v>
      </c>
      <c r="D251" s="223">
        <v>2</v>
      </c>
    </row>
    <row r="252" spans="2:487" ht="15" thickBot="1">
      <c r="B252" s="51" t="s">
        <v>451</v>
      </c>
      <c r="C252" s="224">
        <v>0</v>
      </c>
      <c r="D252" s="225">
        <v>0</v>
      </c>
    </row>
    <row r="253" spans="2:487" ht="15" thickBot="1"/>
    <row r="254" spans="2:487" ht="28.8">
      <c r="B254" s="62" t="s">
        <v>454</v>
      </c>
      <c r="C254" s="234">
        <v>0.14000000000000001</v>
      </c>
    </row>
    <row r="255" spans="2:487">
      <c r="B255" s="40" t="s">
        <v>456</v>
      </c>
      <c r="C255" s="236">
        <v>0</v>
      </c>
    </row>
    <row r="256" spans="2:487" ht="15" thickBot="1">
      <c r="B256" s="43" t="s">
        <v>457</v>
      </c>
      <c r="C256" s="235">
        <f>(1+C255)^(1/12)-1</f>
        <v>0</v>
      </c>
    </row>
    <row r="277" spans="5:13" ht="21">
      <c r="E277" s="281" t="s">
        <v>363</v>
      </c>
      <c r="F277" s="282"/>
      <c r="G277" s="282"/>
      <c r="H277" s="282"/>
      <c r="I277" s="282"/>
      <c r="J277" s="282"/>
      <c r="K277" s="282"/>
      <c r="L277" s="282"/>
      <c r="M277" s="282"/>
    </row>
    <row r="293" spans="15:15">
      <c r="O293" t="s">
        <v>371</v>
      </c>
    </row>
    <row r="307" spans="5:13" ht="21">
      <c r="E307" s="281" t="s">
        <v>364</v>
      </c>
      <c r="F307" s="282"/>
      <c r="G307" s="282"/>
      <c r="H307" s="282"/>
      <c r="I307" s="282"/>
      <c r="J307" s="282"/>
      <c r="K307" s="282"/>
      <c r="L307" s="282"/>
      <c r="M307" s="282"/>
    </row>
    <row r="308" spans="5:13">
      <c r="E308" s="9"/>
      <c r="F308" s="9"/>
      <c r="G308" s="9"/>
      <c r="H308" s="9"/>
      <c r="I308" s="9"/>
      <c r="J308" s="9"/>
      <c r="K308" s="9"/>
      <c r="L308" s="9"/>
      <c r="M308" s="9"/>
    </row>
    <row r="309" spans="5:13">
      <c r="E309" s="9"/>
      <c r="F309" s="9"/>
      <c r="G309" s="9"/>
      <c r="H309" s="9"/>
      <c r="I309" s="9"/>
      <c r="J309" s="9"/>
      <c r="K309" s="9"/>
      <c r="L309" s="9"/>
      <c r="M309" s="9"/>
    </row>
    <row r="310" spans="5:13">
      <c r="E310" s="9"/>
      <c r="F310" s="9"/>
      <c r="G310" s="9"/>
      <c r="H310" s="9"/>
      <c r="I310" s="9"/>
      <c r="J310" s="9"/>
      <c r="K310" s="9"/>
      <c r="L310" s="9"/>
      <c r="M310" s="9"/>
    </row>
    <row r="311" spans="5:13">
      <c r="E311" s="9"/>
      <c r="F311" s="9"/>
      <c r="G311" s="9"/>
      <c r="H311" s="9"/>
      <c r="I311" s="9"/>
      <c r="J311" s="9"/>
      <c r="K311" s="9"/>
      <c r="L311" s="9"/>
      <c r="M311" s="9"/>
    </row>
    <row r="312" spans="5:13">
      <c r="E312" s="9"/>
      <c r="F312" s="9"/>
      <c r="G312" s="9"/>
      <c r="H312" s="9"/>
      <c r="I312" s="9"/>
      <c r="J312" s="9"/>
      <c r="K312" s="9"/>
      <c r="L312" s="9"/>
      <c r="M312" s="9"/>
    </row>
    <row r="313" spans="5:13">
      <c r="E313" s="9"/>
      <c r="F313" s="9"/>
      <c r="G313" s="9"/>
      <c r="H313" s="9"/>
      <c r="I313" s="9"/>
      <c r="J313" s="9"/>
      <c r="K313" s="9"/>
      <c r="L313" s="9"/>
      <c r="M313" s="9"/>
    </row>
    <row r="314" spans="5:13">
      <c r="E314" s="9"/>
      <c r="F314" s="9"/>
      <c r="G314" s="9"/>
      <c r="H314" s="9"/>
      <c r="I314" s="9"/>
      <c r="J314" s="9"/>
      <c r="K314" s="9"/>
      <c r="L314" s="9"/>
      <c r="M314" s="9"/>
    </row>
    <row r="315" spans="5:13">
      <c r="E315" s="9"/>
      <c r="F315" s="9"/>
      <c r="G315" s="9"/>
      <c r="H315" s="9"/>
      <c r="I315" s="9"/>
      <c r="J315" s="9"/>
      <c r="K315" s="9"/>
      <c r="L315" s="9"/>
      <c r="M315" s="9"/>
    </row>
    <row r="316" spans="5:13">
      <c r="E316" s="9"/>
      <c r="F316" s="9"/>
      <c r="G316" s="9"/>
      <c r="H316" s="9"/>
      <c r="I316" s="9"/>
      <c r="J316" s="9"/>
      <c r="K316" s="9"/>
      <c r="L316" s="9"/>
      <c r="M316" s="9"/>
    </row>
    <row r="317" spans="5:13">
      <c r="E317" s="9"/>
      <c r="F317" s="9"/>
      <c r="G317" s="9"/>
      <c r="H317" s="9"/>
      <c r="I317" s="9"/>
      <c r="J317" s="9"/>
      <c r="K317" s="9"/>
      <c r="L317" s="9"/>
      <c r="M317" s="9"/>
    </row>
    <row r="318" spans="5:13">
      <c r="E318" s="9"/>
      <c r="F318" s="9"/>
      <c r="G318" s="9"/>
      <c r="H318" s="9"/>
      <c r="I318" s="9"/>
      <c r="J318" s="9"/>
      <c r="K318" s="9"/>
      <c r="L318" s="9"/>
      <c r="M318" s="9"/>
    </row>
    <row r="319" spans="5:13">
      <c r="E319" s="9"/>
      <c r="F319" s="9"/>
      <c r="G319" s="9"/>
      <c r="H319" s="9"/>
      <c r="I319" s="9"/>
      <c r="J319" s="9"/>
      <c r="K319" s="9"/>
      <c r="L319" s="9"/>
      <c r="M319" s="9"/>
    </row>
    <row r="320" spans="5:13">
      <c r="E320" s="9"/>
      <c r="F320" s="9"/>
      <c r="G320" s="9"/>
      <c r="H320" s="9"/>
      <c r="I320" s="9"/>
      <c r="J320" s="9"/>
      <c r="K320" s="9"/>
      <c r="L320" s="9"/>
      <c r="M320" s="9"/>
    </row>
    <row r="321" spans="5:13">
      <c r="E321" s="9"/>
      <c r="F321" s="9"/>
      <c r="G321" s="9"/>
      <c r="H321" s="9"/>
      <c r="I321" s="9"/>
      <c r="J321" s="9"/>
      <c r="K321" s="9"/>
      <c r="L321" s="9"/>
      <c r="M321" s="9"/>
    </row>
    <row r="322" spans="5:13">
      <c r="E322" s="9"/>
      <c r="F322" s="9"/>
      <c r="G322" s="9"/>
      <c r="H322" s="9"/>
      <c r="I322" s="9"/>
      <c r="J322" s="9"/>
      <c r="K322" s="9"/>
      <c r="L322" s="9"/>
      <c r="M322" s="9"/>
    </row>
    <row r="323" spans="5:13">
      <c r="E323" s="9"/>
      <c r="F323" s="9"/>
      <c r="G323" s="9"/>
      <c r="H323" s="9"/>
      <c r="I323" s="9"/>
      <c r="J323" s="9"/>
      <c r="K323" s="9"/>
      <c r="L323" s="9"/>
      <c r="M323" s="9"/>
    </row>
    <row r="324" spans="5:13">
      <c r="E324" s="9"/>
      <c r="F324" s="9"/>
      <c r="G324" s="9"/>
      <c r="H324" s="9"/>
      <c r="I324" s="9"/>
      <c r="J324" s="9"/>
      <c r="K324" s="9"/>
      <c r="L324" s="9"/>
      <c r="M324" s="9"/>
    </row>
    <row r="325" spans="5:13">
      <c r="E325" s="9"/>
      <c r="F325" s="9"/>
      <c r="G325" s="9"/>
      <c r="H325" s="9"/>
      <c r="I325" s="9"/>
      <c r="J325" s="9"/>
      <c r="K325" s="9"/>
      <c r="L325" s="9"/>
      <c r="M325" s="9"/>
    </row>
    <row r="326" spans="5:13">
      <c r="E326" s="9"/>
      <c r="F326" s="9"/>
      <c r="G326" s="9"/>
      <c r="H326" s="9"/>
      <c r="I326" s="9"/>
      <c r="J326" s="9"/>
      <c r="K326" s="9"/>
      <c r="L326" s="9"/>
      <c r="M326" s="9"/>
    </row>
    <row r="327" spans="5:13">
      <c r="E327" s="9"/>
      <c r="F327" s="9"/>
      <c r="G327" s="9"/>
      <c r="H327" s="9"/>
      <c r="I327" s="9"/>
      <c r="J327" s="9"/>
      <c r="K327" s="9"/>
      <c r="L327" s="9"/>
      <c r="M327" s="9"/>
    </row>
    <row r="328" spans="5:13">
      <c r="E328" s="9"/>
      <c r="F328" s="9"/>
      <c r="G328" s="9"/>
      <c r="H328" s="9"/>
      <c r="I328" s="9"/>
      <c r="J328" s="9"/>
      <c r="K328" s="9"/>
      <c r="L328" s="9"/>
      <c r="M328" s="9"/>
    </row>
    <row r="329" spans="5:13">
      <c r="E329" s="9"/>
      <c r="F329" s="9"/>
      <c r="G329" s="9"/>
      <c r="H329" s="9"/>
      <c r="I329" s="9"/>
      <c r="J329" s="9"/>
      <c r="K329" s="9"/>
      <c r="L329" s="9"/>
      <c r="M329" s="9"/>
    </row>
    <row r="330" spans="5:13">
      <c r="E330" s="9"/>
      <c r="F330" s="9"/>
      <c r="G330" s="9"/>
      <c r="H330" s="9"/>
      <c r="I330" s="9"/>
      <c r="J330" s="9"/>
      <c r="K330" s="9"/>
      <c r="L330" s="9"/>
      <c r="M330" s="9"/>
    </row>
    <row r="331" spans="5:13">
      <c r="E331" s="9"/>
      <c r="F331" s="9"/>
      <c r="G331" s="9"/>
      <c r="H331" s="9"/>
      <c r="I331" s="9"/>
      <c r="J331" s="9"/>
      <c r="K331" s="9"/>
      <c r="L331" s="9"/>
      <c r="M331" s="9"/>
    </row>
    <row r="332" spans="5:13">
      <c r="E332" s="9"/>
      <c r="F332" s="9"/>
      <c r="G332" s="9"/>
      <c r="H332" s="9"/>
      <c r="I332" s="9"/>
      <c r="J332" s="9"/>
      <c r="K332" s="9"/>
      <c r="L332" s="9"/>
      <c r="M332" s="9"/>
    </row>
    <row r="333" spans="5:13">
      <c r="E333" s="9"/>
      <c r="F333" s="9"/>
      <c r="G333" s="9"/>
      <c r="H333" s="9"/>
      <c r="I333" s="9"/>
      <c r="J333" s="9"/>
      <c r="K333" s="9"/>
      <c r="L333" s="9"/>
      <c r="M333" s="9"/>
    </row>
    <row r="334" spans="5:13">
      <c r="E334" s="9"/>
      <c r="F334" s="9" t="s">
        <v>370</v>
      </c>
      <c r="G334" s="9"/>
      <c r="H334" s="9"/>
      <c r="I334" s="9"/>
      <c r="J334" s="9"/>
      <c r="K334" s="9"/>
      <c r="L334" s="9"/>
      <c r="M334" s="9"/>
    </row>
    <row r="337" spans="5:13" ht="21">
      <c r="E337" s="281" t="s">
        <v>368</v>
      </c>
      <c r="F337" s="282"/>
      <c r="G337" s="282"/>
      <c r="H337" s="282"/>
      <c r="I337" s="282"/>
      <c r="J337" s="282"/>
      <c r="K337" s="282"/>
      <c r="L337" s="282"/>
      <c r="M337" s="282"/>
    </row>
    <row r="338" spans="5:13">
      <c r="E338" s="9"/>
      <c r="F338" s="9"/>
      <c r="G338" s="9"/>
      <c r="H338" s="9"/>
      <c r="I338" s="9"/>
      <c r="J338" s="9"/>
      <c r="K338" s="9"/>
      <c r="L338" s="9"/>
      <c r="M338" s="9"/>
    </row>
    <row r="339" spans="5:13">
      <c r="E339" s="9"/>
      <c r="F339" s="9"/>
      <c r="G339" s="9"/>
      <c r="H339" s="9"/>
      <c r="I339" s="9"/>
      <c r="J339" s="9"/>
      <c r="K339" s="9"/>
      <c r="L339" s="9"/>
      <c r="M339" s="9"/>
    </row>
    <row r="340" spans="5:13">
      <c r="E340" s="9"/>
      <c r="F340" s="9"/>
      <c r="G340" s="9"/>
      <c r="H340" s="9"/>
      <c r="I340" s="9"/>
      <c r="J340" s="9"/>
      <c r="K340" s="9"/>
      <c r="L340" s="9"/>
      <c r="M340" s="9"/>
    </row>
    <row r="341" spans="5:13">
      <c r="E341" s="9"/>
      <c r="F341" s="9"/>
      <c r="G341" s="9"/>
      <c r="H341" s="9"/>
      <c r="I341" s="9"/>
      <c r="J341" s="9"/>
      <c r="K341" s="9"/>
      <c r="L341" s="9"/>
      <c r="M341" s="9"/>
    </row>
    <row r="342" spans="5:13">
      <c r="E342" s="9"/>
      <c r="F342" s="9"/>
      <c r="G342" s="9"/>
      <c r="H342" s="9"/>
      <c r="I342" s="9"/>
      <c r="J342" s="9"/>
      <c r="K342" s="9"/>
      <c r="L342" s="9"/>
      <c r="M342" s="9"/>
    </row>
    <row r="343" spans="5:13">
      <c r="E343" s="9"/>
      <c r="F343" s="9"/>
      <c r="G343" s="9"/>
      <c r="H343" s="9"/>
      <c r="I343" s="9"/>
      <c r="J343" s="9"/>
      <c r="K343" s="9"/>
      <c r="L343" s="9"/>
      <c r="M343" s="9"/>
    </row>
    <row r="344" spans="5:13">
      <c r="E344" s="9"/>
      <c r="F344" s="9"/>
      <c r="G344" s="9"/>
      <c r="H344" s="9"/>
      <c r="I344" s="9"/>
      <c r="J344" s="9"/>
      <c r="K344" s="9"/>
      <c r="L344" s="9"/>
      <c r="M344" s="9"/>
    </row>
    <row r="345" spans="5:13">
      <c r="E345" s="9"/>
      <c r="F345" s="9"/>
      <c r="G345" s="9"/>
      <c r="H345" s="9"/>
      <c r="I345" s="9"/>
      <c r="J345" s="9"/>
      <c r="K345" s="9"/>
      <c r="L345" s="9"/>
      <c r="M345" s="9"/>
    </row>
    <row r="346" spans="5:13">
      <c r="E346" s="9"/>
      <c r="F346" s="9"/>
      <c r="G346" s="9"/>
      <c r="H346" s="9"/>
      <c r="I346" s="9"/>
      <c r="J346" s="9"/>
      <c r="K346" s="9"/>
      <c r="L346" s="9"/>
      <c r="M346" s="9"/>
    </row>
    <row r="347" spans="5:13">
      <c r="E347" s="9"/>
      <c r="F347" s="9"/>
      <c r="G347" s="9"/>
      <c r="H347" s="9"/>
      <c r="I347" s="9"/>
      <c r="J347" s="9"/>
      <c r="K347" s="9"/>
      <c r="L347" s="9"/>
      <c r="M347" s="9"/>
    </row>
    <row r="348" spans="5:13">
      <c r="E348" s="9"/>
      <c r="F348" s="9"/>
      <c r="G348" s="9"/>
      <c r="H348" s="9"/>
      <c r="I348" s="9"/>
      <c r="J348" s="9"/>
      <c r="K348" s="9"/>
      <c r="L348" s="9"/>
      <c r="M348" s="9"/>
    </row>
    <row r="349" spans="5:13">
      <c r="E349" s="9"/>
      <c r="F349" s="9"/>
      <c r="G349" s="9"/>
      <c r="H349" s="9"/>
      <c r="I349" s="9"/>
      <c r="J349" s="9"/>
      <c r="K349" s="9"/>
      <c r="L349" s="9"/>
      <c r="M349" s="9"/>
    </row>
    <row r="350" spans="5:13">
      <c r="E350" s="9"/>
      <c r="F350" s="9"/>
      <c r="G350" s="9"/>
      <c r="H350" s="9"/>
      <c r="I350" s="9"/>
      <c r="J350" s="9"/>
      <c r="K350" s="9"/>
      <c r="L350" s="9"/>
      <c r="M350" s="9"/>
    </row>
    <row r="351" spans="5:13">
      <c r="E351" s="9"/>
      <c r="F351" s="9"/>
      <c r="G351" s="9"/>
      <c r="H351" s="9"/>
      <c r="I351" s="9"/>
      <c r="J351" s="9"/>
      <c r="K351" s="9"/>
      <c r="L351" s="9"/>
      <c r="M351" s="9"/>
    </row>
    <row r="352" spans="5:13">
      <c r="E352" s="9"/>
      <c r="F352" s="9"/>
      <c r="G352" s="9"/>
      <c r="H352" s="9"/>
      <c r="I352" s="9"/>
      <c r="J352" s="9"/>
      <c r="K352" s="9"/>
      <c r="L352" s="9"/>
      <c r="M352" s="9"/>
    </row>
    <row r="353" spans="5:13">
      <c r="E353" s="9"/>
      <c r="F353" s="9"/>
      <c r="G353" s="9"/>
      <c r="H353" s="9"/>
      <c r="I353" s="9"/>
      <c r="J353" s="9"/>
      <c r="K353" s="9"/>
      <c r="L353" s="9"/>
      <c r="M353" s="9"/>
    </row>
    <row r="354" spans="5:13">
      <c r="E354" s="9"/>
      <c r="F354" s="9"/>
      <c r="G354" s="9"/>
      <c r="H354" s="9"/>
      <c r="I354" s="9"/>
      <c r="J354" s="9"/>
      <c r="K354" s="9"/>
      <c r="L354" s="9"/>
      <c r="M354" s="9"/>
    </row>
    <row r="355" spans="5:13">
      <c r="E355" s="9"/>
      <c r="F355" s="9"/>
      <c r="G355" s="9"/>
      <c r="H355" s="9"/>
      <c r="I355" s="9"/>
      <c r="J355" s="9"/>
      <c r="K355" s="9"/>
      <c r="L355" s="9"/>
      <c r="M355" s="9"/>
    </row>
    <row r="356" spans="5:13">
      <c r="E356" s="9"/>
      <c r="F356" s="9"/>
      <c r="G356" s="9"/>
      <c r="H356" s="9"/>
      <c r="I356" s="9"/>
      <c r="J356" s="9"/>
      <c r="K356" s="9"/>
      <c r="L356" s="9"/>
      <c r="M356" s="9"/>
    </row>
    <row r="357" spans="5:13">
      <c r="E357" s="9"/>
      <c r="F357" s="9"/>
      <c r="G357" s="9"/>
      <c r="H357" s="9"/>
      <c r="I357" s="9"/>
      <c r="J357" s="9"/>
      <c r="K357" s="9"/>
      <c r="L357" s="9"/>
      <c r="M357" s="9"/>
    </row>
    <row r="358" spans="5:13">
      <c r="E358" s="9"/>
      <c r="F358" s="9"/>
      <c r="G358" s="9"/>
      <c r="H358" s="9"/>
      <c r="I358" s="9"/>
      <c r="J358" s="9"/>
      <c r="K358" s="9"/>
      <c r="L358" s="9"/>
      <c r="M358" s="9"/>
    </row>
    <row r="359" spans="5:13">
      <c r="E359" s="9"/>
      <c r="F359" s="9"/>
      <c r="G359" s="9"/>
      <c r="H359" s="9"/>
      <c r="I359" s="9"/>
      <c r="J359" s="9"/>
      <c r="K359" s="9"/>
      <c r="L359" s="9"/>
      <c r="M359" s="9"/>
    </row>
    <row r="360" spans="5:13">
      <c r="E360" s="9"/>
      <c r="F360" s="9"/>
      <c r="G360" s="9"/>
      <c r="H360" s="9"/>
      <c r="I360" s="9"/>
      <c r="J360" s="9"/>
      <c r="K360" s="9"/>
      <c r="L360" s="9"/>
      <c r="M360" s="9"/>
    </row>
    <row r="361" spans="5:13">
      <c r="E361" s="9"/>
      <c r="F361" s="9"/>
      <c r="G361" s="9"/>
      <c r="H361" s="9"/>
      <c r="I361" s="9"/>
      <c r="J361" s="9"/>
      <c r="K361" s="9"/>
      <c r="L361" s="9"/>
      <c r="M361" s="9"/>
    </row>
    <row r="362" spans="5:13">
      <c r="E362" s="9"/>
      <c r="F362" s="9"/>
      <c r="G362" s="9"/>
      <c r="H362" s="9"/>
      <c r="I362" s="9"/>
      <c r="J362" s="9"/>
      <c r="K362" s="9"/>
      <c r="L362" s="9"/>
      <c r="M362" s="9"/>
    </row>
    <row r="363" spans="5:13">
      <c r="E363" s="9"/>
      <c r="F363" s="9"/>
      <c r="G363" s="9"/>
      <c r="H363" s="9"/>
      <c r="I363" s="9"/>
      <c r="J363" s="9"/>
      <c r="K363" s="9"/>
      <c r="L363" s="9"/>
      <c r="M363" s="9"/>
    </row>
    <row r="364" spans="5:13">
      <c r="E364" s="9"/>
      <c r="F364" s="9" t="s">
        <v>369</v>
      </c>
      <c r="G364" s="9"/>
      <c r="H364" s="9"/>
      <c r="I364" s="9"/>
      <c r="J364" s="9"/>
      <c r="K364" s="9"/>
      <c r="L364" s="9"/>
      <c r="M364" s="9"/>
    </row>
  </sheetData>
  <mergeCells count="11">
    <mergeCell ref="A68:A73"/>
    <mergeCell ref="A82:A91"/>
    <mergeCell ref="A93:A98"/>
    <mergeCell ref="E277:M277"/>
    <mergeCell ref="E307:M307"/>
    <mergeCell ref="A75:A80"/>
    <mergeCell ref="E337:M337"/>
    <mergeCell ref="A205:C205"/>
    <mergeCell ref="A100:A105"/>
    <mergeCell ref="A107:A108"/>
    <mergeCell ref="A110:A111"/>
  </mergeCells>
  <pageMargins left="0.7" right="0.7" top="0.75" bottom="0.75" header="0.3" footer="0.3"/>
  <pageSetup orientation="portrait" horizontalDpi="4294967293" verticalDpi="4294967293" r:id="rId1"/>
  <drawing r:id="rId2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325"/>
  <sheetViews>
    <sheetView topLeftCell="A297" zoomScale="80" zoomScaleNormal="80" workbookViewId="0">
      <selection activeCell="D315" sqref="D315"/>
    </sheetView>
  </sheetViews>
  <sheetFormatPr defaultColWidth="8.77734375" defaultRowHeight="14.4"/>
  <cols>
    <col min="1" max="1" width="11.6640625" customWidth="1"/>
    <col min="3" max="3" width="19.109375" bestFit="1" customWidth="1"/>
    <col min="4" max="4" width="9.88671875" customWidth="1"/>
    <col min="6" max="6" width="19.109375" bestFit="1" customWidth="1"/>
    <col min="9" max="9" width="20.109375" bestFit="1" customWidth="1"/>
    <col min="12" max="12" width="18.109375" bestFit="1" customWidth="1"/>
    <col min="15" max="15" width="19.77734375" bestFit="1" customWidth="1"/>
    <col min="18" max="18" width="18.77734375" style="166" bestFit="1" customWidth="1"/>
    <col min="20" max="20" width="9.77734375" customWidth="1"/>
    <col min="21" max="21" width="17.21875" customWidth="1"/>
    <col min="24" max="24" width="17.33203125" customWidth="1"/>
    <col min="27" max="27" width="16.88671875" customWidth="1"/>
    <col min="30" max="30" width="15.21875" customWidth="1"/>
  </cols>
  <sheetData>
    <row r="1" spans="2:20" s="31" customFormat="1" ht="28.8">
      <c r="C1" s="31" t="s">
        <v>311</v>
      </c>
      <c r="E1" s="169" t="s">
        <v>321</v>
      </c>
      <c r="F1" s="31" t="s">
        <v>312</v>
      </c>
      <c r="I1" s="31" t="s">
        <v>313</v>
      </c>
      <c r="K1" s="169" t="s">
        <v>321</v>
      </c>
      <c r="L1" s="31" t="s">
        <v>314</v>
      </c>
      <c r="O1" s="31" t="s">
        <v>315</v>
      </c>
      <c r="Q1" s="169" t="s">
        <v>322</v>
      </c>
      <c r="R1" s="31" t="s">
        <v>316</v>
      </c>
    </row>
    <row r="2" spans="2:20" s="31" customFormat="1">
      <c r="B2" s="184">
        <v>0.01</v>
      </c>
      <c r="C2" s="166">
        <v>27050000000</v>
      </c>
      <c r="E2" s="184">
        <v>0.01</v>
      </c>
      <c r="F2" s="166">
        <v>12160000000</v>
      </c>
      <c r="H2" s="184">
        <v>0.01</v>
      </c>
      <c r="I2" s="166">
        <v>35200000000</v>
      </c>
      <c r="K2" s="197">
        <v>0.01</v>
      </c>
      <c r="L2" s="166">
        <v>14000000000</v>
      </c>
      <c r="N2" s="184">
        <v>0.01</v>
      </c>
      <c r="O2" s="166">
        <v>-354400000000</v>
      </c>
      <c r="Q2" s="184">
        <v>0.01</v>
      </c>
      <c r="R2" s="166">
        <v>-74790000000</v>
      </c>
    </row>
    <row r="3" spans="2:20">
      <c r="B3" s="167">
        <v>0.05</v>
      </c>
      <c r="C3" s="166">
        <v>35460000000</v>
      </c>
      <c r="E3" s="167">
        <v>0.05</v>
      </c>
      <c r="F3" s="166">
        <v>14940000000</v>
      </c>
      <c r="H3" s="167">
        <v>0.05</v>
      </c>
      <c r="I3" s="166">
        <v>37140000000</v>
      </c>
      <c r="K3" s="167">
        <v>0.05</v>
      </c>
      <c r="L3" s="166">
        <v>15010000000</v>
      </c>
      <c r="N3" s="167">
        <v>0.05</v>
      </c>
      <c r="O3" s="166">
        <v>-191500000000</v>
      </c>
      <c r="Q3" s="167">
        <v>0.05</v>
      </c>
      <c r="R3" s="166">
        <v>-42590000000</v>
      </c>
      <c r="T3" s="166"/>
    </row>
    <row r="4" spans="2:20">
      <c r="B4" s="167">
        <v>0.1</v>
      </c>
      <c r="C4" s="166">
        <v>41600000000</v>
      </c>
      <c r="E4" s="167">
        <v>0.1</v>
      </c>
      <c r="F4" s="166">
        <v>16850000000</v>
      </c>
      <c r="H4" s="167">
        <v>0.1</v>
      </c>
      <c r="I4" s="166">
        <v>38430000000</v>
      </c>
      <c r="K4" s="167">
        <v>0.1</v>
      </c>
      <c r="L4" s="166">
        <v>15630000000</v>
      </c>
      <c r="N4" s="167">
        <v>0.1</v>
      </c>
      <c r="O4" s="166">
        <v>-139100000000</v>
      </c>
      <c r="Q4" s="167">
        <v>0.1</v>
      </c>
      <c r="R4" s="166">
        <v>-31700000000</v>
      </c>
      <c r="T4" s="166"/>
    </row>
    <row r="5" spans="2:20">
      <c r="B5" s="167">
        <v>0.15</v>
      </c>
      <c r="C5" s="166">
        <v>47090000000</v>
      </c>
      <c r="E5" s="167">
        <v>0.15</v>
      </c>
      <c r="F5" s="166">
        <v>18600000000</v>
      </c>
      <c r="H5" s="167">
        <v>0.15</v>
      </c>
      <c r="I5" s="166">
        <v>39450000000</v>
      </c>
      <c r="K5" s="167">
        <v>0.15</v>
      </c>
      <c r="L5" s="166">
        <v>16150000000</v>
      </c>
      <c r="N5" s="167">
        <v>0.15</v>
      </c>
      <c r="O5" s="166">
        <v>-109000000000</v>
      </c>
      <c r="Q5" s="167">
        <v>0.15</v>
      </c>
      <c r="R5" s="166">
        <v>-25660000000</v>
      </c>
      <c r="T5" s="166"/>
    </row>
    <row r="6" spans="2:20">
      <c r="B6" s="167">
        <v>0.2</v>
      </c>
      <c r="C6" s="166">
        <v>51890000000</v>
      </c>
      <c r="E6" s="167">
        <v>0.2</v>
      </c>
      <c r="F6" s="166">
        <v>20000000000</v>
      </c>
      <c r="H6" s="167">
        <v>0.2</v>
      </c>
      <c r="I6" s="166">
        <v>40400000000</v>
      </c>
      <c r="K6" s="167">
        <v>0.2</v>
      </c>
      <c r="L6" s="166">
        <v>16570000000</v>
      </c>
      <c r="N6" s="167">
        <v>0.2</v>
      </c>
      <c r="O6" s="166">
        <v>-89890000000</v>
      </c>
      <c r="Q6" s="167">
        <v>0.2</v>
      </c>
      <c r="R6" s="166">
        <v>-21340000000</v>
      </c>
      <c r="T6" s="166"/>
    </row>
    <row r="7" spans="2:20">
      <c r="B7" s="167">
        <v>0.25</v>
      </c>
      <c r="C7" s="166">
        <v>56700000000</v>
      </c>
      <c r="E7" s="167">
        <v>0.25</v>
      </c>
      <c r="F7" s="166">
        <v>21380000000</v>
      </c>
      <c r="H7" s="167">
        <v>0.25</v>
      </c>
      <c r="I7" s="166">
        <v>41270000000</v>
      </c>
      <c r="K7" s="167">
        <v>0.25</v>
      </c>
      <c r="L7" s="166">
        <v>16960000000</v>
      </c>
      <c r="N7" s="167">
        <v>0.25</v>
      </c>
      <c r="O7" s="166">
        <v>-76250000000</v>
      </c>
      <c r="Q7" s="167">
        <v>0.25</v>
      </c>
      <c r="R7" s="166">
        <v>-18400000000</v>
      </c>
      <c r="T7" s="166"/>
    </row>
    <row r="8" spans="2:20">
      <c r="B8" s="167">
        <v>0.3</v>
      </c>
      <c r="C8" s="166">
        <v>61460000000</v>
      </c>
      <c r="E8" s="167">
        <v>0.3</v>
      </c>
      <c r="F8" s="166">
        <v>22630000000</v>
      </c>
      <c r="H8" s="167">
        <v>0.3</v>
      </c>
      <c r="I8" s="166">
        <v>42090000000</v>
      </c>
      <c r="K8" s="167">
        <v>0.3</v>
      </c>
      <c r="L8" s="166">
        <v>17310000000</v>
      </c>
      <c r="N8" s="167">
        <v>0.3</v>
      </c>
      <c r="O8" s="166">
        <v>-65000000000</v>
      </c>
      <c r="Q8" s="167">
        <v>0.3</v>
      </c>
      <c r="R8" s="166">
        <v>-16010000000</v>
      </c>
      <c r="T8" s="166"/>
    </row>
    <row r="9" spans="2:20">
      <c r="B9" s="167">
        <v>0.35</v>
      </c>
      <c r="C9" s="166">
        <v>66870000000</v>
      </c>
      <c r="E9" s="167">
        <v>0.35</v>
      </c>
      <c r="F9" s="166">
        <v>24120000000</v>
      </c>
      <c r="H9" s="167">
        <v>0.35</v>
      </c>
      <c r="I9" s="166">
        <v>42980000000</v>
      </c>
      <c r="K9" s="167">
        <v>0.35</v>
      </c>
      <c r="L9" s="166">
        <v>17670000000</v>
      </c>
      <c r="N9" s="167">
        <v>0.35</v>
      </c>
      <c r="O9" s="166">
        <v>-56230000000</v>
      </c>
      <c r="Q9" s="167">
        <v>0.35</v>
      </c>
      <c r="R9" s="166">
        <v>-13910000000</v>
      </c>
      <c r="T9" s="166"/>
    </row>
    <row r="10" spans="2:20">
      <c r="B10" s="167">
        <v>0.4</v>
      </c>
      <c r="C10" s="166">
        <v>72100000000</v>
      </c>
      <c r="E10" s="167">
        <v>0.4</v>
      </c>
      <c r="F10" s="166">
        <v>25480000000</v>
      </c>
      <c r="H10" s="167">
        <v>0.4</v>
      </c>
      <c r="I10" s="166">
        <v>43900000000</v>
      </c>
      <c r="K10" s="167">
        <v>0.4</v>
      </c>
      <c r="L10" s="166">
        <v>18040000000</v>
      </c>
      <c r="N10" s="167">
        <v>0.4</v>
      </c>
      <c r="O10" s="166">
        <v>-48430000000</v>
      </c>
      <c r="Q10" s="167">
        <v>0.4</v>
      </c>
      <c r="R10" s="166">
        <v>-12180000000</v>
      </c>
      <c r="T10" s="166"/>
    </row>
    <row r="11" spans="2:20">
      <c r="B11" s="167">
        <v>0.45</v>
      </c>
      <c r="C11" s="166">
        <v>77470000000</v>
      </c>
      <c r="E11" s="167">
        <v>0.45</v>
      </c>
      <c r="F11" s="166">
        <v>26910000000</v>
      </c>
      <c r="H11" s="167">
        <v>0.45</v>
      </c>
      <c r="I11" s="166">
        <v>44810000000</v>
      </c>
      <c r="K11" s="167">
        <v>0.45</v>
      </c>
      <c r="L11" s="166">
        <v>18440000000</v>
      </c>
      <c r="N11" s="167">
        <v>0.45</v>
      </c>
      <c r="O11" s="166">
        <v>-41780000000</v>
      </c>
      <c r="Q11" s="167">
        <v>0.45</v>
      </c>
      <c r="R11" s="166">
        <v>-10710000000</v>
      </c>
      <c r="T11" s="166"/>
    </row>
    <row r="12" spans="2:20">
      <c r="B12" s="167">
        <v>0.5</v>
      </c>
      <c r="C12" s="166">
        <v>83320000000</v>
      </c>
      <c r="E12" s="167">
        <v>0.5</v>
      </c>
      <c r="F12" s="166">
        <v>28440000000</v>
      </c>
      <c r="H12" s="167">
        <v>0.5</v>
      </c>
      <c r="I12" s="166">
        <v>45840000000</v>
      </c>
      <c r="K12" s="167">
        <v>0.5</v>
      </c>
      <c r="L12" s="166">
        <v>18840000000</v>
      </c>
      <c r="N12" s="167">
        <v>0.5</v>
      </c>
      <c r="O12" s="166">
        <v>-36280000000</v>
      </c>
      <c r="Q12" s="167">
        <v>0.5</v>
      </c>
      <c r="R12" s="166">
        <v>-9274000000</v>
      </c>
      <c r="T12" s="166"/>
    </row>
    <row r="13" spans="2:20">
      <c r="B13" s="167">
        <v>0.55000000000000004</v>
      </c>
      <c r="C13" s="166">
        <v>90160000000</v>
      </c>
      <c r="E13" s="167">
        <v>0.55000000000000004</v>
      </c>
      <c r="F13" s="166">
        <v>30270000000</v>
      </c>
      <c r="H13" s="167">
        <v>0.55000000000000004</v>
      </c>
      <c r="I13" s="166">
        <v>46980000000</v>
      </c>
      <c r="K13" s="167">
        <v>0.55000000000000004</v>
      </c>
      <c r="L13" s="166">
        <v>19280000000</v>
      </c>
      <c r="N13" s="167">
        <v>0.55000000000000004</v>
      </c>
      <c r="O13" s="166">
        <v>-30980000000</v>
      </c>
      <c r="Q13" s="167">
        <v>0.55000000000000004</v>
      </c>
      <c r="R13" s="166">
        <v>-8036000000</v>
      </c>
      <c r="T13" s="166"/>
    </row>
    <row r="14" spans="2:20">
      <c r="B14" s="167">
        <v>0.6</v>
      </c>
      <c r="C14" s="166">
        <v>97480000000</v>
      </c>
      <c r="E14" s="167">
        <v>0.6</v>
      </c>
      <c r="F14" s="166">
        <v>32190000000</v>
      </c>
      <c r="H14" s="167">
        <v>0.6</v>
      </c>
      <c r="I14" s="166">
        <v>48240000000</v>
      </c>
      <c r="K14" s="167">
        <v>0.6</v>
      </c>
      <c r="L14" s="166">
        <v>19720000000</v>
      </c>
      <c r="N14" s="167">
        <v>0.6</v>
      </c>
      <c r="O14" s="166">
        <v>-26290000000</v>
      </c>
      <c r="Q14" s="167">
        <v>0.6</v>
      </c>
      <c r="R14" s="166">
        <v>-6849000000</v>
      </c>
      <c r="T14" s="166"/>
    </row>
    <row r="15" spans="2:20">
      <c r="B15" s="167">
        <v>0.65</v>
      </c>
      <c r="C15" s="166">
        <v>106600000000</v>
      </c>
      <c r="E15" s="167">
        <v>0.65</v>
      </c>
      <c r="F15" s="166">
        <v>34210000000</v>
      </c>
      <c r="H15" s="167">
        <v>0.65</v>
      </c>
      <c r="I15" s="166">
        <v>49750000000</v>
      </c>
      <c r="K15" s="167">
        <v>0.65</v>
      </c>
      <c r="L15" s="166">
        <v>20240000000</v>
      </c>
      <c r="N15" s="167">
        <v>0.65</v>
      </c>
      <c r="O15" s="166">
        <v>-21390000000</v>
      </c>
      <c r="Q15" s="167">
        <v>0.65</v>
      </c>
      <c r="R15" s="166">
        <v>-5718000000</v>
      </c>
      <c r="T15" s="166"/>
    </row>
    <row r="16" spans="2:20">
      <c r="B16" s="167">
        <v>0.7</v>
      </c>
      <c r="C16" s="166">
        <v>116900000000</v>
      </c>
      <c r="E16" s="167">
        <v>0.7</v>
      </c>
      <c r="F16" s="166">
        <v>36690000000</v>
      </c>
      <c r="H16" s="167">
        <v>0.7</v>
      </c>
      <c r="I16" s="166">
        <v>51390000000</v>
      </c>
      <c r="K16" s="167">
        <v>0.7</v>
      </c>
      <c r="L16" s="166">
        <v>20770000000</v>
      </c>
      <c r="N16" s="167">
        <v>0.7</v>
      </c>
      <c r="O16" s="166">
        <v>-16900000000</v>
      </c>
      <c r="Q16" s="167">
        <v>0.7</v>
      </c>
      <c r="R16" s="166">
        <v>-4647000000</v>
      </c>
      <c r="T16" s="166"/>
    </row>
    <row r="17" spans="2:20">
      <c r="B17" s="167">
        <v>0.75</v>
      </c>
      <c r="C17" s="166">
        <v>130000000000</v>
      </c>
      <c r="E17" s="167">
        <v>0.75</v>
      </c>
      <c r="F17" s="166">
        <v>39710000000</v>
      </c>
      <c r="H17" s="167">
        <v>0.75</v>
      </c>
      <c r="I17" s="166">
        <v>53620000000</v>
      </c>
      <c r="K17" s="167">
        <v>0.75</v>
      </c>
      <c r="L17" s="166">
        <v>21410000000</v>
      </c>
      <c r="N17" s="167">
        <v>0.75</v>
      </c>
      <c r="O17" s="166">
        <v>-12780000000</v>
      </c>
      <c r="Q17" s="167">
        <v>0.75</v>
      </c>
      <c r="R17" s="166">
        <v>-3509000000</v>
      </c>
      <c r="T17" s="166"/>
    </row>
    <row r="18" spans="2:20">
      <c r="B18" s="167">
        <v>0.8</v>
      </c>
      <c r="C18" s="166">
        <v>144900000000</v>
      </c>
      <c r="E18" s="167">
        <v>0.8</v>
      </c>
      <c r="F18" s="166">
        <v>43260000000</v>
      </c>
      <c r="H18" s="167">
        <v>0.8</v>
      </c>
      <c r="I18" s="166">
        <v>56270000000</v>
      </c>
      <c r="K18" s="167">
        <v>0.8</v>
      </c>
      <c r="L18" s="166">
        <v>22350000000</v>
      </c>
      <c r="N18" s="167">
        <v>0.8</v>
      </c>
      <c r="O18" s="166">
        <v>-8679000000</v>
      </c>
      <c r="Q18" s="167">
        <v>0.8</v>
      </c>
      <c r="R18" s="166">
        <v>-2397000000</v>
      </c>
      <c r="T18" s="166"/>
    </row>
    <row r="19" spans="2:20">
      <c r="B19" s="167">
        <v>0.85</v>
      </c>
      <c r="C19" s="166">
        <v>167400000000</v>
      </c>
      <c r="E19" s="167">
        <v>0.85</v>
      </c>
      <c r="F19" s="166">
        <v>48370000000</v>
      </c>
      <c r="H19" s="167">
        <v>0.85</v>
      </c>
      <c r="I19" s="166">
        <v>60480000000</v>
      </c>
      <c r="K19" s="167">
        <v>0.85</v>
      </c>
      <c r="L19" s="166">
        <v>23420000000</v>
      </c>
      <c r="N19" s="167">
        <v>0.85</v>
      </c>
      <c r="O19" s="166">
        <v>-4107000000</v>
      </c>
      <c r="Q19" s="167">
        <v>0.85</v>
      </c>
      <c r="R19" s="166">
        <v>-1217000000</v>
      </c>
      <c r="T19" s="166"/>
    </row>
    <row r="20" spans="2:20">
      <c r="B20" s="167">
        <v>0.9</v>
      </c>
      <c r="C20" s="166">
        <v>201300000000</v>
      </c>
      <c r="E20" s="167">
        <v>0.9</v>
      </c>
      <c r="F20" s="166">
        <v>55500000000</v>
      </c>
      <c r="H20" s="167">
        <v>0.9</v>
      </c>
      <c r="I20" s="166">
        <v>66720000000</v>
      </c>
      <c r="K20" s="167">
        <v>0.9</v>
      </c>
      <c r="L20" s="166">
        <v>25130000000</v>
      </c>
      <c r="N20" s="167">
        <v>0.9</v>
      </c>
      <c r="O20" s="166">
        <v>334919963.69</v>
      </c>
      <c r="Q20" s="167">
        <v>0.9</v>
      </c>
      <c r="R20" s="166">
        <v>40485982.450000003</v>
      </c>
      <c r="T20" s="166"/>
    </row>
    <row r="21" spans="2:20">
      <c r="B21" s="167">
        <v>0.95</v>
      </c>
      <c r="C21" s="166">
        <v>261200000000</v>
      </c>
      <c r="E21" s="167">
        <v>0.95</v>
      </c>
      <c r="F21" s="166">
        <v>68180000000</v>
      </c>
      <c r="H21" s="167">
        <v>0.95</v>
      </c>
      <c r="I21" s="166">
        <v>80950000000</v>
      </c>
      <c r="K21" s="167">
        <v>0.95</v>
      </c>
      <c r="L21" s="166">
        <v>28830000000</v>
      </c>
      <c r="N21" s="167">
        <v>0.95</v>
      </c>
      <c r="O21" s="166">
        <v>7237000000</v>
      </c>
      <c r="Q21" s="167">
        <v>0.95</v>
      </c>
      <c r="R21" s="166">
        <v>1954000000</v>
      </c>
      <c r="T21" s="166"/>
    </row>
    <row r="22" spans="2:20" s="9" customFormat="1">
      <c r="B22" s="167">
        <v>0.99</v>
      </c>
      <c r="C22" s="166">
        <v>444400000000</v>
      </c>
      <c r="E22" s="167">
        <v>0.99</v>
      </c>
      <c r="F22" s="166">
        <v>105100000000</v>
      </c>
      <c r="H22" s="167">
        <v>0.99</v>
      </c>
      <c r="I22" s="166">
        <v>173200000000</v>
      </c>
      <c r="K22" s="167">
        <v>0.99</v>
      </c>
      <c r="L22" s="166">
        <v>49230000000</v>
      </c>
      <c r="N22" s="167">
        <v>0.99</v>
      </c>
      <c r="O22" s="166">
        <v>52250000000</v>
      </c>
      <c r="Q22" s="167">
        <v>0.99</v>
      </c>
      <c r="R22" s="166">
        <v>13630000000</v>
      </c>
    </row>
    <row r="24" spans="2:20" s="31" customFormat="1" ht="115.2">
      <c r="I24" s="31" t="s">
        <v>317</v>
      </c>
      <c r="L24" s="31" t="s">
        <v>318</v>
      </c>
      <c r="O24" s="31" t="s">
        <v>319</v>
      </c>
      <c r="Q24" s="169" t="s">
        <v>323</v>
      </c>
      <c r="R24" s="31" t="s">
        <v>320</v>
      </c>
      <c r="S24" s="184"/>
      <c r="T24" s="166"/>
    </row>
    <row r="25" spans="2:20" s="31" customFormat="1">
      <c r="H25" s="184">
        <v>0.01</v>
      </c>
      <c r="I25" s="166">
        <v>28800000000</v>
      </c>
      <c r="K25" s="167">
        <v>0.01</v>
      </c>
      <c r="L25" s="166">
        <v>12420000000</v>
      </c>
      <c r="N25" s="167">
        <v>0.01</v>
      </c>
      <c r="O25" s="166">
        <v>-192000000000</v>
      </c>
      <c r="Q25" s="167">
        <v>0.01</v>
      </c>
      <c r="R25" s="166">
        <v>-40040000000</v>
      </c>
      <c r="S25" s="184"/>
    </row>
    <row r="26" spans="2:20">
      <c r="E26" s="167"/>
      <c r="F26" s="166"/>
      <c r="H26" s="167">
        <v>0.05</v>
      </c>
      <c r="I26" s="166">
        <v>33780000000</v>
      </c>
      <c r="K26" s="167">
        <v>0.05</v>
      </c>
      <c r="L26" s="166">
        <v>14190000000</v>
      </c>
      <c r="N26" s="167">
        <v>0.05</v>
      </c>
      <c r="O26" s="166">
        <v>-103900000000</v>
      </c>
      <c r="Q26" s="167">
        <v>0.05</v>
      </c>
      <c r="R26" s="166">
        <v>-22610000000</v>
      </c>
      <c r="S26" s="167"/>
    </row>
    <row r="27" spans="2:20">
      <c r="E27" s="167"/>
      <c r="F27" s="166"/>
      <c r="H27" s="167">
        <v>0.1</v>
      </c>
      <c r="I27" s="166">
        <v>37690000000</v>
      </c>
      <c r="K27" s="167">
        <v>0.1</v>
      </c>
      <c r="L27" s="166">
        <v>15620000000</v>
      </c>
      <c r="N27" s="167">
        <v>0.1</v>
      </c>
      <c r="O27" s="166">
        <v>-72680000000</v>
      </c>
      <c r="Q27" s="167">
        <v>0.1</v>
      </c>
      <c r="R27" s="166">
        <v>-16430000000</v>
      </c>
      <c r="S27" s="167"/>
    </row>
    <row r="28" spans="2:20">
      <c r="E28" s="167"/>
      <c r="F28" s="166"/>
      <c r="H28" s="167">
        <v>0.15</v>
      </c>
      <c r="I28" s="166">
        <v>41060000000</v>
      </c>
      <c r="K28" s="167">
        <v>0.15</v>
      </c>
      <c r="L28" s="166">
        <v>16660000000</v>
      </c>
      <c r="N28" s="167">
        <v>0.15</v>
      </c>
      <c r="O28" s="166">
        <v>-56980000000</v>
      </c>
      <c r="Q28" s="167">
        <v>0.15</v>
      </c>
      <c r="R28" s="166">
        <v>-13080000000</v>
      </c>
      <c r="S28" s="167"/>
    </row>
    <row r="29" spans="2:20">
      <c r="E29" s="167"/>
      <c r="F29" s="166"/>
      <c r="H29" s="167">
        <v>0.2</v>
      </c>
      <c r="I29" s="166">
        <v>44000000000</v>
      </c>
      <c r="K29" s="167">
        <v>0.2</v>
      </c>
      <c r="L29" s="166">
        <v>17630000000</v>
      </c>
      <c r="N29" s="167">
        <v>0.2</v>
      </c>
      <c r="O29" s="166">
        <v>-45920000000</v>
      </c>
      <c r="Q29" s="167">
        <v>0.2</v>
      </c>
      <c r="R29" s="166">
        <v>-10780000000</v>
      </c>
      <c r="S29" s="167"/>
    </row>
    <row r="30" spans="2:20">
      <c r="E30" s="167"/>
      <c r="F30" s="166"/>
      <c r="H30" s="167">
        <v>0.25</v>
      </c>
      <c r="I30" s="166">
        <v>46810000000</v>
      </c>
      <c r="K30" s="167">
        <v>0.25</v>
      </c>
      <c r="L30" s="166">
        <v>18480000000</v>
      </c>
      <c r="N30" s="167">
        <v>0.25</v>
      </c>
      <c r="O30" s="166">
        <v>-38310000000</v>
      </c>
      <c r="Q30" s="167">
        <v>0.25</v>
      </c>
      <c r="R30" s="166">
        <v>-9183000000</v>
      </c>
      <c r="S30" s="167"/>
    </row>
    <row r="31" spans="2:20">
      <c r="E31" s="167"/>
      <c r="F31" s="166"/>
      <c r="H31" s="167">
        <v>0.3</v>
      </c>
      <c r="I31" s="166">
        <v>49880000000</v>
      </c>
      <c r="K31" s="167">
        <v>0.3</v>
      </c>
      <c r="L31" s="166">
        <v>19400000000</v>
      </c>
      <c r="N31" s="167">
        <v>0.3</v>
      </c>
      <c r="O31" s="166">
        <v>-32490000000</v>
      </c>
      <c r="Q31" s="167">
        <v>0.3</v>
      </c>
      <c r="R31" s="166">
        <v>-7824000000</v>
      </c>
      <c r="S31" s="167"/>
    </row>
    <row r="32" spans="2:20">
      <c r="E32" s="167"/>
      <c r="F32" s="166"/>
      <c r="H32" s="167">
        <v>0.35</v>
      </c>
      <c r="I32" s="166">
        <v>53090000000</v>
      </c>
      <c r="K32" s="167">
        <v>0.35</v>
      </c>
      <c r="L32" s="166">
        <v>20220000000</v>
      </c>
      <c r="N32" s="167">
        <v>0.35</v>
      </c>
      <c r="O32" s="166">
        <v>-27820000000</v>
      </c>
      <c r="Q32" s="167">
        <v>0.35</v>
      </c>
      <c r="R32" s="166">
        <v>-6664000000</v>
      </c>
      <c r="S32" s="167"/>
    </row>
    <row r="33" spans="5:20">
      <c r="E33" s="167"/>
      <c r="F33" s="166"/>
      <c r="H33" s="167">
        <v>0.4</v>
      </c>
      <c r="I33" s="166">
        <v>56180000000</v>
      </c>
      <c r="K33" s="167">
        <v>0.4</v>
      </c>
      <c r="L33" s="166">
        <v>21130000000</v>
      </c>
      <c r="N33" s="167">
        <v>0.4</v>
      </c>
      <c r="O33" s="166">
        <v>-23540000000</v>
      </c>
      <c r="Q33" s="167">
        <v>0.4</v>
      </c>
      <c r="R33" s="166">
        <v>-5717000000</v>
      </c>
      <c r="S33" s="167"/>
    </row>
    <row r="34" spans="5:20">
      <c r="E34" s="167"/>
      <c r="F34" s="166"/>
      <c r="H34" s="167">
        <v>0.45</v>
      </c>
      <c r="I34" s="166">
        <v>59700000000</v>
      </c>
      <c r="K34" s="167">
        <v>0.45</v>
      </c>
      <c r="L34" s="166">
        <v>22040000000</v>
      </c>
      <c r="N34" s="167">
        <v>0.45</v>
      </c>
      <c r="O34" s="166">
        <v>-19740000000</v>
      </c>
      <c r="Q34" s="167">
        <v>0.45</v>
      </c>
      <c r="R34" s="166">
        <v>-4845000000</v>
      </c>
      <c r="S34" s="167"/>
    </row>
    <row r="35" spans="5:20">
      <c r="E35" s="167"/>
      <c r="F35" s="166"/>
      <c r="H35" s="167">
        <v>0.5</v>
      </c>
      <c r="I35" s="166">
        <v>63410000000</v>
      </c>
      <c r="K35" s="167">
        <v>0.5</v>
      </c>
      <c r="L35" s="166">
        <v>23040000000</v>
      </c>
      <c r="N35" s="167">
        <v>0.5</v>
      </c>
      <c r="O35" s="166">
        <v>-16750000000</v>
      </c>
      <c r="Q35" s="167">
        <v>0.5</v>
      </c>
      <c r="R35" s="166">
        <v>-4093000000</v>
      </c>
      <c r="S35" s="167"/>
    </row>
    <row r="36" spans="5:20">
      <c r="E36" s="167"/>
      <c r="F36" s="166"/>
      <c r="H36" s="167">
        <v>0.55000000000000004</v>
      </c>
      <c r="I36" s="166">
        <v>67380000000</v>
      </c>
      <c r="K36" s="167">
        <v>0.55000000000000004</v>
      </c>
      <c r="L36" s="166">
        <v>24180000000</v>
      </c>
      <c r="N36" s="167">
        <v>0.55000000000000004</v>
      </c>
      <c r="O36" s="166">
        <v>-13690000000</v>
      </c>
      <c r="Q36" s="167">
        <v>0.55000000000000004</v>
      </c>
      <c r="R36" s="166">
        <v>-3359000000</v>
      </c>
      <c r="S36" s="167"/>
    </row>
    <row r="37" spans="5:20">
      <c r="E37" s="167"/>
      <c r="F37" s="166"/>
      <c r="H37" s="167">
        <v>0.6</v>
      </c>
      <c r="I37" s="166">
        <v>71950000000</v>
      </c>
      <c r="K37" s="167">
        <v>0.6</v>
      </c>
      <c r="L37" s="166">
        <v>25430000000</v>
      </c>
      <c r="N37" s="167">
        <v>0.6</v>
      </c>
      <c r="O37" s="166">
        <v>-10780000000</v>
      </c>
      <c r="Q37" s="167">
        <v>0.6</v>
      </c>
      <c r="R37" s="166">
        <v>-2628000000</v>
      </c>
      <c r="S37" s="167"/>
    </row>
    <row r="38" spans="5:20">
      <c r="E38" s="167"/>
      <c r="F38" s="166"/>
      <c r="H38" s="167">
        <v>0.65</v>
      </c>
      <c r="I38" s="166">
        <v>77290000000</v>
      </c>
      <c r="K38" s="167">
        <v>0.65</v>
      </c>
      <c r="L38" s="166">
        <v>26740000000</v>
      </c>
      <c r="N38" s="167">
        <v>0.65</v>
      </c>
      <c r="O38" s="166">
        <v>-8056000000</v>
      </c>
      <c r="Q38" s="167">
        <v>0.65</v>
      </c>
      <c r="R38" s="166">
        <v>-2002000000</v>
      </c>
      <c r="S38" s="167"/>
    </row>
    <row r="39" spans="5:20">
      <c r="E39" s="167"/>
      <c r="F39" s="166"/>
      <c r="H39" s="167">
        <v>0.7</v>
      </c>
      <c r="I39" s="166">
        <v>83170000000</v>
      </c>
      <c r="K39" s="167">
        <v>0.7</v>
      </c>
      <c r="L39" s="166">
        <v>28290000000</v>
      </c>
      <c r="N39" s="167">
        <v>0.7</v>
      </c>
      <c r="O39" s="166">
        <v>-5787000000</v>
      </c>
      <c r="Q39" s="167">
        <v>0.7</v>
      </c>
      <c r="R39" s="166">
        <v>-1399000000</v>
      </c>
      <c r="S39" s="167"/>
    </row>
    <row r="40" spans="5:20">
      <c r="E40" s="167"/>
      <c r="F40" s="166"/>
      <c r="H40" s="167">
        <v>0.75</v>
      </c>
      <c r="I40" s="166">
        <v>90760000000</v>
      </c>
      <c r="K40" s="167">
        <v>0.75</v>
      </c>
      <c r="L40" s="166">
        <v>30140000000</v>
      </c>
      <c r="N40" s="167">
        <v>0.75</v>
      </c>
      <c r="O40" s="166">
        <v>-3465000000</v>
      </c>
      <c r="Q40" s="167">
        <v>0.75</v>
      </c>
      <c r="R40" s="166">
        <v>-799176641.55999994</v>
      </c>
      <c r="S40" s="167"/>
    </row>
    <row r="41" spans="5:20">
      <c r="E41" s="167"/>
      <c r="F41" s="166"/>
      <c r="H41" s="167">
        <v>0.8</v>
      </c>
      <c r="I41" s="166">
        <v>100200000000</v>
      </c>
      <c r="K41" s="167">
        <v>0.8</v>
      </c>
      <c r="L41" s="166">
        <v>32440000000</v>
      </c>
      <c r="N41" s="167">
        <v>0.8</v>
      </c>
      <c r="O41" s="166">
        <v>-1114000000</v>
      </c>
      <c r="Q41" s="167">
        <v>0.8</v>
      </c>
      <c r="R41" s="166">
        <v>-213936981.12</v>
      </c>
      <c r="S41" s="167"/>
    </row>
    <row r="42" spans="5:20">
      <c r="E42" s="167"/>
      <c r="F42" s="166"/>
      <c r="H42" s="167">
        <v>0.85</v>
      </c>
      <c r="I42" s="166">
        <v>113600000000</v>
      </c>
      <c r="K42" s="167">
        <v>0.85</v>
      </c>
      <c r="L42" s="166">
        <v>35350000000</v>
      </c>
      <c r="N42" s="167">
        <v>0.85</v>
      </c>
      <c r="O42" s="166">
        <v>1423000000</v>
      </c>
      <c r="Q42" s="167">
        <v>0.85</v>
      </c>
      <c r="R42" s="166">
        <v>476421219.17000002</v>
      </c>
      <c r="S42" s="167"/>
    </row>
    <row r="43" spans="5:20">
      <c r="H43" s="167">
        <v>0.9</v>
      </c>
      <c r="I43" s="166">
        <v>133400000000</v>
      </c>
      <c r="K43" s="167">
        <v>0.9</v>
      </c>
      <c r="L43" s="166">
        <v>39250000000</v>
      </c>
      <c r="N43" s="167">
        <v>0.9</v>
      </c>
      <c r="O43" s="166">
        <v>4148000000</v>
      </c>
      <c r="Q43" s="167">
        <v>0.9</v>
      </c>
      <c r="R43" s="166">
        <v>1287000000</v>
      </c>
      <c r="S43" s="167"/>
    </row>
    <row r="44" spans="5:20">
      <c r="H44" s="167">
        <v>0.95</v>
      </c>
      <c r="I44" s="166">
        <v>170500000000</v>
      </c>
      <c r="K44" s="167">
        <v>0.95</v>
      </c>
      <c r="L44" s="166">
        <v>47750000000</v>
      </c>
      <c r="N44" s="167">
        <v>0.95</v>
      </c>
      <c r="O44" s="166">
        <v>9135000000</v>
      </c>
      <c r="Q44" s="167">
        <v>0.95</v>
      </c>
      <c r="R44" s="166">
        <v>2844000000</v>
      </c>
      <c r="S44" s="167"/>
    </row>
    <row r="45" spans="5:20" s="9" customFormat="1">
      <c r="H45" s="167">
        <v>0.99</v>
      </c>
      <c r="I45" s="166">
        <v>278100000000</v>
      </c>
      <c r="K45" s="167">
        <v>0.99</v>
      </c>
      <c r="L45" s="166">
        <v>69270000000</v>
      </c>
      <c r="N45" s="167">
        <v>0.99</v>
      </c>
      <c r="O45" s="166">
        <v>92220000000</v>
      </c>
      <c r="Q45" s="167">
        <v>0.99</v>
      </c>
      <c r="R45" s="166">
        <v>21640000000</v>
      </c>
      <c r="S45" s="167"/>
    </row>
    <row r="46" spans="5:20">
      <c r="L46" s="166"/>
      <c r="S46" s="167"/>
      <c r="T46" s="166"/>
    </row>
    <row r="47" spans="5:20" ht="43.2">
      <c r="I47" s="31" t="s">
        <v>327</v>
      </c>
      <c r="J47" s="9"/>
      <c r="K47" s="9"/>
      <c r="L47" s="166" t="s">
        <v>328</v>
      </c>
      <c r="M47" s="9"/>
      <c r="N47" s="9"/>
      <c r="O47" s="31" t="s">
        <v>329</v>
      </c>
      <c r="P47" s="9"/>
      <c r="Q47" s="9"/>
      <c r="R47" s="31" t="s">
        <v>330</v>
      </c>
    </row>
    <row r="48" spans="5:20">
      <c r="H48" s="167">
        <v>0.01</v>
      </c>
      <c r="I48" s="166">
        <v>39850000000</v>
      </c>
      <c r="K48" s="167">
        <v>0.01</v>
      </c>
      <c r="L48" s="166">
        <v>15060000000</v>
      </c>
      <c r="N48" s="167">
        <v>0.01</v>
      </c>
      <c r="O48" s="166">
        <v>-4836000000</v>
      </c>
      <c r="Q48" s="167">
        <v>0.01</v>
      </c>
      <c r="R48" s="166">
        <v>-1190000000</v>
      </c>
      <c r="T48" s="166"/>
    </row>
    <row r="49" spans="8:20">
      <c r="H49" s="167">
        <v>0.05</v>
      </c>
      <c r="I49" s="166">
        <v>41490000000</v>
      </c>
      <c r="K49" s="167">
        <v>0.05</v>
      </c>
      <c r="L49" s="166">
        <v>16030000000</v>
      </c>
      <c r="N49" s="167">
        <v>0.05</v>
      </c>
      <c r="O49" s="166">
        <v>-4516000000</v>
      </c>
      <c r="Q49" s="167">
        <v>0.05</v>
      </c>
      <c r="R49" s="166">
        <v>-1092000000</v>
      </c>
      <c r="T49" s="166"/>
    </row>
    <row r="50" spans="8:20">
      <c r="H50" s="167">
        <v>0.1</v>
      </c>
      <c r="I50" s="166">
        <v>42540000000</v>
      </c>
      <c r="K50" s="167">
        <v>0.1</v>
      </c>
      <c r="L50" s="166">
        <v>16590000000</v>
      </c>
      <c r="N50" s="167">
        <v>0.1</v>
      </c>
      <c r="O50" s="166">
        <v>-4249000000</v>
      </c>
      <c r="Q50" s="167">
        <v>0.1</v>
      </c>
      <c r="R50" s="166">
        <v>-1015000000</v>
      </c>
      <c r="T50" s="166"/>
    </row>
    <row r="51" spans="8:20">
      <c r="H51" s="167">
        <v>0.15</v>
      </c>
      <c r="I51" s="166">
        <v>43350000000</v>
      </c>
      <c r="K51" s="167">
        <v>0.15</v>
      </c>
      <c r="L51" s="166">
        <v>17000000000</v>
      </c>
      <c r="N51" s="167">
        <v>0.15</v>
      </c>
      <c r="O51" s="166">
        <v>-4000000000</v>
      </c>
      <c r="Q51" s="167">
        <v>0.15</v>
      </c>
      <c r="R51" s="166">
        <v>-946945046.17999995</v>
      </c>
      <c r="T51" s="166"/>
    </row>
    <row r="52" spans="8:20">
      <c r="H52" s="167">
        <v>0.2</v>
      </c>
      <c r="I52" s="166">
        <v>44020000000</v>
      </c>
      <c r="K52" s="167">
        <v>0.2</v>
      </c>
      <c r="L52" s="166">
        <v>17380000000</v>
      </c>
      <c r="N52" s="167">
        <v>0.2</v>
      </c>
      <c r="O52" s="166">
        <v>-3773000000</v>
      </c>
      <c r="Q52" s="167">
        <v>0.2</v>
      </c>
      <c r="R52" s="166">
        <v>-881502275.39999998</v>
      </c>
      <c r="T52" s="166"/>
    </row>
    <row r="53" spans="8:20">
      <c r="H53" s="167">
        <v>0.25</v>
      </c>
      <c r="I53" s="166">
        <v>44740000000</v>
      </c>
      <c r="K53" s="167">
        <v>0.25</v>
      </c>
      <c r="L53" s="166">
        <v>17710000000</v>
      </c>
      <c r="N53" s="167">
        <v>0.25</v>
      </c>
      <c r="O53" s="166">
        <v>-3567000000</v>
      </c>
      <c r="Q53" s="167">
        <v>0.25</v>
      </c>
      <c r="R53" s="166">
        <v>-827666153.26999998</v>
      </c>
      <c r="T53" s="166"/>
    </row>
    <row r="54" spans="8:20">
      <c r="H54" s="167">
        <v>0.3</v>
      </c>
      <c r="I54" s="166">
        <v>45390000000</v>
      </c>
      <c r="K54" s="167">
        <v>0.3</v>
      </c>
      <c r="L54" s="166">
        <v>18030000000</v>
      </c>
      <c r="N54" s="167">
        <v>0.3</v>
      </c>
      <c r="O54" s="166">
        <v>-3363000000</v>
      </c>
      <c r="Q54" s="167">
        <v>0.3</v>
      </c>
      <c r="R54" s="166">
        <v>-772697725.19000006</v>
      </c>
      <c r="T54" s="166"/>
    </row>
    <row r="55" spans="8:20">
      <c r="H55" s="167">
        <v>0.35</v>
      </c>
      <c r="I55" s="166">
        <v>46040000000</v>
      </c>
      <c r="K55" s="167">
        <v>0.35</v>
      </c>
      <c r="L55" s="166">
        <v>18330000000</v>
      </c>
      <c r="N55" s="167">
        <v>0.35</v>
      </c>
      <c r="O55" s="166">
        <v>-3136000000</v>
      </c>
      <c r="Q55" s="167">
        <v>0.35</v>
      </c>
      <c r="R55" s="166">
        <v>-710528186.23000002</v>
      </c>
      <c r="T55" s="166"/>
    </row>
    <row r="56" spans="8:20">
      <c r="H56" s="167">
        <v>0.4</v>
      </c>
      <c r="I56" s="166">
        <v>46720000000</v>
      </c>
      <c r="K56" s="167">
        <v>0.4</v>
      </c>
      <c r="L56" s="166">
        <v>18620000000</v>
      </c>
      <c r="N56" s="167">
        <v>0.4</v>
      </c>
      <c r="O56" s="166">
        <v>-2910000000</v>
      </c>
      <c r="Q56" s="167">
        <v>0.4</v>
      </c>
      <c r="R56" s="166">
        <v>-647580888.13</v>
      </c>
      <c r="T56" s="166"/>
    </row>
    <row r="57" spans="8:20">
      <c r="H57" s="167">
        <v>0.45</v>
      </c>
      <c r="I57" s="166">
        <v>47460000000</v>
      </c>
      <c r="K57" s="167">
        <v>0.45</v>
      </c>
      <c r="L57" s="166">
        <v>18950000000</v>
      </c>
      <c r="N57" s="167">
        <v>0.45</v>
      </c>
      <c r="O57" s="166">
        <v>-2650000000</v>
      </c>
      <c r="Q57" s="167">
        <v>0.45</v>
      </c>
      <c r="R57" s="166">
        <v>-578316447.63999999</v>
      </c>
      <c r="T57" s="166"/>
    </row>
    <row r="58" spans="8:20">
      <c r="H58" s="167">
        <v>0.5</v>
      </c>
      <c r="I58" s="166">
        <v>48220000000</v>
      </c>
      <c r="K58" s="167">
        <v>0.5</v>
      </c>
      <c r="L58" s="166">
        <v>19320000000</v>
      </c>
      <c r="N58" s="167">
        <v>0.5</v>
      </c>
      <c r="O58" s="166">
        <v>-2378000000</v>
      </c>
      <c r="Q58" s="167">
        <v>0.5</v>
      </c>
      <c r="R58" s="166">
        <v>-506131793.26999998</v>
      </c>
      <c r="T58" s="166"/>
    </row>
    <row r="59" spans="8:20">
      <c r="H59" s="167">
        <v>0.55000000000000004</v>
      </c>
      <c r="I59" s="166">
        <v>49050000000</v>
      </c>
      <c r="K59" s="167">
        <v>0.55000000000000004</v>
      </c>
      <c r="L59" s="166">
        <v>19660000000</v>
      </c>
      <c r="N59" s="167">
        <v>0.55000000000000004</v>
      </c>
      <c r="O59" s="166">
        <v>-2046000000</v>
      </c>
      <c r="Q59" s="167">
        <v>0.55000000000000004</v>
      </c>
      <c r="R59" s="166">
        <v>-423704114.05000001</v>
      </c>
      <c r="T59" s="166"/>
    </row>
    <row r="60" spans="8:20">
      <c r="H60" s="167">
        <v>0.6</v>
      </c>
      <c r="I60" s="166">
        <v>49920000000</v>
      </c>
      <c r="K60" s="167">
        <v>0.6</v>
      </c>
      <c r="L60" s="166">
        <v>20060000000</v>
      </c>
      <c r="N60" s="167">
        <v>0.6</v>
      </c>
      <c r="O60" s="166">
        <v>-1683000000</v>
      </c>
      <c r="Q60" s="167">
        <v>0.6</v>
      </c>
      <c r="R60" s="166">
        <v>-328689083.49000001</v>
      </c>
      <c r="T60" s="166"/>
    </row>
    <row r="61" spans="8:20">
      <c r="H61" s="167">
        <v>0.65</v>
      </c>
      <c r="I61" s="166">
        <v>51040000000</v>
      </c>
      <c r="K61" s="167">
        <v>0.65</v>
      </c>
      <c r="L61" s="166">
        <v>20450000000</v>
      </c>
      <c r="N61" s="167">
        <v>0.65</v>
      </c>
      <c r="O61" s="166">
        <v>-1234000000</v>
      </c>
      <c r="Q61" s="167">
        <v>0.65</v>
      </c>
      <c r="R61" s="166">
        <v>-227954038.75999999</v>
      </c>
      <c r="T61" s="166"/>
    </row>
    <row r="62" spans="8:20">
      <c r="H62" s="167">
        <v>0.7</v>
      </c>
      <c r="I62" s="166">
        <v>52180000000</v>
      </c>
      <c r="K62" s="167">
        <v>0.7</v>
      </c>
      <c r="L62" s="166">
        <v>20930000000</v>
      </c>
      <c r="N62" s="167">
        <v>0.7</v>
      </c>
      <c r="O62" s="166">
        <v>-738663867.53999996</v>
      </c>
      <c r="Q62" s="167">
        <v>0.7</v>
      </c>
      <c r="R62" s="166">
        <v>-95168246.109999999</v>
      </c>
      <c r="T62" s="166"/>
    </row>
    <row r="63" spans="8:20">
      <c r="H63" s="167">
        <v>0.75</v>
      </c>
      <c r="I63" s="166">
        <v>53720000000</v>
      </c>
      <c r="K63" s="167">
        <v>0.75</v>
      </c>
      <c r="L63" s="166">
        <v>21420000000</v>
      </c>
      <c r="N63" s="167">
        <v>0.75</v>
      </c>
      <c r="O63" s="166">
        <v>-62445908.170000002</v>
      </c>
      <c r="Q63" s="167">
        <v>0.75</v>
      </c>
      <c r="R63" s="166">
        <v>62610061.950000003</v>
      </c>
      <c r="T63" s="166"/>
    </row>
    <row r="64" spans="8:20">
      <c r="H64" s="167">
        <v>0.8</v>
      </c>
      <c r="I64" s="166">
        <v>55660000000</v>
      </c>
      <c r="K64" s="167">
        <v>0.8</v>
      </c>
      <c r="L64" s="166">
        <v>22090000000</v>
      </c>
      <c r="N64" s="167">
        <v>0.8</v>
      </c>
      <c r="O64" s="166">
        <v>727282416.77999997</v>
      </c>
      <c r="Q64" s="167">
        <v>0.8</v>
      </c>
      <c r="R64" s="166">
        <v>279986318.13999999</v>
      </c>
      <c r="T64" s="166"/>
    </row>
    <row r="65" spans="8:20">
      <c r="H65" s="167">
        <v>0.85</v>
      </c>
      <c r="I65" s="166">
        <v>58300000000</v>
      </c>
      <c r="K65" s="167">
        <v>0.85</v>
      </c>
      <c r="L65" s="166">
        <v>22950000000</v>
      </c>
      <c r="N65" s="167">
        <v>0.85</v>
      </c>
      <c r="O65" s="166">
        <v>1995000000</v>
      </c>
      <c r="Q65" s="167">
        <v>0.85</v>
      </c>
      <c r="R65" s="166">
        <v>576661955.37</v>
      </c>
      <c r="T65" s="166"/>
    </row>
    <row r="66" spans="8:20">
      <c r="H66" s="167">
        <v>0.9</v>
      </c>
      <c r="I66" s="166">
        <v>62280000000</v>
      </c>
      <c r="K66" s="167">
        <v>0.9</v>
      </c>
      <c r="L66" s="166">
        <v>24330000000</v>
      </c>
      <c r="N66" s="167">
        <v>0.9</v>
      </c>
      <c r="O66" s="166">
        <v>3963000000</v>
      </c>
      <c r="Q66" s="167">
        <v>0.9</v>
      </c>
      <c r="R66" s="166">
        <v>1051000000</v>
      </c>
      <c r="T66" s="166"/>
    </row>
    <row r="67" spans="8:20">
      <c r="H67" s="167">
        <v>0.95</v>
      </c>
      <c r="I67" s="166">
        <v>72980000000</v>
      </c>
      <c r="K67" s="167">
        <v>0.95</v>
      </c>
      <c r="L67" s="166">
        <v>26780000000</v>
      </c>
      <c r="N67" s="167">
        <v>0.95</v>
      </c>
      <c r="O67" s="166">
        <v>9171000000</v>
      </c>
      <c r="Q67" s="167">
        <v>0.95</v>
      </c>
      <c r="R67" s="166">
        <v>2304000000</v>
      </c>
      <c r="T67" s="166"/>
    </row>
    <row r="68" spans="8:20">
      <c r="H68" s="167">
        <v>0.99</v>
      </c>
      <c r="I68" s="166">
        <v>127000000000</v>
      </c>
      <c r="K68" s="167">
        <v>0.99</v>
      </c>
      <c r="L68" s="166">
        <v>38740000000</v>
      </c>
      <c r="N68" s="167">
        <v>0.99</v>
      </c>
      <c r="O68" s="166">
        <v>37060000000</v>
      </c>
      <c r="Q68" s="167">
        <v>0.99</v>
      </c>
      <c r="R68" s="166">
        <v>8294000000</v>
      </c>
      <c r="T68" s="166"/>
    </row>
    <row r="70" spans="8:20" ht="57.6">
      <c r="I70" s="31" t="s">
        <v>334</v>
      </c>
      <c r="J70" s="9"/>
      <c r="K70" s="9"/>
      <c r="L70" s="31" t="s">
        <v>331</v>
      </c>
      <c r="M70" s="9"/>
      <c r="N70" s="9"/>
      <c r="O70" s="31" t="s">
        <v>332</v>
      </c>
      <c r="P70" s="9"/>
      <c r="Q70" s="9"/>
      <c r="R70" s="31" t="s">
        <v>333</v>
      </c>
    </row>
    <row r="71" spans="8:20">
      <c r="H71" s="167">
        <v>0.01</v>
      </c>
      <c r="I71" s="166">
        <v>35650000000</v>
      </c>
      <c r="K71" s="167">
        <v>0.01</v>
      </c>
      <c r="L71" s="166">
        <v>14050000000</v>
      </c>
      <c r="N71" s="167">
        <v>0.01</v>
      </c>
      <c r="O71" s="166">
        <v>-7086000000</v>
      </c>
      <c r="Q71" s="167">
        <v>0.01</v>
      </c>
      <c r="R71" s="166">
        <v>-1824000000</v>
      </c>
      <c r="T71" s="166"/>
    </row>
    <row r="72" spans="8:20">
      <c r="H72" s="167">
        <v>0.05</v>
      </c>
      <c r="I72" s="166">
        <v>39550000000</v>
      </c>
      <c r="K72" s="167">
        <v>0.05</v>
      </c>
      <c r="L72" s="166">
        <v>15600000000</v>
      </c>
      <c r="N72" s="167">
        <v>0.05</v>
      </c>
      <c r="O72" s="166">
        <v>-5593000000</v>
      </c>
      <c r="Q72" s="167">
        <v>0.05</v>
      </c>
      <c r="R72" s="166">
        <v>-1385000000</v>
      </c>
      <c r="T72" s="166"/>
    </row>
    <row r="73" spans="8:20">
      <c r="H73" s="167">
        <v>0.1</v>
      </c>
      <c r="I73" s="166">
        <v>42200000000</v>
      </c>
      <c r="K73" s="167">
        <v>0.1</v>
      </c>
      <c r="L73" s="166">
        <v>16650000000</v>
      </c>
      <c r="N73" s="167">
        <v>0.1</v>
      </c>
      <c r="O73" s="166">
        <v>-4452000000</v>
      </c>
      <c r="Q73" s="167">
        <v>0.1</v>
      </c>
      <c r="R73" s="166">
        <v>-1055000000</v>
      </c>
      <c r="T73" s="166"/>
    </row>
    <row r="74" spans="8:20">
      <c r="H74" s="167">
        <v>0.15</v>
      </c>
      <c r="I74" s="166">
        <v>44580000000</v>
      </c>
      <c r="K74" s="167">
        <v>0.15</v>
      </c>
      <c r="L74" s="166">
        <v>17440000000</v>
      </c>
      <c r="N74" s="167">
        <v>0.15</v>
      </c>
      <c r="O74" s="166">
        <v>-3481000000</v>
      </c>
      <c r="Q74" s="167">
        <v>0.15</v>
      </c>
      <c r="R74" s="166">
        <v>-791250555.63999999</v>
      </c>
      <c r="T74" s="166"/>
    </row>
    <row r="75" spans="8:20">
      <c r="H75" s="167">
        <v>0.2</v>
      </c>
      <c r="I75" s="166">
        <v>46630000000</v>
      </c>
      <c r="K75" s="167">
        <v>0.2</v>
      </c>
      <c r="L75" s="166">
        <v>18140000000</v>
      </c>
      <c r="N75" s="167">
        <v>0.2</v>
      </c>
      <c r="O75" s="166">
        <v>-2563000000</v>
      </c>
      <c r="Q75" s="167">
        <v>0.2</v>
      </c>
      <c r="R75" s="166">
        <v>-553506844.47000003</v>
      </c>
      <c r="T75" s="166"/>
    </row>
    <row r="76" spans="8:20">
      <c r="H76" s="167">
        <v>0.25</v>
      </c>
      <c r="I76" s="166">
        <v>48550000000</v>
      </c>
      <c r="K76" s="167">
        <v>0.25</v>
      </c>
      <c r="L76" s="166">
        <v>18840000000</v>
      </c>
      <c r="N76" s="167">
        <v>0.25</v>
      </c>
      <c r="O76" s="166">
        <v>-1661000000</v>
      </c>
      <c r="Q76" s="167">
        <v>0.25</v>
      </c>
      <c r="R76" s="166">
        <v>-314102071.24000001</v>
      </c>
      <c r="T76" s="166"/>
    </row>
    <row r="77" spans="8:20">
      <c r="H77" s="167">
        <v>0.3</v>
      </c>
      <c r="I77" s="166">
        <v>50680000000</v>
      </c>
      <c r="K77" s="167">
        <v>0.3</v>
      </c>
      <c r="L77" s="166">
        <v>19480000000</v>
      </c>
      <c r="N77" s="167">
        <v>0.3</v>
      </c>
      <c r="O77" s="166">
        <v>-779145343.59000003</v>
      </c>
      <c r="Q77" s="167">
        <v>0.3</v>
      </c>
      <c r="R77" s="166">
        <v>-87224421.540000007</v>
      </c>
      <c r="T77" s="166"/>
    </row>
    <row r="78" spans="8:20">
      <c r="H78" s="167">
        <v>0.35</v>
      </c>
      <c r="I78" s="166">
        <v>52730000000</v>
      </c>
      <c r="K78" s="167">
        <v>0.35</v>
      </c>
      <c r="L78" s="166">
        <v>20120000000</v>
      </c>
      <c r="N78" s="167">
        <v>0.35</v>
      </c>
      <c r="O78" s="166">
        <v>163060111.97999999</v>
      </c>
      <c r="Q78" s="167">
        <v>0.35</v>
      </c>
      <c r="R78" s="166">
        <v>138603014.74000001</v>
      </c>
      <c r="T78" s="166"/>
    </row>
    <row r="79" spans="8:20">
      <c r="H79" s="167">
        <v>0.4</v>
      </c>
      <c r="I79" s="166">
        <v>54840000000</v>
      </c>
      <c r="K79" s="167">
        <v>0.4</v>
      </c>
      <c r="L79" s="166">
        <v>20710000000</v>
      </c>
      <c r="N79" s="167">
        <v>0.4</v>
      </c>
      <c r="O79" s="166">
        <v>1178000000</v>
      </c>
      <c r="Q79" s="167">
        <v>0.4</v>
      </c>
      <c r="R79" s="166">
        <v>401602335.35000002</v>
      </c>
      <c r="T79" s="166"/>
    </row>
    <row r="80" spans="8:20">
      <c r="H80" s="167">
        <v>0.45</v>
      </c>
      <c r="I80" s="166">
        <v>57270000000</v>
      </c>
      <c r="K80" s="167">
        <v>0.45</v>
      </c>
      <c r="L80" s="166">
        <v>21430000000</v>
      </c>
      <c r="N80" s="167">
        <v>0.45</v>
      </c>
      <c r="O80" s="166">
        <v>2287000000</v>
      </c>
      <c r="Q80" s="167">
        <v>0.45</v>
      </c>
      <c r="R80" s="166">
        <v>673944678.42999995</v>
      </c>
      <c r="T80" s="166"/>
    </row>
    <row r="81" spans="8:20">
      <c r="H81" s="167">
        <v>0.5</v>
      </c>
      <c r="I81" s="166">
        <v>59740000000</v>
      </c>
      <c r="K81" s="167">
        <v>0.5</v>
      </c>
      <c r="L81" s="166">
        <v>22160000000</v>
      </c>
      <c r="N81" s="167">
        <v>0.5</v>
      </c>
      <c r="O81" s="166">
        <v>3500000000</v>
      </c>
      <c r="Q81" s="167">
        <v>0.5</v>
      </c>
      <c r="R81" s="166">
        <v>935039376.82000005</v>
      </c>
      <c r="T81" s="166"/>
    </row>
    <row r="82" spans="8:20">
      <c r="H82" s="167">
        <v>0.55000000000000004</v>
      </c>
      <c r="I82" s="166">
        <v>62450000000</v>
      </c>
      <c r="K82" s="167">
        <v>0.55000000000000004</v>
      </c>
      <c r="L82" s="166">
        <v>22930000000</v>
      </c>
      <c r="N82" s="167">
        <v>0.55000000000000004</v>
      </c>
      <c r="O82" s="166">
        <v>4774000000</v>
      </c>
      <c r="Q82" s="167">
        <v>0.55000000000000004</v>
      </c>
      <c r="R82" s="166">
        <v>1222000000</v>
      </c>
      <c r="T82" s="166"/>
    </row>
    <row r="83" spans="8:20">
      <c r="H83" s="167">
        <v>0.6</v>
      </c>
      <c r="I83" s="166">
        <v>65750000000</v>
      </c>
      <c r="K83" s="167">
        <v>0.6</v>
      </c>
      <c r="L83" s="166">
        <v>23780000000</v>
      </c>
      <c r="N83" s="167">
        <v>0.6</v>
      </c>
      <c r="O83" s="166">
        <v>6158000000</v>
      </c>
      <c r="Q83" s="167">
        <v>0.6</v>
      </c>
      <c r="R83" s="166">
        <v>1588000000</v>
      </c>
      <c r="T83" s="166"/>
    </row>
    <row r="84" spans="8:20">
      <c r="H84" s="167">
        <v>0.65</v>
      </c>
      <c r="I84" s="166">
        <v>69080000000</v>
      </c>
      <c r="K84" s="167">
        <v>0.65</v>
      </c>
      <c r="L84" s="166">
        <v>24710000000</v>
      </c>
      <c r="N84" s="167">
        <v>0.65</v>
      </c>
      <c r="O84" s="166">
        <v>7887000000</v>
      </c>
      <c r="Q84" s="167">
        <v>0.65</v>
      </c>
      <c r="R84" s="166">
        <v>1972000000</v>
      </c>
      <c r="T84" s="166"/>
    </row>
    <row r="85" spans="8:20">
      <c r="H85" s="167">
        <v>0.7</v>
      </c>
      <c r="I85" s="166">
        <v>73560000000</v>
      </c>
      <c r="K85" s="167">
        <v>0.7</v>
      </c>
      <c r="L85" s="166">
        <v>25830000000</v>
      </c>
      <c r="N85" s="167">
        <v>0.7</v>
      </c>
      <c r="O85" s="166">
        <v>10110000000</v>
      </c>
      <c r="Q85" s="167">
        <v>0.7</v>
      </c>
      <c r="R85" s="166">
        <v>2411000000</v>
      </c>
      <c r="T85" s="166"/>
    </row>
    <row r="86" spans="8:20">
      <c r="H86" s="167">
        <v>0.75</v>
      </c>
      <c r="I86" s="166">
        <v>78510000000</v>
      </c>
      <c r="K86" s="167">
        <v>0.75</v>
      </c>
      <c r="L86" s="166">
        <v>27000000000</v>
      </c>
      <c r="N86" s="167">
        <v>0.75</v>
      </c>
      <c r="O86" s="166">
        <v>12420000000</v>
      </c>
      <c r="Q86" s="167">
        <v>0.75</v>
      </c>
      <c r="R86" s="166">
        <v>2985000000</v>
      </c>
      <c r="T86" s="166"/>
    </row>
    <row r="87" spans="8:20">
      <c r="H87" s="167">
        <v>0.8</v>
      </c>
      <c r="I87" s="166">
        <v>85400000000</v>
      </c>
      <c r="K87" s="167">
        <v>0.8</v>
      </c>
      <c r="L87" s="166">
        <v>28690000000</v>
      </c>
      <c r="N87" s="167">
        <v>0.8</v>
      </c>
      <c r="O87" s="166">
        <v>15660000000</v>
      </c>
      <c r="Q87" s="167">
        <v>0.8</v>
      </c>
      <c r="R87" s="166">
        <v>3706000000</v>
      </c>
      <c r="T87" s="166"/>
    </row>
    <row r="88" spans="8:20">
      <c r="H88" s="167">
        <v>0.85</v>
      </c>
      <c r="I88" s="166">
        <v>93540000000</v>
      </c>
      <c r="K88" s="167">
        <v>0.85</v>
      </c>
      <c r="L88" s="166">
        <v>30720000000</v>
      </c>
      <c r="N88" s="167">
        <v>0.85</v>
      </c>
      <c r="O88" s="166">
        <v>19710000000</v>
      </c>
      <c r="Q88" s="167">
        <v>0.85</v>
      </c>
      <c r="R88" s="166">
        <v>4641000000</v>
      </c>
      <c r="T88" s="166"/>
    </row>
    <row r="89" spans="8:20">
      <c r="H89" s="167">
        <v>0.9</v>
      </c>
      <c r="I89" s="166">
        <v>107200000000</v>
      </c>
      <c r="K89" s="167">
        <v>0.9</v>
      </c>
      <c r="L89" s="166">
        <v>33820000000</v>
      </c>
      <c r="N89" s="167">
        <v>0.9</v>
      </c>
      <c r="O89" s="166">
        <v>26150000000</v>
      </c>
      <c r="Q89" s="167">
        <v>0.9</v>
      </c>
      <c r="R89" s="166">
        <v>5938000000</v>
      </c>
      <c r="T89" s="166"/>
    </row>
    <row r="90" spans="8:20">
      <c r="H90" s="167">
        <v>0.95</v>
      </c>
      <c r="I90" s="166">
        <v>132500000000</v>
      </c>
      <c r="K90" s="167">
        <v>0.95</v>
      </c>
      <c r="L90" s="166">
        <v>38940000000</v>
      </c>
      <c r="N90" s="167">
        <v>0.95</v>
      </c>
      <c r="O90" s="166">
        <v>38680000000</v>
      </c>
      <c r="Q90" s="167">
        <v>0.95</v>
      </c>
      <c r="R90" s="166">
        <v>8278000000</v>
      </c>
      <c r="T90" s="166"/>
    </row>
    <row r="91" spans="8:20">
      <c r="H91" s="167">
        <v>0.99</v>
      </c>
      <c r="I91" s="166">
        <v>206600000000</v>
      </c>
      <c r="K91" s="167">
        <v>0.99</v>
      </c>
      <c r="L91" s="166">
        <v>55560000000</v>
      </c>
      <c r="N91" s="167">
        <v>0.99</v>
      </c>
      <c r="O91" s="166">
        <v>75520000000</v>
      </c>
      <c r="Q91" s="167">
        <v>0.99</v>
      </c>
      <c r="R91" s="166">
        <v>15690000000</v>
      </c>
      <c r="T91" s="166"/>
    </row>
    <row r="95" spans="8:20" ht="43.2">
      <c r="N95" s="9"/>
      <c r="O95" s="31" t="s">
        <v>347</v>
      </c>
      <c r="P95" s="9"/>
      <c r="Q95" s="9"/>
      <c r="R95" s="31" t="s">
        <v>348</v>
      </c>
    </row>
    <row r="96" spans="8:20">
      <c r="N96" s="167">
        <v>0.01</v>
      </c>
      <c r="O96" s="166">
        <v>-3126000000</v>
      </c>
      <c r="P96" s="9"/>
      <c r="Q96" s="167">
        <v>0.01</v>
      </c>
      <c r="R96" s="166">
        <v>-706937283.40999997</v>
      </c>
    </row>
    <row r="97" spans="14:18">
      <c r="N97" s="167">
        <v>0.05</v>
      </c>
      <c r="O97" s="166">
        <v>-2797000000</v>
      </c>
      <c r="P97" s="9"/>
      <c r="Q97" s="167">
        <v>0.05</v>
      </c>
      <c r="R97" s="166">
        <v>-611596547.72000003</v>
      </c>
    </row>
    <row r="98" spans="14:18">
      <c r="N98" s="167">
        <v>0.1</v>
      </c>
      <c r="O98" s="166">
        <v>-2531000000</v>
      </c>
      <c r="P98" s="9"/>
      <c r="Q98" s="167">
        <v>0.1</v>
      </c>
      <c r="R98" s="166">
        <v>-532313477.93000001</v>
      </c>
    </row>
    <row r="99" spans="14:18">
      <c r="N99" s="167">
        <v>0.15</v>
      </c>
      <c r="O99" s="166">
        <v>-2292000000</v>
      </c>
      <c r="P99" s="9"/>
      <c r="Q99" s="167">
        <v>0.15</v>
      </c>
      <c r="R99" s="166">
        <v>-467569972.55000001</v>
      </c>
    </row>
    <row r="100" spans="14:18">
      <c r="N100" s="167">
        <v>0.2</v>
      </c>
      <c r="O100" s="166">
        <v>-2084000000</v>
      </c>
      <c r="P100" s="9"/>
      <c r="Q100" s="167">
        <v>0.2</v>
      </c>
      <c r="R100" s="166">
        <v>-411773318.37</v>
      </c>
    </row>
    <row r="101" spans="14:18">
      <c r="N101" s="167">
        <v>0.25</v>
      </c>
      <c r="O101" s="166">
        <v>-1876000000</v>
      </c>
      <c r="P101" s="9"/>
      <c r="Q101" s="167">
        <v>0.25</v>
      </c>
      <c r="R101" s="166">
        <v>-354492752.98000002</v>
      </c>
    </row>
    <row r="102" spans="14:18">
      <c r="N102" s="167">
        <v>0.3</v>
      </c>
      <c r="O102" s="166">
        <v>-1658000000</v>
      </c>
      <c r="P102" s="9"/>
      <c r="Q102" s="167">
        <v>0.3</v>
      </c>
      <c r="R102" s="166">
        <v>-294337557.63</v>
      </c>
    </row>
    <row r="103" spans="14:18">
      <c r="N103" s="167">
        <v>0.35</v>
      </c>
      <c r="O103" s="166">
        <v>-1456000000</v>
      </c>
      <c r="P103" s="9"/>
      <c r="Q103" s="167">
        <v>0.35</v>
      </c>
      <c r="R103" s="166">
        <v>-235133740.91999999</v>
      </c>
    </row>
    <row r="104" spans="14:18">
      <c r="N104" s="167">
        <v>0.4</v>
      </c>
      <c r="O104" s="166">
        <v>-1227000000</v>
      </c>
      <c r="P104" s="9"/>
      <c r="Q104" s="167">
        <v>0.4</v>
      </c>
      <c r="R104" s="166">
        <v>-170684323.11000001</v>
      </c>
    </row>
    <row r="105" spans="14:18">
      <c r="N105" s="167">
        <v>0.45</v>
      </c>
      <c r="O105" s="166">
        <v>-952717661.09000003</v>
      </c>
      <c r="P105" s="9"/>
      <c r="Q105" s="167">
        <v>0.45</v>
      </c>
      <c r="R105" s="166">
        <v>-108944673.51000001</v>
      </c>
    </row>
    <row r="106" spans="14:18">
      <c r="N106" s="167">
        <v>0.5</v>
      </c>
      <c r="O106" s="166">
        <v>-690608325.40999997</v>
      </c>
      <c r="P106" s="9"/>
      <c r="Q106" s="167">
        <v>0.5</v>
      </c>
      <c r="R106" s="166">
        <v>-40320237.799999997</v>
      </c>
    </row>
    <row r="107" spans="14:18">
      <c r="N107" s="167">
        <v>0.55000000000000004</v>
      </c>
      <c r="O107" s="166">
        <v>-376270301.16000003</v>
      </c>
      <c r="P107" s="9"/>
      <c r="Q107" s="167">
        <v>0.55000000000000004</v>
      </c>
      <c r="R107" s="166">
        <v>39310098.57</v>
      </c>
    </row>
    <row r="108" spans="14:18">
      <c r="N108" s="167">
        <v>0.6</v>
      </c>
      <c r="O108" s="166">
        <v>-12086141.9</v>
      </c>
      <c r="P108" s="9"/>
      <c r="Q108" s="167">
        <v>0.6</v>
      </c>
      <c r="R108" s="166">
        <v>134864178.81</v>
      </c>
    </row>
    <row r="109" spans="14:18">
      <c r="N109" s="167">
        <v>0.65</v>
      </c>
      <c r="O109" s="166">
        <v>449036484.88999999</v>
      </c>
      <c r="P109" s="9"/>
      <c r="Q109" s="167">
        <v>0.65</v>
      </c>
      <c r="R109" s="166">
        <v>243411186.47999999</v>
      </c>
    </row>
    <row r="110" spans="14:18">
      <c r="N110" s="167">
        <v>0.7</v>
      </c>
      <c r="O110" s="166">
        <v>944145940.08000004</v>
      </c>
      <c r="P110" s="9"/>
      <c r="Q110" s="167">
        <v>0.7</v>
      </c>
      <c r="R110" s="166">
        <v>374726839.70999998</v>
      </c>
    </row>
    <row r="111" spans="14:18">
      <c r="N111" s="167">
        <v>0.75</v>
      </c>
      <c r="O111" s="166">
        <v>1625000000</v>
      </c>
      <c r="P111" s="9"/>
      <c r="Q111" s="167">
        <v>0.75</v>
      </c>
      <c r="R111" s="166">
        <v>537851239.86000001</v>
      </c>
    </row>
    <row r="112" spans="14:18">
      <c r="N112" s="167">
        <v>0.8</v>
      </c>
      <c r="O112" s="166">
        <v>2450000000</v>
      </c>
      <c r="P112" s="9"/>
      <c r="Q112" s="167">
        <v>0.8</v>
      </c>
      <c r="R112" s="166">
        <v>741598801.22000003</v>
      </c>
    </row>
    <row r="113" spans="14:18">
      <c r="N113" s="167">
        <v>0.85</v>
      </c>
      <c r="O113" s="166">
        <v>3696000000</v>
      </c>
      <c r="P113" s="9"/>
      <c r="Q113" s="167">
        <v>0.85</v>
      </c>
      <c r="R113" s="166">
        <v>1040000000</v>
      </c>
    </row>
    <row r="114" spans="14:18">
      <c r="N114" s="167">
        <v>0.9</v>
      </c>
      <c r="O114" s="166">
        <v>5710000000</v>
      </c>
      <c r="P114" s="9"/>
      <c r="Q114" s="167">
        <v>0.9</v>
      </c>
      <c r="R114" s="166">
        <v>1540000000</v>
      </c>
    </row>
    <row r="115" spans="14:18">
      <c r="N115" s="167">
        <v>0.95</v>
      </c>
      <c r="O115" s="166">
        <v>10270000000</v>
      </c>
      <c r="P115" s="9"/>
      <c r="Q115" s="167">
        <v>0.95</v>
      </c>
      <c r="R115" s="166">
        <v>2708000000</v>
      </c>
    </row>
    <row r="116" spans="14:18">
      <c r="N116" s="167">
        <v>0.99</v>
      </c>
      <c r="O116" s="166">
        <v>33780000000</v>
      </c>
      <c r="P116" s="9"/>
      <c r="Q116" s="167">
        <v>0.99</v>
      </c>
      <c r="R116" s="166">
        <v>8107000000</v>
      </c>
    </row>
    <row r="117" spans="14:18">
      <c r="N117" s="9"/>
      <c r="O117" s="9"/>
      <c r="P117" s="9"/>
      <c r="Q117" s="9"/>
    </row>
    <row r="118" spans="14:18" ht="72">
      <c r="N118" s="9"/>
      <c r="O118" s="31" t="s">
        <v>350</v>
      </c>
      <c r="P118" s="9"/>
      <c r="Q118" s="9"/>
      <c r="R118" s="31" t="s">
        <v>349</v>
      </c>
    </row>
    <row r="119" spans="14:18">
      <c r="N119" s="167">
        <v>0.01</v>
      </c>
      <c r="O119" s="166">
        <v>-5326000000</v>
      </c>
      <c r="P119" s="9"/>
      <c r="Q119" s="167">
        <v>0.01</v>
      </c>
      <c r="R119" s="166">
        <v>-1308000000</v>
      </c>
    </row>
    <row r="120" spans="14:18">
      <c r="N120" s="167">
        <v>0.05</v>
      </c>
      <c r="O120" s="166">
        <v>-3858000000</v>
      </c>
      <c r="P120" s="9"/>
      <c r="Q120" s="167">
        <v>0.05</v>
      </c>
      <c r="R120" s="166">
        <v>-895967332.91999996</v>
      </c>
    </row>
    <row r="121" spans="14:18">
      <c r="N121" s="167">
        <v>0.1</v>
      </c>
      <c r="O121" s="166">
        <v>-2773000000</v>
      </c>
      <c r="P121" s="9"/>
      <c r="Q121" s="167">
        <v>0.1</v>
      </c>
      <c r="R121" s="166">
        <v>-580434402.64999998</v>
      </c>
    </row>
    <row r="122" spans="14:18">
      <c r="N122" s="167">
        <v>0.15</v>
      </c>
      <c r="O122" s="166">
        <v>-1766000000</v>
      </c>
      <c r="P122" s="9"/>
      <c r="Q122" s="167">
        <v>0.15</v>
      </c>
      <c r="R122" s="166">
        <v>-318240813.25999999</v>
      </c>
    </row>
    <row r="123" spans="14:18">
      <c r="N123" s="167">
        <v>0.2</v>
      </c>
      <c r="O123" s="166">
        <v>-896578467.85000002</v>
      </c>
      <c r="P123" s="9"/>
      <c r="Q123" s="167">
        <v>0.2</v>
      </c>
      <c r="R123" s="166">
        <v>-78570402.069999993</v>
      </c>
    </row>
    <row r="124" spans="14:18">
      <c r="N124" s="167">
        <v>0.25</v>
      </c>
      <c r="O124" s="166">
        <v>32086584.989999998</v>
      </c>
      <c r="P124" s="9"/>
      <c r="Q124" s="167">
        <v>0.25</v>
      </c>
      <c r="R124" s="166">
        <v>139522658.08000001</v>
      </c>
    </row>
    <row r="125" spans="14:18">
      <c r="N125" s="167">
        <v>0.3</v>
      </c>
      <c r="O125" s="166">
        <v>910527634.71000004</v>
      </c>
      <c r="P125" s="9"/>
      <c r="Q125" s="167">
        <v>0.3</v>
      </c>
      <c r="R125" s="166">
        <v>360420250.56999999</v>
      </c>
    </row>
    <row r="126" spans="14:18">
      <c r="N126" s="167">
        <v>0.35</v>
      </c>
      <c r="O126" s="166">
        <v>1922000000</v>
      </c>
      <c r="P126" s="9"/>
      <c r="Q126" s="167">
        <v>0.35</v>
      </c>
      <c r="R126" s="166">
        <v>609949765.50999999</v>
      </c>
    </row>
    <row r="127" spans="14:18">
      <c r="N127" s="167">
        <v>0.4</v>
      </c>
      <c r="O127" s="166">
        <v>2908000000</v>
      </c>
      <c r="P127" s="9"/>
      <c r="Q127" s="167">
        <v>0.4</v>
      </c>
      <c r="R127" s="166">
        <v>877955940.74000001</v>
      </c>
    </row>
    <row r="128" spans="14:18">
      <c r="N128" s="167">
        <v>0.45</v>
      </c>
      <c r="O128" s="166">
        <v>3981000000</v>
      </c>
      <c r="P128" s="9"/>
      <c r="Q128" s="167">
        <v>0.45</v>
      </c>
      <c r="R128" s="166">
        <v>1126000000</v>
      </c>
    </row>
    <row r="129" spans="2:18">
      <c r="N129" s="167">
        <v>0.5</v>
      </c>
      <c r="O129" s="166">
        <v>5087000000</v>
      </c>
      <c r="P129" s="9"/>
      <c r="Q129" s="167">
        <v>0.5</v>
      </c>
      <c r="R129" s="166">
        <v>1388000000</v>
      </c>
    </row>
    <row r="130" spans="2:18">
      <c r="N130" s="167">
        <v>0.55000000000000004</v>
      </c>
      <c r="O130" s="166">
        <v>6381000000</v>
      </c>
      <c r="P130" s="9"/>
      <c r="Q130" s="167">
        <v>0.55000000000000004</v>
      </c>
      <c r="R130" s="166">
        <v>1685000000</v>
      </c>
    </row>
    <row r="131" spans="2:18">
      <c r="N131" s="167">
        <v>0.6</v>
      </c>
      <c r="O131" s="166">
        <v>7825000000</v>
      </c>
      <c r="P131" s="9"/>
      <c r="Q131" s="167">
        <v>0.6</v>
      </c>
      <c r="R131" s="166">
        <v>2041000000</v>
      </c>
    </row>
    <row r="132" spans="2:18">
      <c r="N132" s="167">
        <v>0.65</v>
      </c>
      <c r="O132" s="166">
        <v>9519000000</v>
      </c>
      <c r="P132" s="9"/>
      <c r="Q132" s="167">
        <v>0.65</v>
      </c>
      <c r="R132" s="166">
        <v>2409000000</v>
      </c>
    </row>
    <row r="133" spans="2:18">
      <c r="N133" s="167">
        <v>0.7</v>
      </c>
      <c r="O133" s="166">
        <v>11510000000</v>
      </c>
      <c r="P133" s="9"/>
      <c r="Q133" s="167">
        <v>0.7</v>
      </c>
      <c r="R133" s="166">
        <v>2916000000</v>
      </c>
    </row>
    <row r="134" spans="2:18">
      <c r="N134" s="167">
        <v>0.75</v>
      </c>
      <c r="O134" s="166">
        <v>14050000000</v>
      </c>
      <c r="P134" s="9"/>
      <c r="Q134" s="167">
        <v>0.75</v>
      </c>
      <c r="R134" s="166">
        <v>3490000000</v>
      </c>
    </row>
    <row r="135" spans="2:18">
      <c r="N135" s="167">
        <v>0.8</v>
      </c>
      <c r="O135" s="166">
        <v>17220000000</v>
      </c>
      <c r="P135" s="9"/>
      <c r="Q135" s="167">
        <v>0.8</v>
      </c>
      <c r="R135" s="166">
        <v>4186000000</v>
      </c>
    </row>
    <row r="136" spans="2:18">
      <c r="N136" s="167">
        <v>0.85</v>
      </c>
      <c r="O136" s="166">
        <v>21570000000</v>
      </c>
      <c r="P136" s="9"/>
      <c r="Q136" s="167">
        <v>0.85</v>
      </c>
      <c r="R136" s="166">
        <v>5117000000</v>
      </c>
    </row>
    <row r="137" spans="2:18">
      <c r="N137" s="167">
        <v>0.9</v>
      </c>
      <c r="O137" s="166">
        <v>27660000000</v>
      </c>
      <c r="P137" s="9"/>
      <c r="Q137" s="167">
        <v>0.9</v>
      </c>
      <c r="R137" s="166">
        <v>6374000000</v>
      </c>
    </row>
    <row r="138" spans="2:18">
      <c r="N138" s="167">
        <v>0.95</v>
      </c>
      <c r="O138" s="166">
        <v>40040000000</v>
      </c>
      <c r="P138" s="9"/>
      <c r="Q138" s="167">
        <v>0.95</v>
      </c>
      <c r="R138" s="166">
        <v>8911000000</v>
      </c>
    </row>
    <row r="139" spans="2:18">
      <c r="N139" s="167">
        <v>0.99</v>
      </c>
      <c r="O139" s="166">
        <v>75430000000</v>
      </c>
      <c r="P139" s="9"/>
      <c r="Q139" s="167">
        <v>0.99</v>
      </c>
      <c r="R139" s="166">
        <v>15530000000</v>
      </c>
    </row>
    <row r="141" spans="2:18" ht="28.8">
      <c r="B141" s="240"/>
      <c r="C141" s="240" t="s">
        <v>463</v>
      </c>
      <c r="D141" s="240"/>
      <c r="E141" s="241"/>
      <c r="F141" s="240" t="s">
        <v>460</v>
      </c>
      <c r="G141" s="240"/>
      <c r="H141" s="240"/>
      <c r="I141" s="240" t="s">
        <v>461</v>
      </c>
      <c r="J141" s="240"/>
      <c r="K141" s="241"/>
      <c r="L141" s="240" t="s">
        <v>462</v>
      </c>
    </row>
    <row r="142" spans="2:18">
      <c r="B142" s="242">
        <v>0.01</v>
      </c>
      <c r="C142" s="245">
        <v>124.62</v>
      </c>
      <c r="D142" s="240"/>
      <c r="E142" s="242">
        <v>0.01</v>
      </c>
      <c r="F142" s="245">
        <v>129.63</v>
      </c>
      <c r="G142" s="240"/>
      <c r="H142" s="242">
        <v>0.01</v>
      </c>
      <c r="I142" s="246">
        <v>149.88999999999999</v>
      </c>
      <c r="J142" s="240"/>
      <c r="K142" s="243">
        <v>0.01</v>
      </c>
      <c r="L142" s="246">
        <v>155.9</v>
      </c>
    </row>
    <row r="143" spans="2:18">
      <c r="B143" s="244">
        <v>0.05</v>
      </c>
      <c r="C143" s="245">
        <v>140.28</v>
      </c>
      <c r="D143" s="29"/>
      <c r="E143" s="244">
        <v>0.05</v>
      </c>
      <c r="F143" s="245">
        <v>139.04</v>
      </c>
      <c r="G143" s="29"/>
      <c r="H143" s="244">
        <v>0.05</v>
      </c>
      <c r="I143" s="246">
        <v>152</v>
      </c>
      <c r="J143" s="29"/>
      <c r="K143" s="244">
        <v>0.05</v>
      </c>
      <c r="L143" s="246">
        <v>157.31</v>
      </c>
    </row>
    <row r="144" spans="2:18">
      <c r="B144" s="244">
        <v>0.1</v>
      </c>
      <c r="C144" s="245">
        <v>153.30000000000001</v>
      </c>
      <c r="D144" s="29"/>
      <c r="E144" s="244">
        <v>0.1</v>
      </c>
      <c r="F144" s="245">
        <v>146.86000000000001</v>
      </c>
      <c r="G144" s="29"/>
      <c r="H144" s="244">
        <v>0.1</v>
      </c>
      <c r="I144" s="246">
        <v>153.71</v>
      </c>
      <c r="J144" s="29"/>
      <c r="K144" s="244">
        <v>0.1</v>
      </c>
      <c r="L144" s="246">
        <v>158.46</v>
      </c>
    </row>
    <row r="145" spans="2:12">
      <c r="B145" s="244">
        <v>0.15</v>
      </c>
      <c r="C145" s="245">
        <v>164.66</v>
      </c>
      <c r="D145" s="29"/>
      <c r="E145" s="244">
        <v>0.15</v>
      </c>
      <c r="F145" s="245">
        <v>153.68</v>
      </c>
      <c r="G145" s="29"/>
      <c r="H145" s="244">
        <v>0.15</v>
      </c>
      <c r="I145" s="246">
        <v>155.07</v>
      </c>
      <c r="J145" s="29"/>
      <c r="K145" s="244">
        <v>0.15</v>
      </c>
      <c r="L145" s="246">
        <v>159.36000000000001</v>
      </c>
    </row>
    <row r="146" spans="2:12">
      <c r="B146" s="244">
        <v>0.2</v>
      </c>
      <c r="C146" s="245">
        <v>174.42</v>
      </c>
      <c r="D146" s="29"/>
      <c r="E146" s="244">
        <v>0.2</v>
      </c>
      <c r="F146" s="245">
        <v>159.54</v>
      </c>
      <c r="G146" s="29"/>
      <c r="H146" s="244">
        <v>0.2</v>
      </c>
      <c r="I146" s="246">
        <v>156.69</v>
      </c>
      <c r="J146" s="29"/>
      <c r="K146" s="244">
        <v>0.2</v>
      </c>
      <c r="L146" s="246">
        <v>160.44</v>
      </c>
    </row>
    <row r="147" spans="2:12">
      <c r="B147" s="244">
        <v>0.25</v>
      </c>
      <c r="C147" s="245">
        <v>184.69</v>
      </c>
      <c r="D147" s="29"/>
      <c r="E147" s="244">
        <v>0.25</v>
      </c>
      <c r="F147" s="245">
        <v>165.7</v>
      </c>
      <c r="G147" s="29"/>
      <c r="H147" s="244">
        <v>0.25</v>
      </c>
      <c r="I147" s="246">
        <v>158.05000000000001</v>
      </c>
      <c r="J147" s="29"/>
      <c r="K147" s="244">
        <v>0.25</v>
      </c>
      <c r="L147" s="246">
        <v>161.35</v>
      </c>
    </row>
    <row r="148" spans="2:12">
      <c r="B148" s="244">
        <v>0.3</v>
      </c>
      <c r="C148" s="245">
        <v>195.22</v>
      </c>
      <c r="D148" s="29"/>
      <c r="E148" s="244">
        <v>0.3</v>
      </c>
      <c r="F148" s="245">
        <v>172.03</v>
      </c>
      <c r="G148" s="29"/>
      <c r="H148" s="244">
        <v>0.3</v>
      </c>
      <c r="I148" s="246">
        <v>159.58000000000001</v>
      </c>
      <c r="J148" s="29"/>
      <c r="K148" s="244">
        <v>0.3</v>
      </c>
      <c r="L148" s="246">
        <v>162.38</v>
      </c>
    </row>
    <row r="149" spans="2:12">
      <c r="B149" s="244">
        <v>0.35</v>
      </c>
      <c r="C149" s="245">
        <v>205.89</v>
      </c>
      <c r="D149" s="29"/>
      <c r="E149" s="244">
        <v>0.35</v>
      </c>
      <c r="F149" s="245">
        <v>178.43</v>
      </c>
      <c r="G149" s="29"/>
      <c r="H149" s="244">
        <v>0.35</v>
      </c>
      <c r="I149" s="246">
        <v>161.16</v>
      </c>
      <c r="J149" s="29"/>
      <c r="K149" s="244">
        <v>0.35</v>
      </c>
      <c r="L149" s="246">
        <v>163.43</v>
      </c>
    </row>
    <row r="150" spans="2:12">
      <c r="B150" s="244">
        <v>0.4</v>
      </c>
      <c r="C150" s="245">
        <v>217.85</v>
      </c>
      <c r="D150" s="29"/>
      <c r="E150" s="244">
        <v>0.4</v>
      </c>
      <c r="F150" s="245">
        <v>185.62</v>
      </c>
      <c r="G150" s="29"/>
      <c r="H150" s="244">
        <v>0.4</v>
      </c>
      <c r="I150" s="246">
        <v>162.77000000000001</v>
      </c>
      <c r="J150" s="29"/>
      <c r="K150" s="244">
        <v>0.4</v>
      </c>
      <c r="L150" s="246">
        <v>164.5</v>
      </c>
    </row>
    <row r="151" spans="2:12">
      <c r="B151" s="244">
        <v>0.45</v>
      </c>
      <c r="C151" s="245">
        <v>230.04</v>
      </c>
      <c r="D151" s="29"/>
      <c r="E151" s="244">
        <v>0.45</v>
      </c>
      <c r="F151" s="245">
        <v>192.93</v>
      </c>
      <c r="G151" s="29"/>
      <c r="H151" s="244">
        <v>0.45</v>
      </c>
      <c r="I151" s="246">
        <v>164.45</v>
      </c>
      <c r="J151" s="29"/>
      <c r="K151" s="244">
        <v>0.45</v>
      </c>
      <c r="L151" s="246">
        <v>165.63</v>
      </c>
    </row>
    <row r="152" spans="2:12">
      <c r="B152" s="244">
        <v>0.5</v>
      </c>
      <c r="C152" s="245">
        <v>243.2</v>
      </c>
      <c r="D152" s="29"/>
      <c r="E152" s="244">
        <v>0.5</v>
      </c>
      <c r="F152" s="245">
        <v>200.84</v>
      </c>
      <c r="G152" s="29"/>
      <c r="H152" s="244">
        <v>0.5</v>
      </c>
      <c r="I152" s="246">
        <v>166.43</v>
      </c>
      <c r="J152" s="29"/>
      <c r="K152" s="244">
        <v>0.5</v>
      </c>
      <c r="L152" s="246">
        <v>166.94</v>
      </c>
    </row>
    <row r="153" spans="2:12">
      <c r="B153" s="244">
        <v>0.55000000000000004</v>
      </c>
      <c r="C153" s="245">
        <v>258.74</v>
      </c>
      <c r="D153" s="29"/>
      <c r="E153" s="244">
        <v>0.55000000000000004</v>
      </c>
      <c r="F153" s="245">
        <v>210.17</v>
      </c>
      <c r="G153" s="29"/>
      <c r="H153" s="244">
        <v>0.55000000000000004</v>
      </c>
      <c r="I153" s="246">
        <v>168.39</v>
      </c>
      <c r="J153" s="29"/>
      <c r="K153" s="244">
        <v>0.55000000000000004</v>
      </c>
      <c r="L153" s="246">
        <v>168.25</v>
      </c>
    </row>
    <row r="154" spans="2:12">
      <c r="B154" s="244">
        <v>0.6</v>
      </c>
      <c r="C154" s="245">
        <v>275.23</v>
      </c>
      <c r="D154" s="29"/>
      <c r="E154" s="244">
        <v>0.6</v>
      </c>
      <c r="F154" s="245">
        <v>220.07</v>
      </c>
      <c r="G154" s="29"/>
      <c r="H154" s="244">
        <v>0.6</v>
      </c>
      <c r="I154" s="246">
        <v>170.81</v>
      </c>
      <c r="J154" s="29"/>
      <c r="K154" s="244">
        <v>0.6</v>
      </c>
      <c r="L154" s="246">
        <v>169.87</v>
      </c>
    </row>
    <row r="155" spans="2:12">
      <c r="B155" s="244">
        <v>0.65</v>
      </c>
      <c r="C155" s="245">
        <v>293.94</v>
      </c>
      <c r="D155" s="29"/>
      <c r="E155" s="244">
        <v>0.65</v>
      </c>
      <c r="F155" s="245">
        <v>231.3</v>
      </c>
      <c r="G155" s="29"/>
      <c r="H155" s="244">
        <v>0.65</v>
      </c>
      <c r="I155" s="246">
        <v>173.65</v>
      </c>
      <c r="J155" s="29"/>
      <c r="K155" s="244">
        <v>0.65</v>
      </c>
      <c r="L155" s="246">
        <v>171.77</v>
      </c>
    </row>
    <row r="156" spans="2:12">
      <c r="B156" s="244">
        <v>0.7</v>
      </c>
      <c r="C156" s="245">
        <v>316.39999999999998</v>
      </c>
      <c r="D156" s="29"/>
      <c r="E156" s="244">
        <v>0.7</v>
      </c>
      <c r="F156" s="245">
        <v>244.79</v>
      </c>
      <c r="G156" s="29"/>
      <c r="H156" s="244">
        <v>0.7</v>
      </c>
      <c r="I156" s="246">
        <v>176.97</v>
      </c>
      <c r="J156" s="29"/>
      <c r="K156" s="244">
        <v>0.7</v>
      </c>
      <c r="L156" s="246">
        <v>173.98</v>
      </c>
    </row>
    <row r="157" spans="2:12">
      <c r="B157" s="244">
        <v>0.75</v>
      </c>
      <c r="C157" s="245">
        <v>344.1</v>
      </c>
      <c r="D157" s="29"/>
      <c r="E157" s="244">
        <v>0.75</v>
      </c>
      <c r="F157" s="245">
        <v>261.42</v>
      </c>
      <c r="G157" s="29"/>
      <c r="H157" s="244">
        <v>0.75</v>
      </c>
      <c r="I157" s="246">
        <v>181.55</v>
      </c>
      <c r="J157" s="29"/>
      <c r="K157" s="244">
        <v>0.75</v>
      </c>
      <c r="L157" s="246">
        <v>177.04</v>
      </c>
    </row>
    <row r="158" spans="2:12">
      <c r="B158" s="244">
        <v>0.8</v>
      </c>
      <c r="C158" s="245">
        <v>377.65</v>
      </c>
      <c r="D158" s="29"/>
      <c r="E158" s="244">
        <v>0.8</v>
      </c>
      <c r="F158" s="245">
        <v>281.57</v>
      </c>
      <c r="G158" s="29"/>
      <c r="H158" s="244">
        <v>0.8</v>
      </c>
      <c r="I158" s="246">
        <v>188.02</v>
      </c>
      <c r="J158" s="29"/>
      <c r="K158" s="244">
        <v>0.8</v>
      </c>
      <c r="L158" s="246">
        <v>181.36</v>
      </c>
    </row>
    <row r="159" spans="2:12">
      <c r="B159" s="244">
        <v>0.85</v>
      </c>
      <c r="C159" s="245">
        <v>423.22</v>
      </c>
      <c r="D159" s="29"/>
      <c r="E159" s="244">
        <v>0.85</v>
      </c>
      <c r="F159" s="245">
        <v>308.93</v>
      </c>
      <c r="G159" s="29"/>
      <c r="H159" s="244">
        <v>0.85</v>
      </c>
      <c r="I159" s="246">
        <v>196.8</v>
      </c>
      <c r="J159" s="29"/>
      <c r="K159" s="244">
        <v>0.85</v>
      </c>
      <c r="L159" s="246">
        <v>187.22</v>
      </c>
    </row>
    <row r="160" spans="2:12">
      <c r="B160" s="244">
        <v>0.9</v>
      </c>
      <c r="C160" s="245">
        <v>490.35</v>
      </c>
      <c r="D160" s="29"/>
      <c r="E160" s="244">
        <v>0.9</v>
      </c>
      <c r="F160" s="245">
        <v>349.24</v>
      </c>
      <c r="G160" s="29"/>
      <c r="H160" s="244">
        <v>0.9</v>
      </c>
      <c r="I160" s="246">
        <v>211.23</v>
      </c>
      <c r="J160" s="29"/>
      <c r="K160" s="244">
        <v>0.9</v>
      </c>
      <c r="L160" s="246">
        <v>196.85</v>
      </c>
    </row>
    <row r="161" spans="2:12">
      <c r="B161" s="244">
        <v>0.95</v>
      </c>
      <c r="C161" s="245">
        <v>615.98</v>
      </c>
      <c r="D161" s="29"/>
      <c r="E161" s="244">
        <v>0.95</v>
      </c>
      <c r="F161" s="245">
        <v>424.68</v>
      </c>
      <c r="G161" s="29"/>
      <c r="H161" s="244">
        <v>0.95</v>
      </c>
      <c r="I161" s="246">
        <v>245.31</v>
      </c>
      <c r="J161" s="29"/>
      <c r="K161" s="244">
        <v>0.95</v>
      </c>
      <c r="L161" s="246">
        <v>219.6</v>
      </c>
    </row>
    <row r="162" spans="2:12">
      <c r="B162" s="244">
        <v>0.99</v>
      </c>
      <c r="C162" s="245">
        <v>962.85</v>
      </c>
      <c r="D162" s="29"/>
      <c r="E162" s="244">
        <v>0.99</v>
      </c>
      <c r="F162" s="245">
        <v>632.96</v>
      </c>
      <c r="G162" s="29"/>
      <c r="H162" s="244">
        <v>0.99</v>
      </c>
      <c r="I162" s="246">
        <v>434.35</v>
      </c>
      <c r="J162" s="29"/>
      <c r="K162" s="244">
        <v>0.99</v>
      </c>
      <c r="L162" s="246">
        <v>345.78</v>
      </c>
    </row>
    <row r="164" spans="2:12" ht="43.2">
      <c r="K164" s="241"/>
      <c r="L164" s="240" t="s">
        <v>464</v>
      </c>
    </row>
    <row r="165" spans="2:12">
      <c r="K165" s="243">
        <v>0.01</v>
      </c>
      <c r="L165" s="246">
        <v>152.5</v>
      </c>
    </row>
    <row r="166" spans="2:12">
      <c r="K166" s="244">
        <v>0.05</v>
      </c>
      <c r="L166" s="246">
        <v>153.94</v>
      </c>
    </row>
    <row r="167" spans="2:12">
      <c r="K167" s="244">
        <v>0.1</v>
      </c>
      <c r="L167" s="246">
        <v>155.09</v>
      </c>
    </row>
    <row r="168" spans="2:12">
      <c r="K168" s="244">
        <v>0.15</v>
      </c>
      <c r="L168" s="246">
        <v>156.08000000000001</v>
      </c>
    </row>
    <row r="169" spans="2:12">
      <c r="K169" s="244">
        <v>0.2</v>
      </c>
      <c r="L169" s="246">
        <v>156.94</v>
      </c>
    </row>
    <row r="170" spans="2:12">
      <c r="K170" s="244">
        <v>0.25</v>
      </c>
      <c r="L170" s="246">
        <v>157.97999999999999</v>
      </c>
    </row>
    <row r="171" spans="2:12">
      <c r="K171" s="244">
        <v>0.3</v>
      </c>
      <c r="L171" s="246">
        <v>158.91999999999999</v>
      </c>
    </row>
    <row r="172" spans="2:12">
      <c r="K172" s="244">
        <v>0.35</v>
      </c>
      <c r="L172" s="246">
        <v>159.96</v>
      </c>
    </row>
    <row r="173" spans="2:12">
      <c r="K173" s="244">
        <v>0.4</v>
      </c>
      <c r="L173" s="246">
        <v>161.11000000000001</v>
      </c>
    </row>
    <row r="174" spans="2:12">
      <c r="K174" s="244">
        <v>0.45</v>
      </c>
      <c r="L174" s="246">
        <v>162.29</v>
      </c>
    </row>
    <row r="175" spans="2:12">
      <c r="K175" s="244">
        <v>0.5</v>
      </c>
      <c r="L175" s="246">
        <v>163.55000000000001</v>
      </c>
    </row>
    <row r="176" spans="2:12">
      <c r="K176" s="244">
        <v>0.55000000000000004</v>
      </c>
      <c r="L176" s="246">
        <v>165.06</v>
      </c>
    </row>
    <row r="177" spans="1:30">
      <c r="K177" s="244">
        <v>0.6</v>
      </c>
      <c r="L177" s="246">
        <v>166.69</v>
      </c>
    </row>
    <row r="178" spans="1:30">
      <c r="K178" s="244">
        <v>0.65</v>
      </c>
      <c r="L178" s="246">
        <v>168.59</v>
      </c>
    </row>
    <row r="179" spans="1:30">
      <c r="K179" s="244">
        <v>0.7</v>
      </c>
      <c r="L179" s="246">
        <v>171.08</v>
      </c>
    </row>
    <row r="180" spans="1:30">
      <c r="K180" s="244">
        <v>0.75</v>
      </c>
      <c r="L180" s="246">
        <v>174.03</v>
      </c>
    </row>
    <row r="181" spans="1:30">
      <c r="K181" s="244">
        <v>0.8</v>
      </c>
      <c r="L181" s="246">
        <v>177.83</v>
      </c>
    </row>
    <row r="182" spans="1:30">
      <c r="K182" s="244">
        <v>0.85</v>
      </c>
      <c r="L182" s="246">
        <v>183.78</v>
      </c>
    </row>
    <row r="183" spans="1:30">
      <c r="K183" s="244">
        <v>0.9</v>
      </c>
      <c r="L183" s="246">
        <v>192.95</v>
      </c>
    </row>
    <row r="184" spans="1:30">
      <c r="K184" s="244">
        <v>0.95</v>
      </c>
      <c r="L184" s="246">
        <v>215.41</v>
      </c>
    </row>
    <row r="185" spans="1:30">
      <c r="K185" s="244">
        <v>0.99</v>
      </c>
      <c r="L185" s="246">
        <v>343.86</v>
      </c>
    </row>
    <row r="188" spans="1:30" s="154" customFormat="1" ht="72">
      <c r="A188" s="249" t="s">
        <v>515</v>
      </c>
      <c r="C188" s="249" t="s">
        <v>488</v>
      </c>
      <c r="F188" s="249" t="s">
        <v>489</v>
      </c>
      <c r="I188" s="249" t="s">
        <v>490</v>
      </c>
      <c r="L188" s="249" t="s">
        <v>491</v>
      </c>
      <c r="O188" s="249" t="s">
        <v>492</v>
      </c>
      <c r="R188" s="249" t="s">
        <v>493</v>
      </c>
      <c r="U188" s="249" t="s">
        <v>494</v>
      </c>
      <c r="X188" s="249" t="s">
        <v>495</v>
      </c>
      <c r="AA188" s="249" t="s">
        <v>496</v>
      </c>
      <c r="AD188" s="249" t="s">
        <v>497</v>
      </c>
    </row>
    <row r="189" spans="1:30">
      <c r="B189" s="184">
        <v>0.01</v>
      </c>
      <c r="C189" s="166">
        <v>-121900000000</v>
      </c>
      <c r="E189" s="184">
        <v>0.01</v>
      </c>
      <c r="F189" s="166">
        <v>-29000000000</v>
      </c>
      <c r="H189" s="184">
        <v>0.01</v>
      </c>
      <c r="I189" s="166">
        <v>-89780000000</v>
      </c>
      <c r="J189" s="9"/>
      <c r="K189" s="184">
        <v>0.01</v>
      </c>
      <c r="L189" s="166">
        <v>-23010000000</v>
      </c>
      <c r="N189" s="184">
        <v>0.01</v>
      </c>
      <c r="O189" s="166">
        <v>-227400000000</v>
      </c>
      <c r="Q189" s="167">
        <v>0.01</v>
      </c>
      <c r="R189" s="166">
        <v>-47020000000</v>
      </c>
      <c r="T189" s="184">
        <v>0.01</v>
      </c>
      <c r="U189" s="166">
        <v>-3206000000</v>
      </c>
      <c r="V189" s="9"/>
      <c r="W189" s="167">
        <v>0.01</v>
      </c>
      <c r="X189" s="166">
        <v>-950972193.47000003</v>
      </c>
      <c r="Z189" s="184">
        <v>0.01</v>
      </c>
      <c r="AA189" s="166">
        <v>-1915000000</v>
      </c>
      <c r="AB189" s="9"/>
      <c r="AC189" s="167">
        <v>0.01</v>
      </c>
      <c r="AD189" s="166">
        <v>-555659902.49000001</v>
      </c>
    </row>
    <row r="190" spans="1:30">
      <c r="B190" s="167">
        <v>0.05</v>
      </c>
      <c r="C190" s="166">
        <v>-22380000000</v>
      </c>
      <c r="E190" s="167">
        <v>0.05</v>
      </c>
      <c r="F190" s="166">
        <v>-6791000000</v>
      </c>
      <c r="H190" s="167">
        <v>0.05</v>
      </c>
      <c r="I190" s="166">
        <v>-15070000000</v>
      </c>
      <c r="J190" s="9"/>
      <c r="K190" s="167">
        <v>0.05</v>
      </c>
      <c r="L190" s="166">
        <v>-4320000000</v>
      </c>
      <c r="N190" s="167">
        <v>0.05</v>
      </c>
      <c r="O190" s="166">
        <v>-129300000000</v>
      </c>
      <c r="Q190" s="167">
        <v>0.05</v>
      </c>
      <c r="R190" s="166">
        <v>-28650000000</v>
      </c>
      <c r="T190" s="167">
        <v>0.05</v>
      </c>
      <c r="U190" s="166">
        <v>-2873000000</v>
      </c>
      <c r="V190" s="9"/>
      <c r="W190" s="167">
        <v>0.05</v>
      </c>
      <c r="X190" s="166">
        <v>-846923492.5</v>
      </c>
      <c r="Z190" s="167">
        <v>0.05</v>
      </c>
      <c r="AA190" s="166">
        <v>-1574000000</v>
      </c>
      <c r="AB190" s="9"/>
      <c r="AC190" s="167">
        <v>0.05</v>
      </c>
      <c r="AD190" s="166">
        <v>-453798237.41000003</v>
      </c>
    </row>
    <row r="191" spans="1:30">
      <c r="B191" s="167">
        <v>0.1</v>
      </c>
      <c r="C191" s="166">
        <v>-9601000000</v>
      </c>
      <c r="E191" s="167">
        <v>0.1</v>
      </c>
      <c r="F191" s="166">
        <v>-3018000000</v>
      </c>
      <c r="H191" s="167">
        <v>0.1</v>
      </c>
      <c r="I191" s="166">
        <v>-6062000000</v>
      </c>
      <c r="J191" s="9"/>
      <c r="K191" s="167">
        <v>0.1</v>
      </c>
      <c r="L191" s="166">
        <v>-1988000000</v>
      </c>
      <c r="N191" s="167">
        <v>0.1</v>
      </c>
      <c r="O191" s="166">
        <v>-91430000000</v>
      </c>
      <c r="Q191" s="167">
        <v>0.1</v>
      </c>
      <c r="R191" s="166">
        <v>-21530000000</v>
      </c>
      <c r="T191" s="167">
        <v>0.1</v>
      </c>
      <c r="U191" s="166">
        <v>-2600000000</v>
      </c>
      <c r="V191" s="9"/>
      <c r="W191" s="167">
        <v>0.1</v>
      </c>
      <c r="X191" s="166">
        <v>-768048927.16999996</v>
      </c>
      <c r="Z191" s="167">
        <v>0.1</v>
      </c>
      <c r="AA191" s="166">
        <v>-1300000000</v>
      </c>
      <c r="AB191" s="9"/>
      <c r="AC191" s="167">
        <v>0.1</v>
      </c>
      <c r="AD191" s="166">
        <v>-375214612.13999999</v>
      </c>
    </row>
    <row r="192" spans="1:30">
      <c r="B192" s="167">
        <v>0.15</v>
      </c>
      <c r="C192" s="166">
        <v>-6288000000</v>
      </c>
      <c r="E192" s="167">
        <v>0.15</v>
      </c>
      <c r="F192" s="166">
        <v>-1979000000</v>
      </c>
      <c r="H192" s="167">
        <v>0.15</v>
      </c>
      <c r="I192" s="166">
        <v>-4171000000</v>
      </c>
      <c r="J192" s="9"/>
      <c r="K192" s="167">
        <v>0.15</v>
      </c>
      <c r="L192" s="166">
        <v>-1304000000</v>
      </c>
      <c r="N192" s="167">
        <v>0.15</v>
      </c>
      <c r="O192" s="166">
        <v>-73060000000</v>
      </c>
      <c r="Q192" s="167">
        <v>0.15</v>
      </c>
      <c r="R192" s="166">
        <v>-17310000000</v>
      </c>
      <c r="T192" s="167">
        <v>0.15</v>
      </c>
      <c r="U192" s="166">
        <v>-2372000000</v>
      </c>
      <c r="V192" s="9"/>
      <c r="W192" s="167">
        <v>0.15</v>
      </c>
      <c r="X192" s="166">
        <v>-703877690.09000003</v>
      </c>
      <c r="Z192" s="167">
        <v>0.15</v>
      </c>
      <c r="AA192" s="166">
        <v>-1061000000</v>
      </c>
      <c r="AB192" s="9"/>
      <c r="AC192" s="167">
        <v>0.15</v>
      </c>
      <c r="AD192" s="166">
        <v>-305850226.63999999</v>
      </c>
    </row>
    <row r="193" spans="2:30">
      <c r="B193" s="167">
        <v>0.2</v>
      </c>
      <c r="C193" s="166">
        <v>-5063000000</v>
      </c>
      <c r="E193" s="167">
        <v>0.2</v>
      </c>
      <c r="F193" s="166">
        <v>-1568000000</v>
      </c>
      <c r="H193" s="167">
        <v>0.2</v>
      </c>
      <c r="I193" s="166">
        <v>-3406000000</v>
      </c>
      <c r="J193" s="9"/>
      <c r="K193" s="167">
        <v>0.2</v>
      </c>
      <c r="L193" s="166">
        <v>-1040000000</v>
      </c>
      <c r="N193" s="167">
        <v>0.2</v>
      </c>
      <c r="O193" s="166">
        <v>-60750000000</v>
      </c>
      <c r="Q193" s="167">
        <v>0.2</v>
      </c>
      <c r="R193" s="166">
        <v>-14660000000</v>
      </c>
      <c r="T193" s="167">
        <v>0.2</v>
      </c>
      <c r="U193" s="166">
        <v>-2160000000</v>
      </c>
      <c r="V193" s="9"/>
      <c r="W193" s="167">
        <v>0.2</v>
      </c>
      <c r="X193" s="166">
        <v>-642488532.08000004</v>
      </c>
      <c r="Z193" s="167">
        <v>0.2</v>
      </c>
      <c r="AA193" s="166">
        <v>-850759121.37</v>
      </c>
      <c r="AB193" s="9"/>
      <c r="AC193" s="167">
        <v>0.2</v>
      </c>
      <c r="AD193" s="166">
        <v>-244480069.18000001</v>
      </c>
    </row>
    <row r="194" spans="2:30">
      <c r="B194" s="167">
        <v>0.25</v>
      </c>
      <c r="C194" s="166">
        <v>-4138000000</v>
      </c>
      <c r="E194" s="167">
        <v>0.25</v>
      </c>
      <c r="F194" s="166">
        <v>-1227000000</v>
      </c>
      <c r="H194" s="167">
        <v>0.25</v>
      </c>
      <c r="I194" s="166">
        <v>-2729000000</v>
      </c>
      <c r="J194" s="9"/>
      <c r="K194" s="167">
        <v>0.25</v>
      </c>
      <c r="L194" s="166">
        <v>-809939703.28999996</v>
      </c>
      <c r="N194" s="167">
        <v>0.25</v>
      </c>
      <c r="O194" s="166">
        <v>-51480000000</v>
      </c>
      <c r="Q194" s="167">
        <v>0.25</v>
      </c>
      <c r="R194" s="166">
        <v>-12580000000</v>
      </c>
      <c r="T194" s="167">
        <v>0.25</v>
      </c>
      <c r="U194" s="166">
        <v>-1931000000</v>
      </c>
      <c r="V194" s="9"/>
      <c r="W194" s="167">
        <v>0.25</v>
      </c>
      <c r="X194" s="166">
        <v>-583103909.49000001</v>
      </c>
      <c r="Z194" s="167">
        <v>0.25</v>
      </c>
      <c r="AA194" s="166">
        <v>-620178246.22000003</v>
      </c>
      <c r="AB194" s="9"/>
      <c r="AC194" s="167">
        <v>0.25</v>
      </c>
      <c r="AD194" s="166">
        <v>-183832794.49000001</v>
      </c>
    </row>
    <row r="195" spans="2:30">
      <c r="B195" s="167">
        <v>0.3</v>
      </c>
      <c r="C195" s="166">
        <v>-3177000000</v>
      </c>
      <c r="E195" s="167">
        <v>0.3</v>
      </c>
      <c r="F195" s="166">
        <v>-948063661.82000005</v>
      </c>
      <c r="H195" s="167">
        <v>0.3</v>
      </c>
      <c r="I195" s="166">
        <v>-2091000000</v>
      </c>
      <c r="J195" s="9"/>
      <c r="K195" s="167">
        <v>0.3</v>
      </c>
      <c r="L195" s="166">
        <v>-616007115.86000001</v>
      </c>
      <c r="N195" s="167">
        <v>0.3</v>
      </c>
      <c r="O195" s="166">
        <v>-44400000000</v>
      </c>
      <c r="Q195" s="167">
        <v>0.3</v>
      </c>
      <c r="R195" s="166">
        <v>-11050000000</v>
      </c>
      <c r="T195" s="167">
        <v>0.3</v>
      </c>
      <c r="U195" s="166">
        <v>-1716000000</v>
      </c>
      <c r="V195" s="9"/>
      <c r="W195" s="167">
        <v>0.3</v>
      </c>
      <c r="X195" s="166">
        <v>-520940524.60000002</v>
      </c>
      <c r="Z195" s="167">
        <v>0.3</v>
      </c>
      <c r="AA195" s="166">
        <v>-413426095.81</v>
      </c>
      <c r="AB195" s="9"/>
      <c r="AC195" s="167">
        <v>0.3</v>
      </c>
      <c r="AD195" s="166">
        <v>-121881636.13</v>
      </c>
    </row>
    <row r="196" spans="2:30">
      <c r="B196" s="167">
        <v>0.35</v>
      </c>
      <c r="C196" s="166">
        <v>-2222000000</v>
      </c>
      <c r="E196" s="167">
        <v>0.35</v>
      </c>
      <c r="F196" s="166">
        <v>-645610062.88</v>
      </c>
      <c r="H196" s="167">
        <v>0.35</v>
      </c>
      <c r="I196" s="166">
        <v>-1411000000</v>
      </c>
      <c r="J196" s="9"/>
      <c r="K196" s="167">
        <v>0.35</v>
      </c>
      <c r="L196" s="166">
        <v>-419545326.16000003</v>
      </c>
      <c r="N196" s="167">
        <v>0.35</v>
      </c>
      <c r="O196" s="166">
        <v>-38850000000</v>
      </c>
      <c r="Q196" s="167">
        <v>0.35</v>
      </c>
      <c r="R196" s="166">
        <v>-9745000000</v>
      </c>
      <c r="T196" s="167">
        <v>0.35</v>
      </c>
      <c r="U196" s="166">
        <v>-1469000000</v>
      </c>
      <c r="V196" s="9"/>
      <c r="W196" s="167">
        <v>0.35</v>
      </c>
      <c r="X196" s="166">
        <v>-455759061.97000003</v>
      </c>
      <c r="Z196" s="167">
        <v>0.35</v>
      </c>
      <c r="AA196" s="166">
        <v>-181815311.31999999</v>
      </c>
      <c r="AB196" s="9"/>
      <c r="AC196" s="167">
        <v>0.35</v>
      </c>
      <c r="AD196" s="166">
        <v>-60559316.060000002</v>
      </c>
    </row>
    <row r="197" spans="2:30">
      <c r="B197" s="167">
        <v>0.4</v>
      </c>
      <c r="C197" s="166">
        <v>-1017000000</v>
      </c>
      <c r="E197" s="167">
        <v>0.4</v>
      </c>
      <c r="F197" s="166">
        <v>-333171329.57999998</v>
      </c>
      <c r="H197" s="167">
        <v>0.4</v>
      </c>
      <c r="I197" s="166">
        <v>-656680598.40999997</v>
      </c>
      <c r="J197" s="9"/>
      <c r="K197" s="167">
        <v>0.4</v>
      </c>
      <c r="L197" s="166">
        <v>-199242289.94</v>
      </c>
      <c r="N197" s="167">
        <v>0.4</v>
      </c>
      <c r="O197" s="166">
        <v>-33910000000</v>
      </c>
      <c r="Q197" s="167">
        <v>0.4</v>
      </c>
      <c r="R197" s="166">
        <v>-8584000000</v>
      </c>
      <c r="T197" s="167">
        <v>0.4</v>
      </c>
      <c r="U197" s="166">
        <v>-1209000000</v>
      </c>
      <c r="V197" s="9"/>
      <c r="W197" s="167">
        <v>0.4</v>
      </c>
      <c r="X197" s="166">
        <v>-389150469.22000003</v>
      </c>
      <c r="Z197" s="167">
        <v>0.4</v>
      </c>
      <c r="AA197" s="166">
        <v>59338374.969999999</v>
      </c>
      <c r="AB197" s="9"/>
      <c r="AC197" s="167">
        <v>0.4</v>
      </c>
      <c r="AD197" s="166">
        <v>5414410.2400000002</v>
      </c>
    </row>
    <row r="198" spans="2:30">
      <c r="B198" s="167">
        <v>0.45</v>
      </c>
      <c r="C198" s="166">
        <v>242231630.94999999</v>
      </c>
      <c r="E198" s="167">
        <v>0.45</v>
      </c>
      <c r="F198" s="166">
        <v>26894389.739999998</v>
      </c>
      <c r="H198" s="167">
        <v>0.45</v>
      </c>
      <c r="I198" s="166">
        <v>173447085.28999999</v>
      </c>
      <c r="J198" s="9"/>
      <c r="K198" s="167">
        <v>0.45</v>
      </c>
      <c r="L198" s="166">
        <v>56525346.619999997</v>
      </c>
      <c r="N198" s="167">
        <v>0.45</v>
      </c>
      <c r="O198" s="166">
        <v>-29560000000</v>
      </c>
      <c r="Q198" s="167">
        <v>0.45</v>
      </c>
      <c r="R198" s="166">
        <v>-7568000000</v>
      </c>
      <c r="T198" s="167">
        <v>0.45</v>
      </c>
      <c r="U198" s="166">
        <v>-944764954.5</v>
      </c>
      <c r="V198" s="9"/>
      <c r="W198" s="167">
        <v>0.45</v>
      </c>
      <c r="X198" s="166">
        <v>-319964792.11000001</v>
      </c>
      <c r="Z198" s="167">
        <v>0.45</v>
      </c>
      <c r="AA198" s="166">
        <v>338906606.86000001</v>
      </c>
      <c r="AB198" s="9"/>
      <c r="AC198" s="167">
        <v>0.45</v>
      </c>
      <c r="AD198" s="166">
        <v>78819686.450000003</v>
      </c>
    </row>
    <row r="199" spans="2:30">
      <c r="B199" s="167">
        <v>0.5</v>
      </c>
      <c r="C199" s="166">
        <v>1769000000</v>
      </c>
      <c r="E199" s="167">
        <v>0.5</v>
      </c>
      <c r="F199" s="166">
        <v>447338029.23000002</v>
      </c>
      <c r="H199" s="167">
        <v>0.5</v>
      </c>
      <c r="I199" s="166">
        <v>1178000000</v>
      </c>
      <c r="J199" s="9"/>
      <c r="K199" s="167">
        <v>0.5</v>
      </c>
      <c r="L199" s="166">
        <v>334247626.60000002</v>
      </c>
      <c r="N199" s="167">
        <v>0.5</v>
      </c>
      <c r="O199" s="166">
        <v>-25790000000</v>
      </c>
      <c r="Q199" s="167">
        <v>0.5</v>
      </c>
      <c r="R199" s="166">
        <v>-6664000000</v>
      </c>
      <c r="T199" s="167">
        <v>0.5</v>
      </c>
      <c r="U199" s="166">
        <v>-642561221.74000001</v>
      </c>
      <c r="V199" s="9"/>
      <c r="W199" s="167">
        <v>0.5</v>
      </c>
      <c r="X199" s="166">
        <v>-240861181.06999999</v>
      </c>
      <c r="Z199" s="167">
        <v>0.5</v>
      </c>
      <c r="AA199" s="166">
        <v>649730280.26999998</v>
      </c>
      <c r="AB199" s="9"/>
      <c r="AC199" s="167">
        <v>0.5</v>
      </c>
      <c r="AD199" s="166">
        <v>153965167.06999999</v>
      </c>
    </row>
    <row r="200" spans="2:30">
      <c r="B200" s="167">
        <v>0.55000000000000004</v>
      </c>
      <c r="C200" s="166">
        <v>3501000000</v>
      </c>
      <c r="E200" s="167">
        <v>0.55000000000000004</v>
      </c>
      <c r="F200" s="166">
        <v>891005724.19000006</v>
      </c>
      <c r="H200" s="167">
        <v>0.55000000000000004</v>
      </c>
      <c r="I200" s="166">
        <v>2339000000</v>
      </c>
      <c r="J200" s="9"/>
      <c r="K200" s="167">
        <v>0.55000000000000004</v>
      </c>
      <c r="L200" s="166">
        <v>625924378.76999998</v>
      </c>
      <c r="N200" s="167">
        <v>0.55000000000000004</v>
      </c>
      <c r="O200" s="166">
        <v>-22230000000</v>
      </c>
      <c r="Q200" s="167">
        <v>0.55000000000000004</v>
      </c>
      <c r="R200" s="166">
        <v>-5865000000</v>
      </c>
      <c r="T200" s="167">
        <v>0.55000000000000004</v>
      </c>
      <c r="U200" s="166">
        <v>-271550232.70999998</v>
      </c>
      <c r="V200" s="9"/>
      <c r="W200" s="167">
        <v>0.55000000000000004</v>
      </c>
      <c r="X200" s="166">
        <v>-150439986.88</v>
      </c>
      <c r="Z200" s="167">
        <v>0.55000000000000004</v>
      </c>
      <c r="AA200" s="166">
        <v>1006000000</v>
      </c>
      <c r="AB200" s="9"/>
      <c r="AC200" s="167">
        <v>0.55000000000000004</v>
      </c>
      <c r="AD200" s="166">
        <v>246968780.43000001</v>
      </c>
    </row>
    <row r="201" spans="2:30">
      <c r="B201" s="167">
        <v>0.6</v>
      </c>
      <c r="C201" s="166">
        <v>5569000000</v>
      </c>
      <c r="E201" s="167">
        <v>0.6</v>
      </c>
      <c r="F201" s="166">
        <v>1409000000</v>
      </c>
      <c r="H201" s="167">
        <v>0.6</v>
      </c>
      <c r="I201" s="166">
        <v>3595000000</v>
      </c>
      <c r="J201" s="9"/>
      <c r="K201" s="167">
        <v>0.6</v>
      </c>
      <c r="L201" s="166">
        <v>951582399.61000001</v>
      </c>
      <c r="N201" s="167">
        <v>0.6</v>
      </c>
      <c r="O201" s="166">
        <v>-18980000000</v>
      </c>
      <c r="Q201" s="167">
        <v>0.6</v>
      </c>
      <c r="R201" s="166">
        <v>-5068000000</v>
      </c>
      <c r="T201" s="167">
        <v>0.6</v>
      </c>
      <c r="U201" s="166">
        <v>106022244.65000001</v>
      </c>
      <c r="V201" s="9"/>
      <c r="W201" s="167">
        <v>0.6</v>
      </c>
      <c r="X201" s="166">
        <v>-48298906.030000001</v>
      </c>
      <c r="Z201" s="167">
        <v>0.6</v>
      </c>
      <c r="AA201" s="166">
        <v>1419000000</v>
      </c>
      <c r="AB201" s="9"/>
      <c r="AC201" s="167">
        <v>0.6</v>
      </c>
      <c r="AD201" s="166">
        <v>342710224.38999999</v>
      </c>
    </row>
    <row r="202" spans="2:30">
      <c r="B202" s="167">
        <v>0.65</v>
      </c>
      <c r="C202" s="166">
        <v>8190000000</v>
      </c>
      <c r="E202" s="167">
        <v>0.65</v>
      </c>
      <c r="F202" s="166">
        <v>2032000000</v>
      </c>
      <c r="H202" s="167">
        <v>0.65</v>
      </c>
      <c r="I202" s="166">
        <v>5237000000</v>
      </c>
      <c r="J202" s="9"/>
      <c r="K202" s="167">
        <v>0.65</v>
      </c>
      <c r="L202" s="166">
        <v>1321000000</v>
      </c>
      <c r="N202" s="167">
        <v>0.65</v>
      </c>
      <c r="O202" s="166">
        <v>-15950000000</v>
      </c>
      <c r="Q202" s="167">
        <v>0.65</v>
      </c>
      <c r="R202" s="166">
        <v>-4285000000</v>
      </c>
      <c r="T202" s="167">
        <v>0.65</v>
      </c>
      <c r="U202" s="166">
        <v>571026661.89999998</v>
      </c>
      <c r="V202" s="9"/>
      <c r="W202" s="167">
        <v>0.65</v>
      </c>
      <c r="X202" s="166">
        <v>78858701.799999997</v>
      </c>
      <c r="Z202" s="167">
        <v>0.65</v>
      </c>
      <c r="AA202" s="166">
        <v>1859000000</v>
      </c>
      <c r="AB202" s="9"/>
      <c r="AC202" s="167">
        <v>0.65</v>
      </c>
      <c r="AD202" s="166">
        <v>454666521.57999998</v>
      </c>
    </row>
    <row r="203" spans="2:30">
      <c r="B203" s="167">
        <v>0.7</v>
      </c>
      <c r="C203" s="166">
        <v>11240000000</v>
      </c>
      <c r="E203" s="167">
        <v>0.7</v>
      </c>
      <c r="F203" s="166">
        <v>2810000000</v>
      </c>
      <c r="H203" s="167">
        <v>0.7</v>
      </c>
      <c r="I203" s="166">
        <v>7147000000</v>
      </c>
      <c r="J203" s="9"/>
      <c r="K203" s="167">
        <v>0.7</v>
      </c>
      <c r="L203" s="166">
        <v>1823000000</v>
      </c>
      <c r="N203" s="167">
        <v>0.7</v>
      </c>
      <c r="O203" s="166">
        <v>-12940000000</v>
      </c>
      <c r="Q203" s="167">
        <v>0.7</v>
      </c>
      <c r="R203" s="166">
        <v>-3583000000</v>
      </c>
      <c r="T203" s="167">
        <v>0.7</v>
      </c>
      <c r="U203" s="166">
        <v>1127000000</v>
      </c>
      <c r="V203" s="9"/>
      <c r="W203" s="167">
        <v>0.7</v>
      </c>
      <c r="X203" s="166">
        <v>221557200.38</v>
      </c>
      <c r="Z203" s="167">
        <v>0.7</v>
      </c>
      <c r="AA203" s="166">
        <v>2402000000</v>
      </c>
      <c r="AB203" s="9"/>
      <c r="AC203" s="167">
        <v>0.7</v>
      </c>
      <c r="AD203" s="166">
        <v>595938701.98000002</v>
      </c>
    </row>
    <row r="204" spans="2:30">
      <c r="B204" s="167">
        <v>0.75</v>
      </c>
      <c r="C204" s="166">
        <v>14640000000</v>
      </c>
      <c r="E204" s="167">
        <v>0.75</v>
      </c>
      <c r="F204" s="166">
        <v>3736000000</v>
      </c>
      <c r="H204" s="167">
        <v>0.75</v>
      </c>
      <c r="I204" s="166">
        <v>9745000000</v>
      </c>
      <c r="J204" s="9"/>
      <c r="K204" s="167">
        <v>0.75</v>
      </c>
      <c r="L204" s="166">
        <v>2437000000</v>
      </c>
      <c r="N204" s="167">
        <v>0.75</v>
      </c>
      <c r="O204" s="166">
        <v>-10250000000</v>
      </c>
      <c r="Q204" s="167">
        <v>0.75</v>
      </c>
      <c r="R204" s="166">
        <v>-2875000000</v>
      </c>
      <c r="T204" s="167">
        <v>0.75</v>
      </c>
      <c r="U204" s="166">
        <v>1858000000</v>
      </c>
      <c r="V204" s="9"/>
      <c r="W204" s="167">
        <v>0.75</v>
      </c>
      <c r="X204" s="166">
        <v>394915828.81</v>
      </c>
      <c r="Z204" s="167">
        <v>0.75</v>
      </c>
      <c r="AA204" s="166">
        <v>3073000000</v>
      </c>
      <c r="AB204" s="9"/>
      <c r="AC204" s="167">
        <v>0.75</v>
      </c>
      <c r="AD204" s="166">
        <v>770862478.99000001</v>
      </c>
    </row>
    <row r="205" spans="2:30">
      <c r="B205" s="167">
        <v>0.8</v>
      </c>
      <c r="C205" s="166">
        <v>20210000000</v>
      </c>
      <c r="E205" s="167">
        <v>0.8</v>
      </c>
      <c r="F205" s="166">
        <v>4870000000</v>
      </c>
      <c r="H205" s="167">
        <v>0.8</v>
      </c>
      <c r="I205" s="166">
        <v>13130000000</v>
      </c>
      <c r="J205" s="9"/>
      <c r="K205" s="167">
        <v>0.8</v>
      </c>
      <c r="L205" s="166">
        <v>3265000000</v>
      </c>
      <c r="N205" s="167">
        <v>0.8</v>
      </c>
      <c r="O205" s="166">
        <v>-7583000000</v>
      </c>
      <c r="Q205" s="167">
        <v>0.8</v>
      </c>
      <c r="R205" s="166">
        <v>-2173000000</v>
      </c>
      <c r="T205" s="167">
        <v>0.8</v>
      </c>
      <c r="U205" s="166">
        <v>2834000000</v>
      </c>
      <c r="V205" s="9"/>
      <c r="W205" s="167">
        <v>0.8</v>
      </c>
      <c r="X205" s="166">
        <v>633381815.75999999</v>
      </c>
      <c r="Z205" s="167">
        <v>0.8</v>
      </c>
      <c r="AA205" s="166">
        <v>4057000000</v>
      </c>
      <c r="AB205" s="9"/>
      <c r="AC205" s="167">
        <v>0.8</v>
      </c>
      <c r="AD205" s="166">
        <v>984632142.15999997</v>
      </c>
    </row>
    <row r="206" spans="2:30">
      <c r="B206" s="167">
        <v>0.85</v>
      </c>
      <c r="C206" s="166">
        <v>27820000000</v>
      </c>
      <c r="E206" s="167">
        <v>0.85</v>
      </c>
      <c r="F206" s="166">
        <v>6600000000</v>
      </c>
      <c r="H206" s="167">
        <v>0.85</v>
      </c>
      <c r="I206" s="166">
        <v>18260000000</v>
      </c>
      <c r="J206" s="9"/>
      <c r="K206" s="167">
        <v>0.85</v>
      </c>
      <c r="L206" s="166">
        <v>4493000000</v>
      </c>
      <c r="N206" s="167">
        <v>0.85</v>
      </c>
      <c r="O206" s="166">
        <v>-4702000000</v>
      </c>
      <c r="Q206" s="167">
        <v>0.85</v>
      </c>
      <c r="R206" s="166">
        <v>-1354000000</v>
      </c>
      <c r="T206" s="167">
        <v>0.85</v>
      </c>
      <c r="U206" s="166">
        <v>4119000000</v>
      </c>
      <c r="V206" s="9"/>
      <c r="W206" s="167">
        <v>0.85</v>
      </c>
      <c r="X206" s="166">
        <v>965587161.09000003</v>
      </c>
      <c r="Z206" s="167">
        <v>0.85</v>
      </c>
      <c r="AA206" s="166">
        <v>5325000000</v>
      </c>
      <c r="AB206" s="9"/>
      <c r="AC206" s="167">
        <v>0.85</v>
      </c>
      <c r="AD206" s="166">
        <v>1340000000</v>
      </c>
    </row>
    <row r="207" spans="2:30">
      <c r="B207" s="167">
        <v>0.9</v>
      </c>
      <c r="C207" s="166">
        <v>41270000000</v>
      </c>
      <c r="E207" s="167">
        <v>0.9</v>
      </c>
      <c r="F207" s="166">
        <v>9486000000</v>
      </c>
      <c r="H207" s="167">
        <v>0.9</v>
      </c>
      <c r="I207" s="166">
        <v>27360000000</v>
      </c>
      <c r="J207" s="9"/>
      <c r="K207" s="167">
        <v>0.9</v>
      </c>
      <c r="L207" s="166">
        <v>6326000000</v>
      </c>
      <c r="N207" s="167">
        <v>0.9</v>
      </c>
      <c r="O207" s="166">
        <v>-1486000000</v>
      </c>
      <c r="Q207" s="167">
        <v>0.9</v>
      </c>
      <c r="R207" s="166">
        <v>-522645941.00999999</v>
      </c>
      <c r="T207" s="167">
        <v>0.9</v>
      </c>
      <c r="U207" s="166">
        <v>6244000000</v>
      </c>
      <c r="V207" s="9"/>
      <c r="W207" s="167">
        <v>0.9</v>
      </c>
      <c r="X207" s="166">
        <v>1491000000</v>
      </c>
      <c r="Z207" s="167">
        <v>0.9</v>
      </c>
      <c r="AA207" s="166">
        <v>7452000000</v>
      </c>
      <c r="AB207" s="9"/>
      <c r="AC207" s="167">
        <v>0.9</v>
      </c>
      <c r="AD207" s="166">
        <v>1879000000</v>
      </c>
    </row>
    <row r="208" spans="2:30">
      <c r="B208" s="167">
        <v>0.95</v>
      </c>
      <c r="C208" s="166">
        <v>69180000000</v>
      </c>
      <c r="E208" s="167">
        <v>0.95</v>
      </c>
      <c r="F208" s="166">
        <v>15610000000</v>
      </c>
      <c r="H208" s="167">
        <v>0.95</v>
      </c>
      <c r="I208" s="166">
        <v>47750000000</v>
      </c>
      <c r="J208" s="9"/>
      <c r="K208" s="167">
        <v>0.95</v>
      </c>
      <c r="L208" s="166">
        <v>10400000000</v>
      </c>
      <c r="N208" s="167">
        <v>0.95</v>
      </c>
      <c r="O208" s="166">
        <v>3010000000</v>
      </c>
      <c r="Q208" s="167">
        <v>0.95</v>
      </c>
      <c r="R208" s="166">
        <v>814156550.5</v>
      </c>
      <c r="T208" s="167">
        <v>0.95</v>
      </c>
      <c r="U208" s="166">
        <v>11150000000</v>
      </c>
      <c r="V208" s="9"/>
      <c r="W208" s="167">
        <v>0.95</v>
      </c>
      <c r="X208" s="166">
        <v>2706000000</v>
      </c>
      <c r="Z208" s="167">
        <v>0.95</v>
      </c>
      <c r="AA208" s="166">
        <v>12970000000</v>
      </c>
      <c r="AB208" s="9"/>
      <c r="AC208" s="167">
        <v>0.95</v>
      </c>
      <c r="AD208" s="166">
        <v>3199000000</v>
      </c>
    </row>
    <row r="209" spans="1:30">
      <c r="B209" s="167">
        <v>0.99</v>
      </c>
      <c r="C209" s="166">
        <v>174500000000</v>
      </c>
      <c r="E209" s="167">
        <v>0.99</v>
      </c>
      <c r="F209" s="166">
        <v>34010000000</v>
      </c>
      <c r="H209" s="167">
        <v>0.99</v>
      </c>
      <c r="I209" s="166">
        <v>124100000000</v>
      </c>
      <c r="J209" s="9"/>
      <c r="K209" s="167">
        <v>0.99</v>
      </c>
      <c r="L209" s="166">
        <v>25120000000</v>
      </c>
      <c r="N209" s="167">
        <v>0.99</v>
      </c>
      <c r="O209" s="166">
        <v>47550000000</v>
      </c>
      <c r="Q209" s="167">
        <v>0.99</v>
      </c>
      <c r="R209" s="166">
        <v>11390000000</v>
      </c>
      <c r="T209" s="167">
        <v>0.99</v>
      </c>
      <c r="U209" s="166">
        <v>41870000000</v>
      </c>
      <c r="V209" s="9"/>
      <c r="W209" s="167">
        <v>0.99</v>
      </c>
      <c r="X209" s="166">
        <v>9423000000</v>
      </c>
      <c r="Z209" s="167">
        <v>0.99</v>
      </c>
      <c r="AA209" s="166">
        <v>45720000000</v>
      </c>
      <c r="AB209" s="9"/>
      <c r="AC209" s="167">
        <v>0.99</v>
      </c>
      <c r="AD209" s="166">
        <v>10710000000</v>
      </c>
    </row>
    <row r="212" spans="1:30" s="251" customFormat="1" ht="72">
      <c r="A212" s="250" t="s">
        <v>516</v>
      </c>
      <c r="I212" s="250" t="s">
        <v>490</v>
      </c>
      <c r="L212" s="250" t="s">
        <v>491</v>
      </c>
      <c r="O212" s="250" t="s">
        <v>492</v>
      </c>
      <c r="R212" s="252" t="s">
        <v>493</v>
      </c>
      <c r="AA212" s="250" t="s">
        <v>496</v>
      </c>
      <c r="AD212" s="250" t="s">
        <v>497</v>
      </c>
    </row>
    <row r="213" spans="1:30">
      <c r="H213" s="184">
        <v>0.01</v>
      </c>
      <c r="I213" s="166">
        <v>-35660000000</v>
      </c>
      <c r="J213" s="9"/>
      <c r="K213" s="184">
        <v>0.01</v>
      </c>
      <c r="L213" s="166">
        <v>-12450000000</v>
      </c>
      <c r="N213" s="184">
        <v>0.01</v>
      </c>
      <c r="O213" s="166">
        <v>-83850000000</v>
      </c>
      <c r="Q213" s="167">
        <v>0.01</v>
      </c>
      <c r="R213" s="166">
        <v>-29180000000</v>
      </c>
      <c r="Z213" s="184">
        <v>0.01</v>
      </c>
      <c r="AA213" s="166">
        <v>-1109000000</v>
      </c>
      <c r="AB213" s="9"/>
      <c r="AC213" s="167">
        <v>0.01</v>
      </c>
      <c r="AD213" s="166">
        <v>-439092100.42000002</v>
      </c>
    </row>
    <row r="214" spans="1:30">
      <c r="H214" s="167">
        <v>0.05</v>
      </c>
      <c r="I214" s="166">
        <v>-9245000000</v>
      </c>
      <c r="J214" s="9"/>
      <c r="K214" s="167">
        <v>0.05</v>
      </c>
      <c r="L214" s="166">
        <v>-3480000000</v>
      </c>
      <c r="N214" s="167">
        <v>0.05</v>
      </c>
      <c r="O214" s="166">
        <v>-50260000000</v>
      </c>
      <c r="Q214" s="167">
        <v>0.05</v>
      </c>
      <c r="R214" s="166">
        <v>-17900000000</v>
      </c>
      <c r="Z214" s="167">
        <v>0.05</v>
      </c>
      <c r="AA214" s="166">
        <v>-920377685.45000005</v>
      </c>
      <c r="AB214" s="9"/>
      <c r="AC214" s="167">
        <v>0.05</v>
      </c>
      <c r="AD214" s="166">
        <v>-363578990.06999999</v>
      </c>
    </row>
    <row r="215" spans="1:30">
      <c r="H215" s="167">
        <v>0.1</v>
      </c>
      <c r="I215" s="166">
        <v>-4278000000</v>
      </c>
      <c r="J215" s="9"/>
      <c r="K215" s="167">
        <v>0.1</v>
      </c>
      <c r="L215" s="166">
        <v>-1749000000</v>
      </c>
      <c r="N215" s="167">
        <v>0.1</v>
      </c>
      <c r="O215" s="166">
        <v>-37770000000</v>
      </c>
      <c r="Q215" s="167">
        <v>0.1</v>
      </c>
      <c r="R215" s="166">
        <v>-13670000000</v>
      </c>
      <c r="Z215" s="167">
        <v>0.1</v>
      </c>
      <c r="AA215" s="166">
        <v>-776681871.57000005</v>
      </c>
      <c r="AB215" s="9"/>
      <c r="AC215" s="167">
        <v>0.1</v>
      </c>
      <c r="AD215" s="166">
        <v>-305558471.30000001</v>
      </c>
    </row>
    <row r="216" spans="1:30">
      <c r="H216" s="167">
        <v>0.15</v>
      </c>
      <c r="I216" s="166">
        <v>-2695000000</v>
      </c>
      <c r="J216" s="9"/>
      <c r="K216" s="167">
        <v>0.15</v>
      </c>
      <c r="L216" s="166">
        <v>-1112000000</v>
      </c>
      <c r="N216" s="167">
        <v>0.15</v>
      </c>
      <c r="O216" s="166">
        <v>-31210000000</v>
      </c>
      <c r="Q216" s="167">
        <v>0.15</v>
      </c>
      <c r="R216" s="166">
        <v>-11390000000</v>
      </c>
      <c r="Z216" s="167">
        <v>0.15</v>
      </c>
      <c r="AA216" s="166">
        <v>-657472199.67999995</v>
      </c>
      <c r="AB216" s="9"/>
      <c r="AC216" s="167">
        <v>0.15</v>
      </c>
      <c r="AD216" s="166">
        <v>-258174393.63</v>
      </c>
    </row>
    <row r="217" spans="1:30">
      <c r="H217" s="167">
        <v>0.2</v>
      </c>
      <c r="I217" s="166">
        <v>-2127000000</v>
      </c>
      <c r="J217" s="9"/>
      <c r="K217" s="167">
        <v>0.2</v>
      </c>
      <c r="L217" s="166">
        <v>-862124764.98000002</v>
      </c>
      <c r="N217" s="167">
        <v>0.2</v>
      </c>
      <c r="O217" s="166">
        <v>-26650000000</v>
      </c>
      <c r="Q217" s="167">
        <v>0.2</v>
      </c>
      <c r="R217" s="166">
        <v>-9785000000</v>
      </c>
      <c r="Z217" s="167">
        <v>0.2</v>
      </c>
      <c r="AA217" s="166">
        <v>-540689014.24000001</v>
      </c>
      <c r="AB217" s="9"/>
      <c r="AC217" s="167">
        <v>0.2</v>
      </c>
      <c r="AD217" s="166">
        <v>-214580857.55000001</v>
      </c>
    </row>
    <row r="218" spans="1:30">
      <c r="H218" s="167">
        <v>0.25</v>
      </c>
      <c r="I218" s="166">
        <v>-1705000000</v>
      </c>
      <c r="J218" s="9"/>
      <c r="K218" s="167">
        <v>0.25</v>
      </c>
      <c r="L218" s="166">
        <v>-686655680.00999999</v>
      </c>
      <c r="N218" s="167">
        <v>0.25</v>
      </c>
      <c r="O218" s="166">
        <v>-23050000000</v>
      </c>
      <c r="Q218" s="167">
        <v>0.25</v>
      </c>
      <c r="R218" s="166">
        <v>-8529000000</v>
      </c>
      <c r="Z218" s="167">
        <v>0.25</v>
      </c>
      <c r="AA218" s="166">
        <v>-430029009.87</v>
      </c>
      <c r="AB218" s="9"/>
      <c r="AC218" s="167">
        <v>0.25</v>
      </c>
      <c r="AD218" s="166">
        <v>-169306898.41999999</v>
      </c>
    </row>
    <row r="219" spans="1:30">
      <c r="H219" s="167">
        <v>0.3</v>
      </c>
      <c r="I219" s="166">
        <v>-1302000000</v>
      </c>
      <c r="J219" s="9"/>
      <c r="K219" s="167">
        <v>0.3</v>
      </c>
      <c r="L219" s="166">
        <v>-530519230.88</v>
      </c>
      <c r="N219" s="167">
        <v>0.3</v>
      </c>
      <c r="O219" s="166">
        <v>-20130000000</v>
      </c>
      <c r="Q219" s="167">
        <v>0.3</v>
      </c>
      <c r="R219" s="166">
        <v>-7526000000</v>
      </c>
      <c r="Z219" s="167">
        <v>0.3</v>
      </c>
      <c r="AA219" s="166">
        <v>-318238384.80000001</v>
      </c>
      <c r="AB219" s="9"/>
      <c r="AC219" s="167">
        <v>0.3</v>
      </c>
      <c r="AD219" s="166">
        <v>-123348574.18000001</v>
      </c>
    </row>
    <row r="220" spans="1:30">
      <c r="H220" s="167">
        <v>0.35</v>
      </c>
      <c r="I220" s="166">
        <v>-919646307.92999995</v>
      </c>
      <c r="J220" s="9"/>
      <c r="K220" s="167">
        <v>0.35</v>
      </c>
      <c r="L220" s="166">
        <v>-369483603.68000001</v>
      </c>
      <c r="N220" s="167">
        <v>0.35</v>
      </c>
      <c r="O220" s="166">
        <v>-17630000000</v>
      </c>
      <c r="Q220" s="167">
        <v>0.35</v>
      </c>
      <c r="R220" s="166">
        <v>-6642000000</v>
      </c>
      <c r="Z220" s="167">
        <v>0.35</v>
      </c>
      <c r="AA220" s="166">
        <v>-202065686.27000001</v>
      </c>
      <c r="AB220" s="9"/>
      <c r="AC220" s="167">
        <v>0.35</v>
      </c>
      <c r="AD220" s="166">
        <v>-81891498.689999998</v>
      </c>
    </row>
    <row r="221" spans="1:30">
      <c r="H221" s="167">
        <v>0.4</v>
      </c>
      <c r="I221" s="166">
        <v>-530614450.41000003</v>
      </c>
      <c r="J221" s="9"/>
      <c r="K221" s="167">
        <v>0.4</v>
      </c>
      <c r="L221" s="166">
        <v>-215940213.46000001</v>
      </c>
      <c r="N221" s="167">
        <v>0.4</v>
      </c>
      <c r="O221" s="166">
        <v>-15630000000</v>
      </c>
      <c r="Q221" s="167">
        <v>0.4</v>
      </c>
      <c r="R221" s="166">
        <v>-5884000000</v>
      </c>
      <c r="Z221" s="167">
        <v>0.4</v>
      </c>
      <c r="AA221" s="166">
        <v>-74534101.099999994</v>
      </c>
      <c r="AB221" s="9"/>
      <c r="AC221" s="167">
        <v>0.4</v>
      </c>
      <c r="AD221" s="166">
        <v>-33392382.059999999</v>
      </c>
    </row>
    <row r="222" spans="1:30">
      <c r="H222" s="167">
        <v>0.45</v>
      </c>
      <c r="I222" s="166">
        <v>-75341979.189999998</v>
      </c>
      <c r="J222" s="9"/>
      <c r="K222" s="167">
        <v>0.45</v>
      </c>
      <c r="L222" s="166">
        <v>-42854388.719999999</v>
      </c>
      <c r="N222" s="167">
        <v>0.45</v>
      </c>
      <c r="O222" s="166">
        <v>-13740000000</v>
      </c>
      <c r="Q222" s="167">
        <v>0.45</v>
      </c>
      <c r="R222" s="166">
        <v>-5194000000</v>
      </c>
      <c r="Z222" s="167">
        <v>0.45</v>
      </c>
      <c r="AA222" s="166">
        <v>51265836.350000001</v>
      </c>
      <c r="AB222" s="9"/>
      <c r="AC222" s="167">
        <v>0.45</v>
      </c>
      <c r="AD222" s="166">
        <v>17134434.789999999</v>
      </c>
    </row>
    <row r="223" spans="1:30">
      <c r="H223" s="167">
        <v>0.5</v>
      </c>
      <c r="I223" s="166">
        <v>413907918.55000001</v>
      </c>
      <c r="J223" s="9"/>
      <c r="K223" s="167">
        <v>0.5</v>
      </c>
      <c r="L223" s="166">
        <v>156577015.88</v>
      </c>
      <c r="N223" s="167">
        <v>0.5</v>
      </c>
      <c r="O223" s="166">
        <v>-11850000000</v>
      </c>
      <c r="Q223" s="167">
        <v>0.5</v>
      </c>
      <c r="R223" s="166">
        <v>-4564000000</v>
      </c>
      <c r="U223" s="260"/>
      <c r="Z223" s="167">
        <v>0.5</v>
      </c>
      <c r="AA223" s="166">
        <v>202405470.47</v>
      </c>
      <c r="AB223" s="9"/>
      <c r="AC223" s="167">
        <v>0.5</v>
      </c>
      <c r="AD223" s="166">
        <v>72637925.489999995</v>
      </c>
    </row>
    <row r="224" spans="1:30">
      <c r="H224" s="167">
        <v>0.55000000000000004</v>
      </c>
      <c r="I224" s="166">
        <v>992104552.52999997</v>
      </c>
      <c r="J224" s="9"/>
      <c r="K224" s="167">
        <v>0.55000000000000004</v>
      </c>
      <c r="L224" s="166">
        <v>374174509.85000002</v>
      </c>
      <c r="N224" s="167">
        <v>0.55000000000000004</v>
      </c>
      <c r="O224" s="166">
        <v>-10330000000</v>
      </c>
      <c r="Q224" s="167">
        <v>0.55000000000000004</v>
      </c>
      <c r="R224" s="166">
        <v>-3954000000</v>
      </c>
      <c r="Z224" s="167">
        <v>0.55000000000000004</v>
      </c>
      <c r="AA224" s="166">
        <v>355661365.83999997</v>
      </c>
      <c r="AB224" s="9"/>
      <c r="AC224" s="167">
        <v>0.55000000000000004</v>
      </c>
      <c r="AD224" s="166">
        <v>133637735.41</v>
      </c>
    </row>
    <row r="225" spans="1:30">
      <c r="H225" s="167">
        <v>0.6</v>
      </c>
      <c r="I225" s="166">
        <v>1668000000</v>
      </c>
      <c r="J225" s="9"/>
      <c r="K225" s="167">
        <v>0.6</v>
      </c>
      <c r="L225" s="166">
        <v>631237257.11000001</v>
      </c>
      <c r="N225" s="167">
        <v>0.6</v>
      </c>
      <c r="O225" s="166">
        <v>-8841000000</v>
      </c>
      <c r="Q225" s="167">
        <v>0.6</v>
      </c>
      <c r="R225" s="166">
        <v>-3442000000</v>
      </c>
      <c r="Z225" s="167">
        <v>0.6</v>
      </c>
      <c r="AA225" s="166">
        <v>543620798.15999997</v>
      </c>
      <c r="AB225" s="9"/>
      <c r="AC225" s="167">
        <v>0.6</v>
      </c>
      <c r="AD225" s="166">
        <v>200379687.91</v>
      </c>
    </row>
    <row r="226" spans="1:30">
      <c r="H226" s="167">
        <v>0.65</v>
      </c>
      <c r="I226" s="166">
        <v>2426000000</v>
      </c>
      <c r="J226" s="9"/>
      <c r="K226" s="167">
        <v>0.65</v>
      </c>
      <c r="L226" s="166">
        <v>899302214.01999998</v>
      </c>
      <c r="N226" s="167">
        <v>0.65</v>
      </c>
      <c r="O226" s="166">
        <v>-7522000000</v>
      </c>
      <c r="Q226" s="167">
        <v>0.65</v>
      </c>
      <c r="R226" s="166">
        <v>-2917000000</v>
      </c>
      <c r="Z226" s="167">
        <v>0.65</v>
      </c>
      <c r="AA226" s="166">
        <v>751885312.29999995</v>
      </c>
      <c r="AB226" s="9"/>
      <c r="AC226" s="167">
        <v>0.65</v>
      </c>
      <c r="AD226" s="166">
        <v>281597638.11000001</v>
      </c>
    </row>
    <row r="227" spans="1:30">
      <c r="H227" s="167">
        <v>0.7</v>
      </c>
      <c r="I227" s="166">
        <v>3310000000</v>
      </c>
      <c r="J227" s="9"/>
      <c r="K227" s="167">
        <v>0.7</v>
      </c>
      <c r="L227" s="166">
        <v>1231000000</v>
      </c>
      <c r="N227" s="167">
        <v>0.7</v>
      </c>
      <c r="O227" s="166">
        <v>-6131000000</v>
      </c>
      <c r="Q227" s="167">
        <v>0.7</v>
      </c>
      <c r="R227" s="166">
        <v>-2396000000</v>
      </c>
      <c r="Z227" s="167">
        <v>0.7</v>
      </c>
      <c r="AA227" s="166">
        <v>1036000000</v>
      </c>
      <c r="AB227" s="9"/>
      <c r="AC227" s="167">
        <v>0.7</v>
      </c>
      <c r="AD227" s="166">
        <v>381876931.37</v>
      </c>
    </row>
    <row r="228" spans="1:30">
      <c r="H228" s="167">
        <v>0.75</v>
      </c>
      <c r="I228" s="166">
        <v>4448000000</v>
      </c>
      <c r="J228" s="9"/>
      <c r="K228" s="167">
        <v>0.75</v>
      </c>
      <c r="L228" s="166">
        <v>1638000000</v>
      </c>
      <c r="N228" s="167">
        <v>0.75</v>
      </c>
      <c r="O228" s="166">
        <v>-4769000000</v>
      </c>
      <c r="Q228" s="167">
        <v>0.75</v>
      </c>
      <c r="R228" s="166">
        <v>-1865000000</v>
      </c>
      <c r="Z228" s="167">
        <v>0.75</v>
      </c>
      <c r="AA228" s="166">
        <v>1357000000</v>
      </c>
      <c r="AB228" s="9"/>
      <c r="AC228" s="167">
        <v>0.75</v>
      </c>
      <c r="AD228" s="166">
        <v>515886497.75999999</v>
      </c>
    </row>
    <row r="229" spans="1:30">
      <c r="H229" s="167">
        <v>0.8</v>
      </c>
      <c r="I229" s="166">
        <v>5873000000</v>
      </c>
      <c r="J229" s="9"/>
      <c r="K229" s="167">
        <v>0.8</v>
      </c>
      <c r="L229" s="166">
        <v>2161000000</v>
      </c>
      <c r="N229" s="167">
        <v>0.8</v>
      </c>
      <c r="O229" s="166">
        <v>-3419000000</v>
      </c>
      <c r="Q229" s="167">
        <v>0.8</v>
      </c>
      <c r="R229" s="166">
        <v>-1373000000</v>
      </c>
      <c r="Z229" s="167">
        <v>0.8</v>
      </c>
      <c r="AA229" s="166">
        <v>1798000000</v>
      </c>
      <c r="AB229" s="9"/>
      <c r="AC229" s="167">
        <v>0.8</v>
      </c>
      <c r="AD229" s="166">
        <v>676365647.08000004</v>
      </c>
    </row>
    <row r="230" spans="1:30">
      <c r="H230" s="167">
        <v>0.85</v>
      </c>
      <c r="I230" s="166">
        <v>7887000000</v>
      </c>
      <c r="J230" s="9"/>
      <c r="K230" s="167">
        <v>0.85</v>
      </c>
      <c r="L230" s="166">
        <v>2888000000</v>
      </c>
      <c r="N230" s="167">
        <v>0.85</v>
      </c>
      <c r="O230" s="166">
        <v>-1966000000</v>
      </c>
      <c r="Q230" s="167">
        <v>0.85</v>
      </c>
      <c r="R230" s="166">
        <v>-825454332.52999997</v>
      </c>
      <c r="Z230" s="167">
        <v>0.85</v>
      </c>
      <c r="AA230" s="166">
        <v>2410000000</v>
      </c>
      <c r="AB230" s="9"/>
      <c r="AC230" s="167">
        <v>0.85</v>
      </c>
      <c r="AD230" s="166">
        <v>895496108.10000002</v>
      </c>
    </row>
    <row r="231" spans="1:30">
      <c r="H231" s="167">
        <v>0.9</v>
      </c>
      <c r="I231" s="166">
        <v>11310000000</v>
      </c>
      <c r="J231" s="9"/>
      <c r="K231" s="167">
        <v>0.9</v>
      </c>
      <c r="L231" s="166">
        <v>4108000000</v>
      </c>
      <c r="N231" s="167">
        <v>0.9</v>
      </c>
      <c r="O231" s="166">
        <v>-389288744.80000001</v>
      </c>
      <c r="Q231" s="167">
        <v>0.9</v>
      </c>
      <c r="R231" s="166">
        <v>-197905844.09</v>
      </c>
      <c r="Z231" s="167">
        <v>0.9</v>
      </c>
      <c r="AA231" s="166">
        <v>3454000000</v>
      </c>
      <c r="AB231" s="9"/>
      <c r="AC231" s="167">
        <v>0.9</v>
      </c>
      <c r="AD231" s="166">
        <v>1315000000</v>
      </c>
    </row>
    <row r="232" spans="1:30">
      <c r="H232" s="167">
        <v>0.95</v>
      </c>
      <c r="I232" s="166">
        <v>18450000000</v>
      </c>
      <c r="J232" s="9"/>
      <c r="K232" s="167">
        <v>0.95</v>
      </c>
      <c r="L232" s="166">
        <v>6576000000</v>
      </c>
      <c r="N232" s="167">
        <v>0.95</v>
      </c>
      <c r="O232" s="166">
        <v>2002000000</v>
      </c>
      <c r="Q232" s="167">
        <v>0.95</v>
      </c>
      <c r="R232" s="166">
        <v>712733706.69000006</v>
      </c>
      <c r="Z232" s="167">
        <v>0.95</v>
      </c>
      <c r="AA232" s="166">
        <v>5890000000</v>
      </c>
      <c r="AB232" s="9"/>
      <c r="AC232" s="167">
        <v>0.95</v>
      </c>
      <c r="AD232" s="166">
        <v>2249000000</v>
      </c>
    </row>
    <row r="233" spans="1:30">
      <c r="H233" s="167">
        <v>0.99</v>
      </c>
      <c r="I233" s="166">
        <v>40580000000</v>
      </c>
      <c r="J233" s="9"/>
      <c r="K233" s="167">
        <v>0.99</v>
      </c>
      <c r="L233" s="166">
        <v>13390000000</v>
      </c>
      <c r="N233" s="167">
        <v>0.99</v>
      </c>
      <c r="O233" s="166">
        <v>23100000000</v>
      </c>
      <c r="Q233" s="167">
        <v>0.99</v>
      </c>
      <c r="R233" s="166">
        <v>7654000000</v>
      </c>
      <c r="Z233" s="167">
        <v>0.99</v>
      </c>
      <c r="AA233" s="166">
        <v>19010000000</v>
      </c>
      <c r="AB233" s="9"/>
      <c r="AC233" s="167">
        <v>0.99</v>
      </c>
      <c r="AD233" s="166">
        <v>6892000000</v>
      </c>
    </row>
    <row r="235" spans="1:30" s="268" customFormat="1" ht="88.8" customHeight="1">
      <c r="A235" s="269" t="s">
        <v>517</v>
      </c>
      <c r="I235" s="269" t="s">
        <v>490</v>
      </c>
      <c r="L235" s="269" t="s">
        <v>491</v>
      </c>
      <c r="O235" s="269" t="s">
        <v>492</v>
      </c>
      <c r="R235" s="267" t="s">
        <v>493</v>
      </c>
      <c r="U235" s="269" t="s">
        <v>505</v>
      </c>
      <c r="X235" s="269" t="s">
        <v>506</v>
      </c>
      <c r="AA235" s="269" t="s">
        <v>508</v>
      </c>
      <c r="AD235" s="269" t="s">
        <v>509</v>
      </c>
    </row>
    <row r="236" spans="1:30">
      <c r="H236" s="279">
        <v>0.01</v>
      </c>
      <c r="I236" s="277">
        <v>-23850000000</v>
      </c>
      <c r="K236" s="279">
        <v>0.01</v>
      </c>
      <c r="L236" s="277">
        <v>-8714000000</v>
      </c>
      <c r="N236" s="279">
        <v>0.01</v>
      </c>
      <c r="O236" s="277">
        <v>-56730000000</v>
      </c>
      <c r="Q236" s="278">
        <v>0.01</v>
      </c>
      <c r="R236" s="166">
        <v>-19470000000</v>
      </c>
      <c r="T236" s="278">
        <v>0.01</v>
      </c>
      <c r="U236" s="277">
        <v>-55390000000</v>
      </c>
      <c r="W236" s="278">
        <v>0.01</v>
      </c>
      <c r="X236" s="277">
        <v>-19300000000</v>
      </c>
      <c r="Z236" s="278">
        <v>0.01</v>
      </c>
      <c r="AA236" s="277">
        <v>-17100000000</v>
      </c>
      <c r="AC236" s="278">
        <v>0.01</v>
      </c>
      <c r="AD236" s="277">
        <v>-5984000000</v>
      </c>
    </row>
    <row r="237" spans="1:30">
      <c r="H237" s="278">
        <v>0.05</v>
      </c>
      <c r="I237" s="277">
        <v>-6903000000</v>
      </c>
      <c r="K237" s="278">
        <v>0.05</v>
      </c>
      <c r="L237" s="277">
        <v>-2750000000</v>
      </c>
      <c r="N237" s="278">
        <v>0.05</v>
      </c>
      <c r="O237" s="277">
        <v>-34210000000</v>
      </c>
      <c r="Q237" s="278">
        <v>0.05</v>
      </c>
      <c r="R237" s="166">
        <v>-12180000000</v>
      </c>
      <c r="T237" s="278">
        <v>0.05</v>
      </c>
      <c r="U237" s="277">
        <v>-33840000000</v>
      </c>
      <c r="W237" s="278">
        <v>0.05</v>
      </c>
      <c r="X237" s="277">
        <v>-12100000000</v>
      </c>
      <c r="Z237" s="278">
        <v>0.05</v>
      </c>
      <c r="AA237" s="277">
        <v>-7210000000</v>
      </c>
      <c r="AC237" s="278">
        <v>0.05</v>
      </c>
      <c r="AD237" s="277">
        <v>-2557000000</v>
      </c>
    </row>
    <row r="238" spans="1:30">
      <c r="H238" s="278">
        <v>0.1</v>
      </c>
      <c r="I238" s="277">
        <v>-3776000000</v>
      </c>
      <c r="K238" s="278">
        <v>0.1</v>
      </c>
      <c r="L238" s="277">
        <v>-1579000000</v>
      </c>
      <c r="N238" s="278">
        <v>0.1</v>
      </c>
      <c r="O238" s="277">
        <v>-24580000000</v>
      </c>
      <c r="Q238" s="278">
        <v>0.1</v>
      </c>
      <c r="R238" s="166">
        <v>-8965000000</v>
      </c>
      <c r="T238" s="278">
        <v>0.1</v>
      </c>
      <c r="U238" s="277">
        <v>-24880000000</v>
      </c>
      <c r="W238" s="278">
        <v>0.1</v>
      </c>
      <c r="X238" s="277">
        <v>-9098000000</v>
      </c>
      <c r="Z238" s="278">
        <v>0.1</v>
      </c>
      <c r="AA238" s="277">
        <v>-4132000000</v>
      </c>
      <c r="AC238" s="278">
        <v>0.1</v>
      </c>
      <c r="AD238" s="277">
        <v>-1477000000</v>
      </c>
    </row>
    <row r="239" spans="1:30">
      <c r="H239" s="278">
        <v>0.15</v>
      </c>
      <c r="I239" s="277">
        <v>-2869000000</v>
      </c>
      <c r="K239" s="278">
        <v>0.15</v>
      </c>
      <c r="L239" s="277">
        <v>-1160000000</v>
      </c>
      <c r="N239" s="278">
        <v>0.15</v>
      </c>
      <c r="O239" s="277">
        <v>-19620000000</v>
      </c>
      <c r="Q239" s="278">
        <v>0.15</v>
      </c>
      <c r="R239" s="166">
        <v>-7227000000</v>
      </c>
      <c r="T239" s="278">
        <v>0.15</v>
      </c>
      <c r="U239" s="277">
        <v>-20090000000</v>
      </c>
      <c r="W239" s="278">
        <v>0.15</v>
      </c>
      <c r="X239" s="277">
        <v>-7515000000</v>
      </c>
      <c r="Z239" s="278">
        <v>0.15</v>
      </c>
      <c r="AA239" s="277">
        <v>-2858000000</v>
      </c>
      <c r="AC239" s="278">
        <v>0.15</v>
      </c>
      <c r="AD239" s="277">
        <v>-1027000000</v>
      </c>
    </row>
    <row r="240" spans="1:30">
      <c r="H240" s="278">
        <v>0.2</v>
      </c>
      <c r="I240" s="277">
        <v>-2459000000</v>
      </c>
      <c r="K240" s="278">
        <v>0.2</v>
      </c>
      <c r="L240" s="277">
        <v>-994030284.01999998</v>
      </c>
      <c r="N240" s="278">
        <v>0.2</v>
      </c>
      <c r="O240" s="277">
        <v>-16540000000</v>
      </c>
      <c r="Q240" s="278">
        <v>0.2</v>
      </c>
      <c r="R240" s="166">
        <v>-6198000000</v>
      </c>
      <c r="T240" s="278">
        <v>0.2</v>
      </c>
      <c r="U240" s="277">
        <v>-16980000000</v>
      </c>
      <c r="W240" s="278">
        <v>0.2</v>
      </c>
      <c r="X240" s="277">
        <v>-6340000000</v>
      </c>
      <c r="Z240" s="278">
        <v>0.2</v>
      </c>
      <c r="AA240" s="277">
        <v>-2021000000</v>
      </c>
      <c r="AC240" s="278">
        <v>0.2</v>
      </c>
      <c r="AD240" s="277">
        <v>-742864328.83000004</v>
      </c>
    </row>
    <row r="241" spans="8:30">
      <c r="H241" s="278">
        <v>0.25</v>
      </c>
      <c r="I241" s="277">
        <v>-2175000000</v>
      </c>
      <c r="K241" s="278">
        <v>0.25</v>
      </c>
      <c r="L241" s="277">
        <v>-877371985.19000006</v>
      </c>
      <c r="N241" s="278">
        <v>0.25</v>
      </c>
      <c r="O241" s="277">
        <v>-14260000000</v>
      </c>
      <c r="Q241" s="278">
        <v>0.25</v>
      </c>
      <c r="R241" s="166">
        <v>-5377000000</v>
      </c>
      <c r="T241" s="278">
        <v>0.25</v>
      </c>
      <c r="U241" s="277">
        <v>-14590000000</v>
      </c>
      <c r="W241" s="278">
        <v>0.25</v>
      </c>
      <c r="X241" s="277">
        <v>-5540000000</v>
      </c>
      <c r="Z241" s="278">
        <v>0.25</v>
      </c>
      <c r="AA241" s="277">
        <v>-1465000000</v>
      </c>
      <c r="AC241" s="278">
        <v>0.25</v>
      </c>
      <c r="AD241" s="277">
        <v>-530208665.61000001</v>
      </c>
    </row>
    <row r="242" spans="8:30">
      <c r="H242" s="278">
        <v>0.3</v>
      </c>
      <c r="I242" s="277">
        <v>-1932000000</v>
      </c>
      <c r="K242" s="278">
        <v>0.3</v>
      </c>
      <c r="L242" s="277">
        <v>-777810268.35000002</v>
      </c>
      <c r="N242" s="278">
        <v>0.3</v>
      </c>
      <c r="O242" s="277">
        <v>-12470000000</v>
      </c>
      <c r="Q242" s="278">
        <v>0.3</v>
      </c>
      <c r="R242" s="166">
        <v>-4687000000</v>
      </c>
      <c r="T242" s="278">
        <v>0.3</v>
      </c>
      <c r="U242" s="277">
        <v>-12710000000</v>
      </c>
      <c r="W242" s="278">
        <v>0.3</v>
      </c>
      <c r="X242" s="277">
        <v>-4824000000</v>
      </c>
      <c r="Z242" s="278">
        <v>0.3</v>
      </c>
      <c r="AA242" s="277">
        <v>-1012000000</v>
      </c>
      <c r="AC242" s="278">
        <v>0.3</v>
      </c>
      <c r="AD242" s="277">
        <v>-362756863.47000003</v>
      </c>
    </row>
    <row r="243" spans="8:30">
      <c r="H243" s="278">
        <v>0.35</v>
      </c>
      <c r="I243" s="277">
        <v>-1685000000</v>
      </c>
      <c r="K243" s="278">
        <v>0.35</v>
      </c>
      <c r="L243" s="277">
        <v>-674607759.38</v>
      </c>
      <c r="N243" s="278">
        <v>0.35</v>
      </c>
      <c r="O243" s="277">
        <v>-10810000000</v>
      </c>
      <c r="Q243" s="278">
        <v>0.35</v>
      </c>
      <c r="R243" s="166">
        <v>-4125000000</v>
      </c>
      <c r="T243" s="278">
        <v>0.35</v>
      </c>
      <c r="U243" s="277">
        <v>-11070000000</v>
      </c>
      <c r="W243" s="278">
        <v>0.35</v>
      </c>
      <c r="X243" s="277">
        <v>-4273000000</v>
      </c>
      <c r="Z243" s="278">
        <v>0.35</v>
      </c>
      <c r="AA243" s="277">
        <v>-640473854.13</v>
      </c>
      <c r="AC243" s="278">
        <v>0.35</v>
      </c>
      <c r="AD243" s="277">
        <v>-223696549.12</v>
      </c>
    </row>
    <row r="244" spans="8:30">
      <c r="H244" s="278">
        <v>0.4</v>
      </c>
      <c r="I244" s="277">
        <v>-1420000000</v>
      </c>
      <c r="K244" s="278">
        <v>0.4</v>
      </c>
      <c r="L244" s="277">
        <v>-565643006.19000006</v>
      </c>
      <c r="N244" s="278">
        <v>0.4</v>
      </c>
      <c r="O244" s="277">
        <v>-9474000000</v>
      </c>
      <c r="Q244" s="278">
        <v>0.4</v>
      </c>
      <c r="R244" s="166">
        <v>-3628000000</v>
      </c>
      <c r="T244" s="278">
        <v>0.4</v>
      </c>
      <c r="U244" s="277">
        <v>-9696000000</v>
      </c>
      <c r="W244" s="278">
        <v>0.4</v>
      </c>
      <c r="X244" s="277">
        <v>-3754000000</v>
      </c>
      <c r="Z244" s="278">
        <v>0.4</v>
      </c>
      <c r="AA244" s="277">
        <v>-335420460.79000002</v>
      </c>
      <c r="AC244" s="278">
        <v>0.4</v>
      </c>
      <c r="AD244" s="277">
        <v>-109533892.67</v>
      </c>
    </row>
    <row r="245" spans="8:30">
      <c r="H245" s="278">
        <v>0.45</v>
      </c>
      <c r="I245" s="277">
        <v>-1147000000</v>
      </c>
      <c r="K245" s="278">
        <v>0.45</v>
      </c>
      <c r="L245" s="277">
        <v>-451931480.30000001</v>
      </c>
      <c r="N245" s="278">
        <v>0.45</v>
      </c>
      <c r="O245" s="277">
        <v>-8272000000</v>
      </c>
      <c r="Q245" s="278">
        <v>0.45</v>
      </c>
      <c r="R245" s="166">
        <v>-3174000000</v>
      </c>
      <c r="T245" s="278">
        <v>0.45</v>
      </c>
      <c r="U245" s="277">
        <v>-8486000000</v>
      </c>
      <c r="W245" s="278">
        <v>0.45</v>
      </c>
      <c r="X245" s="277">
        <v>-3309000000</v>
      </c>
      <c r="Z245" s="278">
        <v>0.45</v>
      </c>
      <c r="AA245" s="277">
        <v>-89408163.670000002</v>
      </c>
      <c r="AC245" s="278">
        <v>0.45</v>
      </c>
      <c r="AD245" s="277">
        <v>-15331166.039999999</v>
      </c>
    </row>
    <row r="246" spans="8:30">
      <c r="H246" s="278">
        <v>0.5</v>
      </c>
      <c r="I246" s="277">
        <v>-823935950.50999999</v>
      </c>
      <c r="K246" s="278">
        <v>0.5</v>
      </c>
      <c r="L246" s="277">
        <v>-327007213.47000003</v>
      </c>
      <c r="N246" s="278">
        <v>0.5</v>
      </c>
      <c r="O246" s="277">
        <v>-7201000000</v>
      </c>
      <c r="Q246" s="278">
        <v>0.5</v>
      </c>
      <c r="R246" s="166">
        <v>-2798000000</v>
      </c>
      <c r="T246" s="278">
        <v>0.5</v>
      </c>
      <c r="U246" s="277">
        <v>-7358000000</v>
      </c>
      <c r="W246" s="278">
        <v>0.5</v>
      </c>
      <c r="X246" s="277">
        <v>-2902000000</v>
      </c>
      <c r="Z246" s="278">
        <v>0.5</v>
      </c>
      <c r="AA246" s="277">
        <v>138427868.16</v>
      </c>
      <c r="AC246" s="278">
        <v>0.5</v>
      </c>
      <c r="AD246" s="277">
        <v>71366160.010000005</v>
      </c>
    </row>
    <row r="247" spans="8:30">
      <c r="H247" s="278">
        <v>0.55000000000000004</v>
      </c>
      <c r="I247" s="277">
        <v>-446549444.5</v>
      </c>
      <c r="K247" s="278">
        <v>0.55000000000000004</v>
      </c>
      <c r="L247" s="277">
        <v>-182655203.44</v>
      </c>
      <c r="N247" s="278">
        <v>0.55000000000000004</v>
      </c>
      <c r="O247" s="277">
        <v>-6243000000</v>
      </c>
      <c r="Q247" s="278">
        <v>0.55000000000000004</v>
      </c>
      <c r="R247" s="166">
        <v>-2429000000</v>
      </c>
      <c r="T247" s="278">
        <v>0.55000000000000004</v>
      </c>
      <c r="U247" s="277">
        <v>-6377000000</v>
      </c>
      <c r="W247" s="278">
        <v>0.55000000000000004</v>
      </c>
      <c r="X247" s="277">
        <v>-2520000000</v>
      </c>
      <c r="Z247" s="278">
        <v>0.55000000000000004</v>
      </c>
      <c r="AA247" s="277">
        <v>345402726.25999999</v>
      </c>
      <c r="AC247" s="278">
        <v>0.55000000000000004</v>
      </c>
      <c r="AD247" s="277">
        <v>146245033.47</v>
      </c>
    </row>
    <row r="248" spans="8:30">
      <c r="H248" s="278">
        <v>0.6</v>
      </c>
      <c r="I248" s="277">
        <v>-40705540.969999999</v>
      </c>
      <c r="K248" s="278">
        <v>0.6</v>
      </c>
      <c r="L248" s="277">
        <v>-34726364.299999997</v>
      </c>
      <c r="N248" s="278">
        <v>0.6</v>
      </c>
      <c r="O248" s="277">
        <v>-5346000000</v>
      </c>
      <c r="Q248" s="278">
        <v>0.6</v>
      </c>
      <c r="R248" s="166">
        <v>-2082000000</v>
      </c>
      <c r="T248" s="278">
        <v>0.6</v>
      </c>
      <c r="U248" s="277">
        <v>-5425000000</v>
      </c>
      <c r="W248" s="278">
        <v>0.6</v>
      </c>
      <c r="X248" s="277">
        <v>-2179000000</v>
      </c>
      <c r="Z248" s="278">
        <v>0.6</v>
      </c>
      <c r="AA248" s="277">
        <v>536847437.17000002</v>
      </c>
      <c r="AC248" s="278">
        <v>0.6</v>
      </c>
      <c r="AD248" s="277">
        <v>216321380.78999999</v>
      </c>
    </row>
    <row r="249" spans="8:30">
      <c r="H249" s="278">
        <v>0.65</v>
      </c>
      <c r="I249" s="277">
        <v>475781082.43000001</v>
      </c>
      <c r="K249" s="278">
        <v>0.65</v>
      </c>
      <c r="L249" s="277">
        <v>168354054.80000001</v>
      </c>
      <c r="N249" s="278">
        <v>0.65</v>
      </c>
      <c r="O249" s="277">
        <v>-4432000000</v>
      </c>
      <c r="Q249" s="278">
        <v>0.65</v>
      </c>
      <c r="R249" s="166">
        <v>-1754000000</v>
      </c>
      <c r="T249" s="278">
        <v>0.65</v>
      </c>
      <c r="U249" s="277">
        <v>-4516000000</v>
      </c>
      <c r="W249" s="278">
        <v>0.65</v>
      </c>
      <c r="X249" s="277">
        <v>-1826000000</v>
      </c>
      <c r="Z249" s="278">
        <v>0.65</v>
      </c>
      <c r="AA249" s="277">
        <v>701691409.34000003</v>
      </c>
      <c r="AC249" s="278">
        <v>0.65</v>
      </c>
      <c r="AD249" s="277">
        <v>282070080.22000003</v>
      </c>
    </row>
    <row r="250" spans="8:30">
      <c r="H250" s="278">
        <v>0.7</v>
      </c>
      <c r="I250" s="277">
        <v>1085000000</v>
      </c>
      <c r="K250" s="278">
        <v>0.7</v>
      </c>
      <c r="L250" s="277">
        <v>393989292.75</v>
      </c>
      <c r="N250" s="278">
        <v>0.7</v>
      </c>
      <c r="O250" s="277">
        <v>-3549000000</v>
      </c>
      <c r="Q250" s="278">
        <v>0.7</v>
      </c>
      <c r="R250" s="166">
        <v>-1431000000</v>
      </c>
      <c r="T250" s="278">
        <v>0.7</v>
      </c>
      <c r="U250" s="277">
        <v>-3602000000</v>
      </c>
      <c r="W250" s="278">
        <v>0.7</v>
      </c>
      <c r="X250" s="277">
        <v>-1471000000</v>
      </c>
      <c r="Z250" s="278">
        <v>0.7</v>
      </c>
      <c r="AA250" s="277">
        <v>874832188.45000005</v>
      </c>
      <c r="AC250" s="278">
        <v>0.7</v>
      </c>
      <c r="AD250" s="277">
        <v>346184287.33999997</v>
      </c>
    </row>
    <row r="251" spans="8:30">
      <c r="H251" s="278">
        <v>0.75</v>
      </c>
      <c r="I251" s="277">
        <v>1873000000</v>
      </c>
      <c r="K251" s="278">
        <v>0.75</v>
      </c>
      <c r="L251" s="277">
        <v>713442095.69000006</v>
      </c>
      <c r="N251" s="278">
        <v>0.75</v>
      </c>
      <c r="O251" s="277">
        <v>-2739000000</v>
      </c>
      <c r="Q251" s="278">
        <v>0.75</v>
      </c>
      <c r="R251" s="166">
        <v>-1094000000</v>
      </c>
      <c r="T251" s="278">
        <v>0.75</v>
      </c>
      <c r="U251" s="277">
        <v>-2647000000</v>
      </c>
      <c r="W251" s="278">
        <v>0.75</v>
      </c>
      <c r="X251" s="277">
        <v>-1123000000</v>
      </c>
      <c r="Z251" s="278">
        <v>0.75</v>
      </c>
      <c r="AA251" s="277">
        <v>1029000000</v>
      </c>
      <c r="AC251" s="278">
        <v>0.75</v>
      </c>
      <c r="AD251" s="277">
        <v>408888788.94999999</v>
      </c>
    </row>
    <row r="252" spans="8:30">
      <c r="H252" s="278">
        <v>0.8</v>
      </c>
      <c r="I252" s="277">
        <v>2956000000</v>
      </c>
      <c r="K252" s="278">
        <v>0.8</v>
      </c>
      <c r="L252" s="277">
        <v>1061000000</v>
      </c>
      <c r="N252" s="278">
        <v>0.8</v>
      </c>
      <c r="O252" s="277">
        <v>-1792000000</v>
      </c>
      <c r="Q252" s="278">
        <v>0.8</v>
      </c>
      <c r="R252" s="166">
        <v>-751466205.50999999</v>
      </c>
      <c r="T252" s="278">
        <v>0.8</v>
      </c>
      <c r="U252" s="277">
        <v>-1634000000</v>
      </c>
      <c r="W252" s="278">
        <v>0.8</v>
      </c>
      <c r="X252" s="277">
        <v>-730723447.91999996</v>
      </c>
      <c r="Z252" s="278">
        <v>0.8</v>
      </c>
      <c r="AA252" s="277">
        <v>1190000000</v>
      </c>
      <c r="AC252" s="278">
        <v>0.8</v>
      </c>
      <c r="AD252" s="277">
        <v>470388755.94</v>
      </c>
    </row>
    <row r="253" spans="8:30">
      <c r="H253" s="278">
        <v>0.85</v>
      </c>
      <c r="I253" s="277">
        <v>4406000000</v>
      </c>
      <c r="K253" s="278">
        <v>0.85</v>
      </c>
      <c r="L253" s="277">
        <v>1613000000</v>
      </c>
      <c r="N253" s="278">
        <v>0.85</v>
      </c>
      <c r="O253" s="277">
        <v>-873304498.50999999</v>
      </c>
      <c r="Q253" s="278">
        <v>0.85</v>
      </c>
      <c r="R253" s="166">
        <v>-406525049.00999999</v>
      </c>
      <c r="T253" s="278">
        <v>0.85</v>
      </c>
      <c r="U253" s="277">
        <v>-266071917.34999999</v>
      </c>
      <c r="W253" s="278">
        <v>0.85</v>
      </c>
      <c r="X253" s="277">
        <v>-212679354.18000001</v>
      </c>
      <c r="Z253" s="278">
        <v>0.85</v>
      </c>
      <c r="AA253" s="277">
        <v>1342000000</v>
      </c>
      <c r="AC253" s="278">
        <v>0.85</v>
      </c>
      <c r="AD253" s="277">
        <v>531318023.16000003</v>
      </c>
    </row>
    <row r="254" spans="8:30">
      <c r="H254" s="278">
        <v>0.9</v>
      </c>
      <c r="I254" s="277">
        <v>6818000000</v>
      </c>
      <c r="K254" s="278">
        <v>0.9</v>
      </c>
      <c r="L254" s="277">
        <v>2443000000</v>
      </c>
      <c r="N254" s="278">
        <v>0.9</v>
      </c>
      <c r="O254" s="277">
        <v>193889542.22</v>
      </c>
      <c r="Q254" s="278">
        <v>0.9</v>
      </c>
      <c r="R254" s="166">
        <v>50359106.719999999</v>
      </c>
      <c r="T254" s="278">
        <v>0.9</v>
      </c>
      <c r="U254" s="277">
        <v>1701000000</v>
      </c>
      <c r="W254" s="278">
        <v>0.9</v>
      </c>
      <c r="X254" s="277">
        <v>524643954.83999997</v>
      </c>
      <c r="Z254" s="278">
        <v>0.9</v>
      </c>
      <c r="AA254" s="277">
        <v>1530000000</v>
      </c>
      <c r="AC254" s="278">
        <v>0.9</v>
      </c>
      <c r="AD254" s="277">
        <v>604400951.54999995</v>
      </c>
    </row>
    <row r="255" spans="8:30">
      <c r="H255" s="278">
        <v>0.95</v>
      </c>
      <c r="I255" s="277">
        <v>11820000000</v>
      </c>
      <c r="K255" s="278">
        <v>0.95</v>
      </c>
      <c r="L255" s="277">
        <v>4215000000</v>
      </c>
      <c r="N255" s="278">
        <v>0.95</v>
      </c>
      <c r="O255" s="277">
        <v>1943000000</v>
      </c>
      <c r="Q255" s="278">
        <v>0.95</v>
      </c>
      <c r="R255" s="166">
        <v>746073137.70000005</v>
      </c>
      <c r="T255" s="278">
        <v>0.95</v>
      </c>
      <c r="U255" s="277">
        <v>6445000000</v>
      </c>
      <c r="W255" s="278">
        <v>0.95</v>
      </c>
      <c r="X255" s="277">
        <v>2182000000</v>
      </c>
      <c r="Z255" s="278">
        <v>0.95</v>
      </c>
      <c r="AA255" s="277">
        <v>1750000000</v>
      </c>
      <c r="AC255" s="278">
        <v>0.95</v>
      </c>
      <c r="AD255" s="277">
        <v>693771290.10000002</v>
      </c>
    </row>
    <row r="256" spans="8:30">
      <c r="H256" s="278">
        <v>0.99</v>
      </c>
      <c r="I256" s="277">
        <v>28990000000</v>
      </c>
      <c r="K256" s="278">
        <v>0.99</v>
      </c>
      <c r="L256" s="277">
        <v>10080000000</v>
      </c>
      <c r="N256" s="278">
        <v>0.99</v>
      </c>
      <c r="O256" s="277">
        <v>17240000000</v>
      </c>
      <c r="Q256" s="278">
        <v>0.99</v>
      </c>
      <c r="R256" s="166">
        <v>5428000000</v>
      </c>
      <c r="T256" s="278">
        <v>0.99</v>
      </c>
      <c r="U256" s="277">
        <v>24430000000</v>
      </c>
      <c r="W256" s="278">
        <v>0.99</v>
      </c>
      <c r="X256" s="277">
        <v>7896000000</v>
      </c>
      <c r="Z256" s="278">
        <v>0.99</v>
      </c>
      <c r="AA256" s="277">
        <v>2031000000</v>
      </c>
      <c r="AC256" s="278">
        <v>0.99</v>
      </c>
      <c r="AD256" s="277">
        <v>810738875.17999995</v>
      </c>
    </row>
    <row r="257" spans="1:30" ht="1.8" customHeight="1"/>
    <row r="258" spans="1:30" s="268" customFormat="1" ht="86.4" customHeight="1">
      <c r="A258" s="269" t="s">
        <v>518</v>
      </c>
      <c r="I258" s="269" t="s">
        <v>490</v>
      </c>
      <c r="L258" s="269" t="s">
        <v>491</v>
      </c>
      <c r="O258" s="269" t="s">
        <v>492</v>
      </c>
      <c r="R258" s="267" t="s">
        <v>493</v>
      </c>
      <c r="U258" s="269" t="s">
        <v>505</v>
      </c>
      <c r="X258" s="269" t="s">
        <v>506</v>
      </c>
      <c r="AA258" s="269" t="s">
        <v>508</v>
      </c>
      <c r="AD258" s="269" t="s">
        <v>509</v>
      </c>
    </row>
    <row r="259" spans="1:30">
      <c r="A259" t="s">
        <v>507</v>
      </c>
      <c r="H259" s="279">
        <v>0.01</v>
      </c>
      <c r="I259" s="277">
        <v>-63410000000</v>
      </c>
      <c r="K259" s="279">
        <v>0.01</v>
      </c>
      <c r="L259" s="277">
        <v>-15790000000</v>
      </c>
      <c r="T259" s="279">
        <v>0.01</v>
      </c>
      <c r="U259" s="277">
        <v>-148200000000</v>
      </c>
      <c r="W259" s="279">
        <v>0.01</v>
      </c>
      <c r="X259" s="277">
        <v>-31410000000</v>
      </c>
      <c r="Z259" s="279">
        <v>0.01</v>
      </c>
      <c r="AA259" s="277">
        <v>-46220000000</v>
      </c>
      <c r="AC259" s="279">
        <v>0.01</v>
      </c>
      <c r="AD259" s="277">
        <v>-9780000000</v>
      </c>
    </row>
    <row r="260" spans="1:30">
      <c r="H260" s="278">
        <v>0.05</v>
      </c>
      <c r="I260" s="277">
        <v>-11790000000</v>
      </c>
      <c r="K260" s="278">
        <v>0.05</v>
      </c>
      <c r="L260" s="277">
        <v>-3577000000</v>
      </c>
      <c r="T260" s="278">
        <v>0.05</v>
      </c>
      <c r="U260" s="277">
        <v>-78510000000</v>
      </c>
      <c r="W260" s="278">
        <v>0.05</v>
      </c>
      <c r="X260" s="277">
        <v>-18300000000</v>
      </c>
      <c r="Z260" s="278">
        <v>0.05</v>
      </c>
      <c r="AA260" s="277">
        <v>-16930000000</v>
      </c>
      <c r="AC260" s="278">
        <v>0.05</v>
      </c>
      <c r="AD260" s="277">
        <v>-3876000000</v>
      </c>
    </row>
    <row r="261" spans="1:30">
      <c r="H261" s="278">
        <v>0.1</v>
      </c>
      <c r="I261" s="277">
        <v>-5973000000</v>
      </c>
      <c r="K261" s="278">
        <v>0.1</v>
      </c>
      <c r="L261" s="277">
        <v>-1901000000</v>
      </c>
      <c r="T261" s="278">
        <v>0.1</v>
      </c>
      <c r="U261" s="277">
        <v>-55280000000</v>
      </c>
      <c r="W261" s="278">
        <v>0.1</v>
      </c>
      <c r="X261" s="277">
        <v>-13370000000</v>
      </c>
      <c r="Z261" s="278">
        <v>0.1</v>
      </c>
      <c r="AA261" s="277">
        <v>-9946000000</v>
      </c>
      <c r="AC261" s="278">
        <v>0.1</v>
      </c>
      <c r="AD261" s="277">
        <v>-2332000000</v>
      </c>
    </row>
    <row r="262" spans="1:30">
      <c r="H262" s="278">
        <v>0.15</v>
      </c>
      <c r="I262" s="277">
        <v>-4521000000</v>
      </c>
      <c r="K262" s="278">
        <v>0.15</v>
      </c>
      <c r="L262" s="277">
        <v>-1394000000</v>
      </c>
      <c r="T262" s="278">
        <v>0.15</v>
      </c>
      <c r="U262" s="277">
        <v>-43860000000</v>
      </c>
      <c r="W262" s="278">
        <v>0.15</v>
      </c>
      <c r="X262" s="277">
        <v>-10760000000</v>
      </c>
      <c r="Z262" s="278">
        <v>0.15</v>
      </c>
      <c r="AA262" s="277">
        <v>-6758000000</v>
      </c>
      <c r="AC262" s="278">
        <v>0.15</v>
      </c>
      <c r="AD262" s="277">
        <v>-1612000000</v>
      </c>
    </row>
    <row r="263" spans="1:30">
      <c r="H263" s="278">
        <v>0.2</v>
      </c>
      <c r="I263" s="277">
        <v>-4028000000</v>
      </c>
      <c r="K263" s="278">
        <v>0.2</v>
      </c>
      <c r="L263" s="277">
        <v>-1214000000</v>
      </c>
      <c r="T263" s="278">
        <v>0.2</v>
      </c>
      <c r="U263" s="277">
        <v>-35570000000</v>
      </c>
      <c r="W263" s="278">
        <v>0.2</v>
      </c>
      <c r="X263" s="277">
        <v>-9020000000</v>
      </c>
      <c r="Z263" s="278">
        <v>0.2</v>
      </c>
      <c r="AA263" s="277">
        <v>-4937000000</v>
      </c>
      <c r="AC263" s="278">
        <v>0.2</v>
      </c>
      <c r="AD263" s="277">
        <v>-1187000000</v>
      </c>
    </row>
    <row r="264" spans="1:30">
      <c r="H264" s="278">
        <v>0.25</v>
      </c>
      <c r="I264" s="277">
        <v>-3653000000</v>
      </c>
      <c r="K264" s="278">
        <v>0.25</v>
      </c>
      <c r="L264" s="277">
        <v>-1084000000</v>
      </c>
      <c r="T264" s="278">
        <v>0.25</v>
      </c>
      <c r="U264" s="277">
        <v>-29960000000</v>
      </c>
      <c r="W264" s="278">
        <v>0.25</v>
      </c>
      <c r="X264" s="277">
        <v>-7764000000</v>
      </c>
      <c r="Z264" s="278">
        <v>0.25</v>
      </c>
      <c r="AA264" s="277">
        <v>-3588000000</v>
      </c>
      <c r="AC264" s="278">
        <v>0.25</v>
      </c>
      <c r="AD264" s="277">
        <v>-872383508.78999996</v>
      </c>
    </row>
    <row r="265" spans="1:30">
      <c r="H265" s="278">
        <v>0.3</v>
      </c>
      <c r="I265" s="277">
        <v>-3258000000</v>
      </c>
      <c r="K265" s="278">
        <v>0.3</v>
      </c>
      <c r="L265" s="277">
        <v>-958496458.60000002</v>
      </c>
      <c r="T265" s="278">
        <v>0.3</v>
      </c>
      <c r="U265" s="277">
        <v>-25790000000</v>
      </c>
      <c r="W265" s="278">
        <v>0.3</v>
      </c>
      <c r="X265" s="277">
        <v>-6826000000</v>
      </c>
      <c r="Z265" s="278">
        <v>0.3</v>
      </c>
      <c r="AA265" s="277">
        <v>-2614000000</v>
      </c>
      <c r="AC265" s="278">
        <v>0.3</v>
      </c>
      <c r="AD265" s="277">
        <v>-633504689.5</v>
      </c>
    </row>
    <row r="266" spans="1:30">
      <c r="H266" s="278">
        <v>0.35</v>
      </c>
      <c r="I266" s="277">
        <v>-2837000000</v>
      </c>
      <c r="K266" s="278">
        <v>0.35</v>
      </c>
      <c r="L266" s="277">
        <v>-832716751.03999996</v>
      </c>
      <c r="T266" s="278">
        <v>0.35</v>
      </c>
      <c r="U266" s="277">
        <v>-22470000000</v>
      </c>
      <c r="W266" s="278">
        <v>0.35</v>
      </c>
      <c r="X266" s="277">
        <v>-5979000000</v>
      </c>
      <c r="Z266" s="278">
        <v>0.35</v>
      </c>
      <c r="AA266" s="277">
        <v>-1827000000</v>
      </c>
      <c r="AC266" s="278">
        <v>0.35</v>
      </c>
      <c r="AD266" s="277">
        <v>-430717214.54000002</v>
      </c>
    </row>
    <row r="267" spans="1:30">
      <c r="H267" s="278">
        <v>0.4</v>
      </c>
      <c r="I267" s="277">
        <v>-2353000000</v>
      </c>
      <c r="K267" s="278">
        <v>0.4</v>
      </c>
      <c r="L267" s="277">
        <v>-695598409.39999998</v>
      </c>
      <c r="T267" s="278">
        <v>0.4</v>
      </c>
      <c r="U267" s="277">
        <v>-19510000000</v>
      </c>
      <c r="W267" s="278">
        <v>0.4</v>
      </c>
      <c r="X267" s="277">
        <v>-5245000000</v>
      </c>
      <c r="Z267" s="278">
        <v>0.4</v>
      </c>
      <c r="AA267" s="277">
        <v>-1151000000</v>
      </c>
      <c r="AC267" s="278">
        <v>0.4</v>
      </c>
      <c r="AD267" s="277">
        <v>-263298794.31999999</v>
      </c>
    </row>
    <row r="268" spans="1:30">
      <c r="H268" s="278">
        <v>0.45</v>
      </c>
      <c r="I268" s="277">
        <v>-1844000000</v>
      </c>
      <c r="K268" s="278">
        <v>0.45</v>
      </c>
      <c r="L268" s="277">
        <v>-548846069.67999995</v>
      </c>
      <c r="T268" s="278">
        <v>0.45</v>
      </c>
      <c r="U268" s="277">
        <v>-16760000000</v>
      </c>
      <c r="W268" s="278">
        <v>0.45</v>
      </c>
      <c r="X268" s="277">
        <v>-4623000000</v>
      </c>
      <c r="Z268" s="278">
        <v>0.45</v>
      </c>
      <c r="AA268" s="277">
        <v>-614043432.5</v>
      </c>
      <c r="AC268" s="278">
        <v>0.45</v>
      </c>
      <c r="AD268" s="277">
        <v>-121580685.47</v>
      </c>
    </row>
    <row r="269" spans="1:30">
      <c r="H269" s="278">
        <v>0.5</v>
      </c>
      <c r="I269" s="277">
        <v>-1265000000</v>
      </c>
      <c r="K269" s="278">
        <v>0.5</v>
      </c>
      <c r="L269" s="277">
        <v>-388493319.67000002</v>
      </c>
      <c r="T269" s="278">
        <v>0.5</v>
      </c>
      <c r="U269" s="277">
        <v>-14330000000</v>
      </c>
      <c r="W269" s="278">
        <v>0.5</v>
      </c>
      <c r="X269" s="277">
        <v>-4021000000</v>
      </c>
      <c r="Z269" s="278">
        <v>0.5</v>
      </c>
      <c r="AA269" s="277">
        <v>-134773791.66</v>
      </c>
      <c r="AC269" s="278">
        <v>0.5</v>
      </c>
      <c r="AD269" s="277">
        <v>11650724.449999999</v>
      </c>
    </row>
    <row r="270" spans="1:30">
      <c r="H270" s="278">
        <v>0.55000000000000004</v>
      </c>
      <c r="I270" s="277">
        <v>-568148895.09000003</v>
      </c>
      <c r="K270" s="278">
        <v>0.55000000000000004</v>
      </c>
      <c r="L270" s="277">
        <v>-185265960.52000001</v>
      </c>
      <c r="T270" s="278">
        <v>0.55000000000000004</v>
      </c>
      <c r="U270" s="277">
        <v>-12050000000</v>
      </c>
      <c r="W270" s="278">
        <v>0.55000000000000004</v>
      </c>
      <c r="X270" s="277">
        <v>-3469000000</v>
      </c>
      <c r="Z270" s="278">
        <v>0.55000000000000004</v>
      </c>
      <c r="AA270" s="277">
        <v>294316509.98000002</v>
      </c>
      <c r="AC270" s="278">
        <v>0.55000000000000004</v>
      </c>
      <c r="AD270" s="277">
        <v>130970150</v>
      </c>
    </row>
    <row r="271" spans="1:30">
      <c r="H271" s="278">
        <v>0.6</v>
      </c>
      <c r="I271" s="277">
        <v>244788233.97999999</v>
      </c>
      <c r="K271" s="278">
        <v>0.6</v>
      </c>
      <c r="L271" s="277">
        <v>41326041.609999999</v>
      </c>
      <c r="T271" s="278">
        <v>0.6</v>
      </c>
      <c r="U271" s="277">
        <v>-10080000000</v>
      </c>
      <c r="W271" s="278">
        <v>0.6</v>
      </c>
      <c r="X271" s="277">
        <v>-2959000000</v>
      </c>
      <c r="Z271" s="278">
        <v>0.6</v>
      </c>
      <c r="AA271" s="277">
        <v>685869873.60000002</v>
      </c>
      <c r="AC271" s="278">
        <v>0.6</v>
      </c>
      <c r="AD271" s="277">
        <v>229108738.25999999</v>
      </c>
    </row>
    <row r="272" spans="1:30">
      <c r="H272" s="278">
        <v>0.65</v>
      </c>
      <c r="I272" s="277">
        <v>1269000000</v>
      </c>
      <c r="K272" s="278">
        <v>0.65</v>
      </c>
      <c r="L272" s="277">
        <v>294388376.14999998</v>
      </c>
      <c r="T272" s="278">
        <v>0.65</v>
      </c>
      <c r="U272" s="277">
        <v>-8129000000</v>
      </c>
      <c r="W272" s="278">
        <v>0.65</v>
      </c>
      <c r="X272" s="277">
        <v>-2449000000</v>
      </c>
      <c r="Z272" s="278">
        <v>0.65</v>
      </c>
      <c r="AA272" s="277">
        <v>1015000000</v>
      </c>
      <c r="AC272" s="278">
        <v>0.65</v>
      </c>
      <c r="AD272" s="277">
        <v>315702931.58999997</v>
      </c>
    </row>
    <row r="273" spans="1:30">
      <c r="H273" s="278">
        <v>0.7</v>
      </c>
      <c r="I273" s="277">
        <v>2560000000</v>
      </c>
      <c r="K273" s="278">
        <v>0.7</v>
      </c>
      <c r="L273" s="277">
        <v>617736398.51999998</v>
      </c>
      <c r="T273" s="278">
        <v>0.7</v>
      </c>
      <c r="U273" s="277">
        <v>-6230000000</v>
      </c>
      <c r="W273" s="278">
        <v>0.7</v>
      </c>
      <c r="X273" s="277">
        <v>-1923000000</v>
      </c>
      <c r="Z273" s="278">
        <v>0.7</v>
      </c>
      <c r="AA273" s="277">
        <v>1337000000</v>
      </c>
      <c r="AC273" s="278">
        <v>0.7</v>
      </c>
      <c r="AD273" s="277">
        <v>397949584.81999999</v>
      </c>
    </row>
    <row r="274" spans="1:30">
      <c r="H274" s="278">
        <v>0.75</v>
      </c>
      <c r="I274" s="277">
        <v>4171000000</v>
      </c>
      <c r="K274" s="278">
        <v>0.75</v>
      </c>
      <c r="L274" s="277">
        <v>1039000000</v>
      </c>
      <c r="T274" s="278">
        <v>0.75</v>
      </c>
      <c r="U274" s="277">
        <v>-4236000000</v>
      </c>
      <c r="W274" s="278">
        <v>0.75</v>
      </c>
      <c r="X274" s="277">
        <v>-1389000000</v>
      </c>
      <c r="Z274" s="278">
        <v>0.75</v>
      </c>
      <c r="AA274" s="277">
        <v>1639000000</v>
      </c>
      <c r="AC274" s="278">
        <v>0.75</v>
      </c>
      <c r="AD274" s="277">
        <v>481389784.16000003</v>
      </c>
    </row>
    <row r="275" spans="1:30">
      <c r="H275" s="278">
        <v>0.8</v>
      </c>
      <c r="I275" s="277">
        <v>6383000000</v>
      </c>
      <c r="K275" s="278">
        <v>0.8</v>
      </c>
      <c r="L275" s="277">
        <v>1596000000</v>
      </c>
      <c r="T275" s="278">
        <v>0.8</v>
      </c>
      <c r="U275" s="277">
        <v>-2250000000</v>
      </c>
      <c r="W275" s="278">
        <v>0.8</v>
      </c>
      <c r="X275" s="277">
        <v>-812767077.47000003</v>
      </c>
      <c r="Z275" s="278">
        <v>0.8</v>
      </c>
      <c r="AA275" s="277">
        <v>1962000000</v>
      </c>
      <c r="AC275" s="278">
        <v>0.8</v>
      </c>
      <c r="AD275" s="277">
        <v>570780270.35000002</v>
      </c>
    </row>
    <row r="276" spans="1:30">
      <c r="H276" s="278">
        <v>0.85</v>
      </c>
      <c r="I276" s="277">
        <v>9882000000</v>
      </c>
      <c r="K276" s="278">
        <v>0.85</v>
      </c>
      <c r="L276" s="277">
        <v>2410000000</v>
      </c>
      <c r="T276" s="278">
        <v>0.85</v>
      </c>
      <c r="U276" s="277">
        <v>354575221.51999998</v>
      </c>
      <c r="W276" s="278">
        <v>0.85</v>
      </c>
      <c r="X276" s="277">
        <v>-97339813.030000001</v>
      </c>
      <c r="Z276" s="278">
        <v>0.85</v>
      </c>
      <c r="AA276" s="277">
        <v>2269000000</v>
      </c>
      <c r="AC276" s="278">
        <v>0.85</v>
      </c>
      <c r="AD276" s="277">
        <v>654763172.92999995</v>
      </c>
    </row>
    <row r="277" spans="1:30">
      <c r="H277" s="278">
        <v>0.9</v>
      </c>
      <c r="I277" s="277">
        <v>16070000000</v>
      </c>
      <c r="K277" s="278">
        <v>0.9</v>
      </c>
      <c r="L277" s="277">
        <v>3794000000</v>
      </c>
      <c r="T277" s="278">
        <v>0.9</v>
      </c>
      <c r="U277" s="277">
        <v>5028000000</v>
      </c>
      <c r="W277" s="278">
        <v>0.9</v>
      </c>
      <c r="X277" s="277">
        <v>1087000000</v>
      </c>
      <c r="Z277" s="278">
        <v>0.9</v>
      </c>
      <c r="AA277" s="277">
        <v>2588000000</v>
      </c>
      <c r="AC277" s="278">
        <v>0.9</v>
      </c>
      <c r="AD277" s="277">
        <v>752661999.15999997</v>
      </c>
    </row>
    <row r="278" spans="1:30">
      <c r="H278" s="278">
        <v>0.95</v>
      </c>
      <c r="I278" s="277">
        <v>29180000000</v>
      </c>
      <c r="K278" s="278">
        <v>0.95</v>
      </c>
      <c r="L278" s="277">
        <v>6774000000</v>
      </c>
      <c r="T278" s="278">
        <v>0.95</v>
      </c>
      <c r="U278" s="277">
        <v>17250000000</v>
      </c>
      <c r="W278" s="278">
        <v>0.95</v>
      </c>
      <c r="X278" s="277">
        <v>3577000000</v>
      </c>
      <c r="Z278" s="278">
        <v>0.95</v>
      </c>
      <c r="AA278" s="277">
        <v>2979000000</v>
      </c>
      <c r="AC278" s="278">
        <v>0.95</v>
      </c>
      <c r="AD278" s="277">
        <v>862802904.14999998</v>
      </c>
    </row>
    <row r="279" spans="1:30">
      <c r="H279" s="278">
        <v>0.99</v>
      </c>
      <c r="I279" s="277">
        <v>78770000000</v>
      </c>
      <c r="K279" s="278">
        <v>0.99</v>
      </c>
      <c r="L279" s="277">
        <v>17080000000</v>
      </c>
      <c r="T279" s="278">
        <v>0.99</v>
      </c>
      <c r="U279" s="277">
        <v>76180000000</v>
      </c>
      <c r="W279" s="278">
        <v>0.99</v>
      </c>
      <c r="X279" s="277">
        <v>14770000000</v>
      </c>
      <c r="Z279" s="278">
        <v>0.99</v>
      </c>
      <c r="AA279" s="277">
        <v>3467000000</v>
      </c>
      <c r="AC279" s="278">
        <v>0.99</v>
      </c>
      <c r="AD279" s="277">
        <v>1013000000</v>
      </c>
    </row>
    <row r="280" spans="1:30" ht="12" customHeight="1"/>
    <row r="281" spans="1:30" s="268" customFormat="1" ht="109.2" customHeight="1">
      <c r="A281" s="269" t="s">
        <v>517</v>
      </c>
      <c r="I281" s="269" t="s">
        <v>512</v>
      </c>
      <c r="K281" s="269"/>
      <c r="L281" s="269" t="s">
        <v>513</v>
      </c>
      <c r="N281" s="269"/>
      <c r="O281" s="269" t="s">
        <v>514</v>
      </c>
      <c r="Q281" s="269"/>
    </row>
    <row r="282" spans="1:30">
      <c r="H282" s="279">
        <v>0.01</v>
      </c>
      <c r="I282" s="277">
        <v>-11405.38</v>
      </c>
      <c r="K282" s="279">
        <v>0.01</v>
      </c>
      <c r="L282" s="277">
        <v>-12103.34</v>
      </c>
      <c r="N282" s="279">
        <v>0.01</v>
      </c>
      <c r="O282" s="277">
        <v>-11757.41</v>
      </c>
    </row>
    <row r="283" spans="1:30">
      <c r="H283" s="278">
        <v>0.05</v>
      </c>
      <c r="I283" s="277">
        <v>-3486.43</v>
      </c>
      <c r="K283" s="278">
        <v>0.05</v>
      </c>
      <c r="L283" s="277">
        <v>-4231.84</v>
      </c>
      <c r="N283" s="278">
        <v>0.05</v>
      </c>
      <c r="O283" s="277">
        <v>-5225.74</v>
      </c>
    </row>
    <row r="284" spans="1:30">
      <c r="H284" s="278">
        <v>0.1</v>
      </c>
      <c r="I284" s="277">
        <v>-1515.95</v>
      </c>
      <c r="K284" s="278">
        <v>0.1</v>
      </c>
      <c r="L284" s="277">
        <v>-2211.15</v>
      </c>
      <c r="N284" s="278">
        <v>0.1</v>
      </c>
      <c r="O284" s="277">
        <v>-3229.77</v>
      </c>
    </row>
    <row r="285" spans="1:30">
      <c r="H285" s="278">
        <v>0.15</v>
      </c>
      <c r="I285" s="277">
        <v>-465.81</v>
      </c>
      <c r="K285" s="278">
        <v>0.15</v>
      </c>
      <c r="L285" s="277">
        <v>-1154.3900000000001</v>
      </c>
      <c r="N285" s="278">
        <v>0.15</v>
      </c>
      <c r="O285" s="277">
        <v>-2226.08</v>
      </c>
    </row>
    <row r="286" spans="1:30">
      <c r="H286" s="278">
        <v>0.2</v>
      </c>
      <c r="I286" s="277">
        <v>119</v>
      </c>
      <c r="K286" s="278">
        <v>0.2</v>
      </c>
      <c r="L286" s="277">
        <v>-496.68</v>
      </c>
      <c r="N286" s="278">
        <v>0.2</v>
      </c>
      <c r="O286" s="277">
        <v>-1582.73</v>
      </c>
    </row>
    <row r="287" spans="1:30">
      <c r="H287" s="278">
        <v>0.25</v>
      </c>
      <c r="I287" s="277">
        <v>567.47</v>
      </c>
      <c r="K287" s="278">
        <v>0.25</v>
      </c>
      <c r="L287" s="277">
        <v>-50.75</v>
      </c>
      <c r="N287" s="278">
        <v>0.25</v>
      </c>
      <c r="O287" s="277">
        <v>-1141.22</v>
      </c>
    </row>
    <row r="288" spans="1:30">
      <c r="H288" s="278">
        <v>0.3</v>
      </c>
      <c r="I288" s="277">
        <v>899.04</v>
      </c>
      <c r="K288" s="278">
        <v>0.3</v>
      </c>
      <c r="L288" s="277">
        <v>304.52999999999997</v>
      </c>
      <c r="N288" s="278">
        <v>0.3</v>
      </c>
      <c r="O288" s="277">
        <v>-817.5</v>
      </c>
    </row>
    <row r="289" spans="1:21">
      <c r="H289" s="278">
        <v>0.35</v>
      </c>
      <c r="I289" s="277">
        <v>1170.3800000000001</v>
      </c>
      <c r="K289" s="278">
        <v>0.35</v>
      </c>
      <c r="L289" s="277">
        <v>589.07000000000005</v>
      </c>
      <c r="N289" s="278">
        <v>0.35</v>
      </c>
      <c r="O289" s="277">
        <v>-548.07000000000005</v>
      </c>
    </row>
    <row r="290" spans="1:21">
      <c r="H290" s="278">
        <v>0.4</v>
      </c>
      <c r="I290" s="277">
        <v>1405.65</v>
      </c>
      <c r="K290" s="278">
        <v>0.4</v>
      </c>
      <c r="L290" s="277">
        <v>837.28</v>
      </c>
      <c r="N290" s="278">
        <v>0.4</v>
      </c>
      <c r="O290" s="277">
        <v>-305.95</v>
      </c>
    </row>
    <row r="291" spans="1:21">
      <c r="H291" s="278">
        <v>0.45</v>
      </c>
      <c r="I291" s="277">
        <v>1607.76</v>
      </c>
      <c r="K291" s="278">
        <v>0.45</v>
      </c>
      <c r="L291" s="277">
        <v>1037.51</v>
      </c>
      <c r="N291" s="278">
        <v>0.45</v>
      </c>
      <c r="O291" s="277">
        <v>-100.67</v>
      </c>
    </row>
    <row r="292" spans="1:21">
      <c r="H292" s="278">
        <v>0.5</v>
      </c>
      <c r="I292" s="277">
        <v>1805.67</v>
      </c>
      <c r="K292" s="278">
        <v>0.5</v>
      </c>
      <c r="L292" s="277">
        <v>1209.6600000000001</v>
      </c>
      <c r="N292" s="278">
        <v>0.5</v>
      </c>
      <c r="O292" s="277">
        <v>88.44</v>
      </c>
    </row>
    <row r="293" spans="1:21">
      <c r="H293" s="278">
        <v>0.55000000000000004</v>
      </c>
      <c r="I293" s="277">
        <v>1954.12</v>
      </c>
      <c r="K293" s="278">
        <v>0.55000000000000004</v>
      </c>
      <c r="L293" s="277">
        <v>1358.18</v>
      </c>
      <c r="N293" s="278">
        <v>0.55000000000000004</v>
      </c>
      <c r="O293" s="277">
        <v>246.74</v>
      </c>
    </row>
    <row r="294" spans="1:21">
      <c r="H294" s="278">
        <v>0.6</v>
      </c>
      <c r="I294" s="277">
        <v>2104.42</v>
      </c>
      <c r="K294" s="278">
        <v>0.6</v>
      </c>
      <c r="L294" s="277">
        <v>1504.44</v>
      </c>
      <c r="N294" s="278">
        <v>0.6</v>
      </c>
      <c r="O294" s="277">
        <v>402.81</v>
      </c>
    </row>
    <row r="295" spans="1:21">
      <c r="H295" s="278">
        <v>0.65</v>
      </c>
      <c r="I295" s="277">
        <v>2239.25</v>
      </c>
      <c r="K295" s="278">
        <v>0.65</v>
      </c>
      <c r="L295" s="277">
        <v>1633.95</v>
      </c>
      <c r="N295" s="278">
        <v>0.65</v>
      </c>
      <c r="O295" s="277">
        <v>545.19000000000005</v>
      </c>
    </row>
    <row r="296" spans="1:21">
      <c r="H296" s="278">
        <v>0.7</v>
      </c>
      <c r="I296" s="277">
        <v>2361.3200000000002</v>
      </c>
      <c r="K296" s="278">
        <v>0.7</v>
      </c>
      <c r="L296" s="277">
        <v>1761.8</v>
      </c>
      <c r="N296" s="278">
        <v>0.7</v>
      </c>
      <c r="O296" s="277">
        <v>667.47</v>
      </c>
    </row>
    <row r="297" spans="1:21">
      <c r="H297" s="278">
        <v>0.75</v>
      </c>
      <c r="I297" s="277">
        <v>2485.4699999999998</v>
      </c>
      <c r="K297" s="278">
        <v>0.75</v>
      </c>
      <c r="L297" s="277">
        <v>1890.66</v>
      </c>
      <c r="N297" s="278">
        <v>0.75</v>
      </c>
      <c r="O297" s="277">
        <v>792.3</v>
      </c>
    </row>
    <row r="298" spans="1:21">
      <c r="H298" s="278">
        <v>0.8</v>
      </c>
      <c r="I298" s="277">
        <v>2609.59</v>
      </c>
      <c r="K298" s="278">
        <v>0.8</v>
      </c>
      <c r="L298" s="277">
        <v>2006.17</v>
      </c>
      <c r="N298" s="278">
        <v>0.8</v>
      </c>
      <c r="O298" s="277">
        <v>914.67</v>
      </c>
    </row>
    <row r="299" spans="1:21">
      <c r="H299" s="278">
        <v>0.85</v>
      </c>
      <c r="I299" s="277">
        <v>2737.27</v>
      </c>
      <c r="K299" s="278">
        <v>0.85</v>
      </c>
      <c r="L299" s="277">
        <v>2140.67</v>
      </c>
      <c r="N299" s="278">
        <v>0.85</v>
      </c>
      <c r="O299" s="277">
        <v>1042.05</v>
      </c>
    </row>
    <row r="300" spans="1:21">
      <c r="H300" s="278">
        <v>0.9</v>
      </c>
      <c r="I300" s="277">
        <v>2869.65</v>
      </c>
      <c r="K300" s="278">
        <v>0.9</v>
      </c>
      <c r="L300" s="277">
        <v>2271.5</v>
      </c>
      <c r="N300" s="278">
        <v>0.9</v>
      </c>
      <c r="O300" s="277">
        <v>1165.1500000000001</v>
      </c>
    </row>
    <row r="301" spans="1:21">
      <c r="H301" s="278">
        <v>0.95</v>
      </c>
      <c r="I301" s="277">
        <v>3025.08</v>
      </c>
      <c r="K301" s="278">
        <v>0.95</v>
      </c>
      <c r="L301" s="277">
        <v>2437.8200000000002</v>
      </c>
      <c r="N301" s="278">
        <v>0.95</v>
      </c>
      <c r="O301" s="277">
        <v>1332.47</v>
      </c>
    </row>
    <row r="302" spans="1:21">
      <c r="H302" s="278">
        <v>0.99</v>
      </c>
      <c r="I302" s="277">
        <v>3229.62</v>
      </c>
      <c r="K302" s="278">
        <v>0.99</v>
      </c>
      <c r="L302" s="277">
        <v>2636.31</v>
      </c>
      <c r="N302" s="278">
        <v>0.99</v>
      </c>
      <c r="O302" s="277">
        <v>1547.26</v>
      </c>
    </row>
    <row r="304" spans="1:21" s="268" customFormat="1" ht="109.2" customHeight="1">
      <c r="A304" s="269" t="s">
        <v>519</v>
      </c>
      <c r="F304" s="269" t="s">
        <v>525</v>
      </c>
      <c r="I304" s="269" t="s">
        <v>520</v>
      </c>
      <c r="K304" s="269"/>
      <c r="L304" s="269" t="s">
        <v>521</v>
      </c>
      <c r="N304" s="269"/>
      <c r="O304" s="269" t="s">
        <v>522</v>
      </c>
      <c r="Q304" s="269"/>
      <c r="R304" s="269" t="s">
        <v>523</v>
      </c>
      <c r="U304" s="269" t="s">
        <v>524</v>
      </c>
    </row>
    <row r="305" spans="4:21">
      <c r="E305" s="279">
        <v>0.01</v>
      </c>
      <c r="F305" s="277">
        <v>-41451.46</v>
      </c>
      <c r="H305" s="279">
        <v>0.01</v>
      </c>
      <c r="I305" s="277">
        <v>-13153.86</v>
      </c>
      <c r="K305" s="279">
        <v>0.01</v>
      </c>
      <c r="L305" s="277">
        <v>-12016.96</v>
      </c>
      <c r="N305" s="279">
        <v>0.01</v>
      </c>
      <c r="O305" s="277">
        <v>-12266.94</v>
      </c>
      <c r="Q305" s="279">
        <v>0.01</v>
      </c>
      <c r="R305" s="277">
        <v>-20777.650000000001</v>
      </c>
      <c r="T305" s="279">
        <v>0.01</v>
      </c>
      <c r="U305" s="277">
        <v>-23089.45</v>
      </c>
    </row>
    <row r="306" spans="4:21">
      <c r="E306" s="278">
        <v>0.05</v>
      </c>
      <c r="F306" s="277">
        <v>-24369.9</v>
      </c>
      <c r="H306" s="278">
        <v>0.05</v>
      </c>
      <c r="I306" s="277">
        <v>-5040.28</v>
      </c>
      <c r="K306" s="278">
        <v>0.05</v>
      </c>
      <c r="L306" s="277">
        <v>-4994.1400000000003</v>
      </c>
      <c r="N306" s="278">
        <v>0.05</v>
      </c>
      <c r="O306" s="277">
        <v>-5396.12</v>
      </c>
      <c r="Q306" s="278">
        <v>0.05</v>
      </c>
      <c r="R306" s="277">
        <v>-11312.83</v>
      </c>
      <c r="T306" s="278">
        <v>0.05</v>
      </c>
      <c r="U306" s="277">
        <v>-11288.04</v>
      </c>
    </row>
    <row r="307" spans="4:21">
      <c r="D307" s="280">
        <f t="shared" ref="D307:D323" si="0">F307/12/15</f>
        <v>-100.66238888888888</v>
      </c>
      <c r="E307" s="278">
        <v>0.1</v>
      </c>
      <c r="F307" s="277">
        <v>-18119.23</v>
      </c>
      <c r="H307" s="278">
        <v>0.1</v>
      </c>
      <c r="I307" s="277">
        <v>-2891.88</v>
      </c>
      <c r="K307" s="278">
        <v>0.1</v>
      </c>
      <c r="L307" s="277">
        <v>-3035.66</v>
      </c>
      <c r="N307" s="278">
        <v>0.1</v>
      </c>
      <c r="O307" s="277">
        <v>-3281.62</v>
      </c>
      <c r="Q307" s="278">
        <v>0.1</v>
      </c>
      <c r="R307" s="277">
        <v>-7692.28</v>
      </c>
      <c r="T307" s="278">
        <v>0.1</v>
      </c>
      <c r="U307" s="277">
        <v>-7736.8</v>
      </c>
    </row>
    <row r="308" spans="4:21">
      <c r="D308" s="280">
        <f t="shared" si="0"/>
        <v>-81.024722222222223</v>
      </c>
      <c r="E308" s="278">
        <v>0.15</v>
      </c>
      <c r="F308" s="277">
        <v>-14584.45</v>
      </c>
      <c r="H308" s="278">
        <v>0.15</v>
      </c>
      <c r="I308" s="277">
        <v>-1827.18</v>
      </c>
      <c r="K308" s="278">
        <v>0.15</v>
      </c>
      <c r="L308" s="277">
        <v>-2091.1799999999998</v>
      </c>
      <c r="N308" s="278">
        <v>0.15</v>
      </c>
      <c r="O308" s="277">
        <v>-2273.5</v>
      </c>
      <c r="Q308" s="278">
        <v>0.15</v>
      </c>
      <c r="R308" s="277">
        <v>-5771.16</v>
      </c>
      <c r="T308" s="278">
        <v>0.15</v>
      </c>
      <c r="U308" s="277">
        <v>-5732.76</v>
      </c>
    </row>
    <row r="309" spans="4:21">
      <c r="D309" s="280">
        <f t="shared" si="0"/>
        <v>-68.382888888888886</v>
      </c>
      <c r="E309" s="278">
        <v>0.2</v>
      </c>
      <c r="F309" s="277">
        <v>-12308.92</v>
      </c>
      <c r="H309" s="278">
        <v>0.2</v>
      </c>
      <c r="I309" s="277">
        <v>-1219.6300000000001</v>
      </c>
      <c r="K309" s="278">
        <v>0.2</v>
      </c>
      <c r="L309" s="277">
        <v>-1498.14</v>
      </c>
      <c r="N309" s="278">
        <v>0.2</v>
      </c>
      <c r="O309" s="277">
        <v>-1657.39</v>
      </c>
      <c r="Q309" s="278">
        <v>0.2</v>
      </c>
      <c r="R309" s="277">
        <v>-4444.13</v>
      </c>
      <c r="T309" s="278">
        <v>0.2</v>
      </c>
      <c r="U309" s="277">
        <v>-4343.78</v>
      </c>
    </row>
    <row r="310" spans="4:21">
      <c r="D310" s="280">
        <f t="shared" si="0"/>
        <v>-58.535944444444439</v>
      </c>
      <c r="E310" s="278">
        <v>0.25</v>
      </c>
      <c r="F310" s="277">
        <v>-10536.47</v>
      </c>
      <c r="H310" s="278">
        <v>0.25</v>
      </c>
      <c r="I310" s="277">
        <v>-789.5</v>
      </c>
      <c r="K310" s="278">
        <v>0.25</v>
      </c>
      <c r="L310" s="277">
        <v>-1031.1199999999999</v>
      </c>
      <c r="N310" s="278">
        <v>0.25</v>
      </c>
      <c r="O310" s="277">
        <v>-1168.31</v>
      </c>
      <c r="Q310" s="278">
        <v>0.25</v>
      </c>
      <c r="R310" s="277">
        <v>-3397.73</v>
      </c>
      <c r="T310" s="278">
        <v>0.25</v>
      </c>
      <c r="U310" s="277">
        <v>-3304.99</v>
      </c>
    </row>
    <row r="311" spans="4:21">
      <c r="D311" s="280">
        <f t="shared" si="0"/>
        <v>-50.113111111111117</v>
      </c>
      <c r="E311" s="278">
        <v>0.3</v>
      </c>
      <c r="F311" s="277">
        <v>-9020.36</v>
      </c>
      <c r="H311" s="278">
        <v>0.3</v>
      </c>
      <c r="I311" s="277">
        <v>-444.41</v>
      </c>
      <c r="K311" s="278">
        <v>0.3</v>
      </c>
      <c r="L311" s="277">
        <v>-696.35</v>
      </c>
      <c r="N311" s="278">
        <v>0.3</v>
      </c>
      <c r="O311" s="277">
        <v>-837.75</v>
      </c>
      <c r="Q311" s="278">
        <v>0.3</v>
      </c>
      <c r="R311" s="277">
        <v>-2617.83</v>
      </c>
      <c r="T311" s="278">
        <v>0.3</v>
      </c>
      <c r="U311" s="277">
        <v>-2469.08</v>
      </c>
    </row>
    <row r="312" spans="4:21">
      <c r="D312" s="280">
        <f t="shared" si="0"/>
        <v>-43.464055555555554</v>
      </c>
      <c r="E312" s="278">
        <v>0.35</v>
      </c>
      <c r="F312" s="277">
        <v>-7823.53</v>
      </c>
      <c r="H312" s="278">
        <v>0.35</v>
      </c>
      <c r="I312" s="277">
        <v>-174.29</v>
      </c>
      <c r="K312" s="278">
        <v>0.35</v>
      </c>
      <c r="L312" s="277">
        <v>-419.45</v>
      </c>
      <c r="N312" s="278">
        <v>0.35</v>
      </c>
      <c r="O312" s="277">
        <v>-563.69000000000005</v>
      </c>
      <c r="Q312" s="278">
        <v>0.35</v>
      </c>
      <c r="R312" s="277">
        <v>-1972.02</v>
      </c>
      <c r="T312" s="278">
        <v>0.35</v>
      </c>
      <c r="U312" s="277">
        <v>-1740.54</v>
      </c>
    </row>
    <row r="313" spans="4:21">
      <c r="D313" s="280">
        <f t="shared" si="0"/>
        <v>-37.950722222222225</v>
      </c>
      <c r="E313" s="278">
        <v>0.4</v>
      </c>
      <c r="F313" s="277">
        <v>-6831.13</v>
      </c>
      <c r="H313" s="278">
        <v>0.4</v>
      </c>
      <c r="I313" s="277">
        <v>44.12</v>
      </c>
      <c r="K313" s="278">
        <v>0.4</v>
      </c>
      <c r="L313" s="277">
        <v>-170.28</v>
      </c>
      <c r="N313" s="278">
        <v>0.4</v>
      </c>
      <c r="O313" s="277">
        <v>-333.78</v>
      </c>
      <c r="Q313" s="278">
        <v>0.4</v>
      </c>
      <c r="R313" s="277">
        <v>-1358.34</v>
      </c>
      <c r="T313" s="278">
        <v>0.4</v>
      </c>
      <c r="U313" s="277">
        <v>-1187.52</v>
      </c>
    </row>
    <row r="314" spans="4:21">
      <c r="D314" s="280">
        <f t="shared" si="0"/>
        <v>-32.751222222222225</v>
      </c>
      <c r="E314" s="278">
        <v>0.45</v>
      </c>
      <c r="F314" s="277">
        <v>-5895.22</v>
      </c>
      <c r="H314" s="278">
        <v>0.45</v>
      </c>
      <c r="I314" s="277">
        <v>256.06</v>
      </c>
      <c r="K314" s="278">
        <v>0.45</v>
      </c>
      <c r="L314" s="277">
        <v>20.079999999999998</v>
      </c>
      <c r="N314" s="278">
        <v>0.45</v>
      </c>
      <c r="O314" s="277">
        <v>-123.18</v>
      </c>
      <c r="Q314" s="278">
        <v>0.45</v>
      </c>
      <c r="R314" s="277">
        <v>-821.62</v>
      </c>
      <c r="T314" s="278">
        <v>0.45</v>
      </c>
      <c r="U314" s="277">
        <v>-645.24</v>
      </c>
    </row>
    <row r="315" spans="4:21">
      <c r="D315" s="280">
        <f>F315/12/15</f>
        <v>-28.256444444444444</v>
      </c>
      <c r="E315" s="278">
        <v>0.5</v>
      </c>
      <c r="F315" s="277">
        <v>-5086.16</v>
      </c>
      <c r="H315" s="278">
        <v>0.5</v>
      </c>
      <c r="I315" s="277">
        <v>434.58</v>
      </c>
      <c r="K315" s="278">
        <v>0.5</v>
      </c>
      <c r="L315" s="277">
        <v>195.65</v>
      </c>
      <c r="N315" s="278">
        <v>0.5</v>
      </c>
      <c r="O315" s="277">
        <v>52.85</v>
      </c>
      <c r="Q315" s="278">
        <v>0.5</v>
      </c>
      <c r="R315" s="277">
        <v>-332.56</v>
      </c>
      <c r="T315" s="278">
        <v>0.5</v>
      </c>
      <c r="U315" s="277">
        <v>-191.85</v>
      </c>
    </row>
    <row r="316" spans="4:21">
      <c r="D316" s="280">
        <f t="shared" si="0"/>
        <v>-23.917444444444449</v>
      </c>
      <c r="E316" s="278">
        <v>0.55000000000000004</v>
      </c>
      <c r="F316" s="277">
        <v>-4305.1400000000003</v>
      </c>
      <c r="H316" s="278">
        <v>0.55000000000000004</v>
      </c>
      <c r="I316" s="277">
        <v>590.54</v>
      </c>
      <c r="K316" s="278">
        <v>0.55000000000000004</v>
      </c>
      <c r="L316" s="277">
        <v>349.58</v>
      </c>
      <c r="N316" s="278">
        <v>0.55000000000000004</v>
      </c>
      <c r="O316" s="277">
        <v>218.9</v>
      </c>
      <c r="Q316" s="278">
        <v>0.55000000000000004</v>
      </c>
      <c r="R316" s="277">
        <v>109.17</v>
      </c>
      <c r="T316" s="278">
        <v>0.55000000000000004</v>
      </c>
      <c r="U316" s="277">
        <v>238.07</v>
      </c>
    </row>
    <row r="317" spans="4:21">
      <c r="D317" s="280">
        <f t="shared" si="0"/>
        <v>-19.838055555555556</v>
      </c>
      <c r="E317" s="278">
        <v>0.6</v>
      </c>
      <c r="F317" s="277">
        <v>-3570.85</v>
      </c>
      <c r="H317" s="278">
        <v>0.6</v>
      </c>
      <c r="I317" s="277">
        <v>736.87</v>
      </c>
      <c r="K317" s="278">
        <v>0.6</v>
      </c>
      <c r="L317" s="277">
        <v>484.95</v>
      </c>
      <c r="N317" s="278">
        <v>0.6</v>
      </c>
      <c r="O317" s="277">
        <v>360.58</v>
      </c>
      <c r="Q317" s="278">
        <v>0.6</v>
      </c>
      <c r="R317" s="277">
        <v>506.7</v>
      </c>
      <c r="T317" s="278">
        <v>0.6</v>
      </c>
      <c r="U317" s="277">
        <v>625.64</v>
      </c>
    </row>
    <row r="318" spans="4:21">
      <c r="D318" s="280">
        <f t="shared" si="0"/>
        <v>-15.789444444444445</v>
      </c>
      <c r="E318" s="278">
        <v>0.65</v>
      </c>
      <c r="F318" s="277">
        <v>-2842.1</v>
      </c>
      <c r="H318" s="278">
        <v>0.65</v>
      </c>
      <c r="I318" s="277">
        <v>878.1</v>
      </c>
      <c r="K318" s="278">
        <v>0.65</v>
      </c>
      <c r="L318" s="277">
        <v>615.70000000000005</v>
      </c>
      <c r="N318" s="278">
        <v>0.65</v>
      </c>
      <c r="O318" s="277">
        <v>502.7</v>
      </c>
      <c r="Q318" s="278">
        <v>0.65</v>
      </c>
      <c r="R318" s="277">
        <v>862.47</v>
      </c>
      <c r="T318" s="278">
        <v>0.65</v>
      </c>
      <c r="U318" s="277">
        <v>998.12</v>
      </c>
    </row>
    <row r="319" spans="4:21">
      <c r="D319" s="280">
        <f t="shared" si="0"/>
        <v>-12.026555555555555</v>
      </c>
      <c r="E319" s="278">
        <v>0.7</v>
      </c>
      <c r="F319" s="277">
        <v>-2164.7800000000002</v>
      </c>
      <c r="H319" s="278">
        <v>0.7</v>
      </c>
      <c r="I319" s="277">
        <v>999.05</v>
      </c>
      <c r="K319" s="278">
        <v>0.7</v>
      </c>
      <c r="L319" s="277">
        <v>736.11</v>
      </c>
      <c r="N319" s="278">
        <v>0.7</v>
      </c>
      <c r="O319" s="277">
        <v>629.67999999999995</v>
      </c>
      <c r="Q319" s="278">
        <v>0.7</v>
      </c>
      <c r="R319" s="277">
        <v>1218.4000000000001</v>
      </c>
      <c r="T319" s="278">
        <v>0.7</v>
      </c>
      <c r="U319" s="277">
        <v>1347.03</v>
      </c>
    </row>
    <row r="320" spans="4:21">
      <c r="D320" s="280">
        <f t="shared" si="0"/>
        <v>-7.9052777777777781</v>
      </c>
      <c r="E320" s="278">
        <v>0.75</v>
      </c>
      <c r="F320" s="277">
        <v>-1422.95</v>
      </c>
      <c r="H320" s="278">
        <v>0.75</v>
      </c>
      <c r="I320" s="277">
        <v>1120.31</v>
      </c>
      <c r="K320" s="278">
        <v>0.75</v>
      </c>
      <c r="L320" s="277">
        <v>864.13</v>
      </c>
      <c r="N320" s="278">
        <v>0.75</v>
      </c>
      <c r="O320" s="277">
        <v>763.96</v>
      </c>
      <c r="Q320" s="278">
        <v>0.75</v>
      </c>
      <c r="R320" s="277">
        <v>1537.26</v>
      </c>
      <c r="T320" s="278">
        <v>0.75</v>
      </c>
      <c r="U320" s="277">
        <v>1683.25</v>
      </c>
    </row>
    <row r="321" spans="4:21">
      <c r="D321" s="280">
        <f t="shared" si="0"/>
        <v>-3.2899444444444446</v>
      </c>
      <c r="E321" s="278">
        <v>0.8</v>
      </c>
      <c r="F321" s="277">
        <v>-592.19000000000005</v>
      </c>
      <c r="H321" s="278">
        <v>0.8</v>
      </c>
      <c r="I321" s="277">
        <v>1241.3499999999999</v>
      </c>
      <c r="K321" s="278">
        <v>0.8</v>
      </c>
      <c r="L321" s="277">
        <v>981.94</v>
      </c>
      <c r="N321" s="278">
        <v>0.8</v>
      </c>
      <c r="O321" s="277">
        <v>877.48</v>
      </c>
      <c r="Q321" s="278">
        <v>0.8</v>
      </c>
      <c r="R321" s="277">
        <v>1871.19</v>
      </c>
      <c r="T321" s="278">
        <v>0.8</v>
      </c>
      <c r="U321" s="277">
        <v>2030.56</v>
      </c>
    </row>
    <row r="322" spans="4:21">
      <c r="D322" s="280">
        <f t="shared" si="0"/>
        <v>2.2669444444444449</v>
      </c>
      <c r="E322" s="278">
        <v>0.85</v>
      </c>
      <c r="F322" s="277">
        <v>408.05</v>
      </c>
      <c r="H322" s="278">
        <v>0.85</v>
      </c>
      <c r="I322" s="277">
        <v>1363.24</v>
      </c>
      <c r="K322" s="278">
        <v>0.85</v>
      </c>
      <c r="L322" s="277">
        <v>1115</v>
      </c>
      <c r="N322" s="278">
        <v>0.85</v>
      </c>
      <c r="O322" s="277">
        <v>999.63</v>
      </c>
      <c r="Q322" s="278">
        <v>0.85</v>
      </c>
      <c r="R322" s="277">
        <v>2230.9</v>
      </c>
      <c r="T322" s="278">
        <v>0.85</v>
      </c>
      <c r="U322" s="277">
        <v>2405.5300000000002</v>
      </c>
    </row>
    <row r="323" spans="4:21">
      <c r="D323" s="280">
        <f t="shared" si="0"/>
        <v>11.260277777777778</v>
      </c>
      <c r="E323" s="278">
        <v>0.9</v>
      </c>
      <c r="F323" s="277">
        <v>2026.85</v>
      </c>
      <c r="H323" s="278">
        <v>0.9</v>
      </c>
      <c r="I323" s="277">
        <v>1499.07</v>
      </c>
      <c r="K323" s="278">
        <v>0.9</v>
      </c>
      <c r="L323" s="277">
        <v>1251.3399999999999</v>
      </c>
      <c r="N323" s="278">
        <v>0.9</v>
      </c>
      <c r="O323" s="277">
        <v>1137.52</v>
      </c>
      <c r="Q323" s="278">
        <v>0.9</v>
      </c>
      <c r="R323" s="277">
        <v>2614.86</v>
      </c>
      <c r="T323" s="278">
        <v>0.9</v>
      </c>
      <c r="U323" s="277">
        <v>2762.31</v>
      </c>
    </row>
    <row r="324" spans="4:21">
      <c r="E324" s="278">
        <v>0.95</v>
      </c>
      <c r="F324" s="277">
        <v>5324.65</v>
      </c>
      <c r="H324" s="278">
        <v>0.95</v>
      </c>
      <c r="I324" s="277">
        <v>1661.46</v>
      </c>
      <c r="K324" s="278">
        <v>0.95</v>
      </c>
      <c r="L324" s="277">
        <v>1400.82</v>
      </c>
      <c r="N324" s="278">
        <v>0.95</v>
      </c>
      <c r="O324" s="277">
        <v>1295.82</v>
      </c>
      <c r="Q324" s="278">
        <v>0.95</v>
      </c>
      <c r="R324" s="277">
        <v>3120.75</v>
      </c>
      <c r="T324" s="278">
        <v>0.95</v>
      </c>
      <c r="U324" s="277">
        <v>3219.45</v>
      </c>
    </row>
    <row r="325" spans="4:21">
      <c r="E325" s="278">
        <v>0.99</v>
      </c>
      <c r="F325" s="277">
        <v>16124.4</v>
      </c>
      <c r="H325" s="278">
        <v>0.99</v>
      </c>
      <c r="I325" s="277">
        <v>1857.95</v>
      </c>
      <c r="K325" s="278">
        <v>0.99</v>
      </c>
      <c r="L325" s="277">
        <v>1613.96</v>
      </c>
      <c r="N325" s="278">
        <v>0.99</v>
      </c>
      <c r="O325" s="277">
        <v>1496.97</v>
      </c>
      <c r="Q325" s="278">
        <v>0.99</v>
      </c>
      <c r="R325" s="277">
        <v>3747.68</v>
      </c>
      <c r="T325" s="278">
        <v>0.99</v>
      </c>
      <c r="U325" s="277">
        <v>3853.4</v>
      </c>
    </row>
  </sheetData>
  <pageMargins left="0.7" right="0.7" top="0.75" bottom="0.75" header="0.3" footer="0.3"/>
  <pageSetup scale="10" orientation="landscape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5"/>
  <sheetViews>
    <sheetView topLeftCell="G64" zoomScaleNormal="100" zoomScalePageLayoutView="200" workbookViewId="0">
      <selection activeCell="K75" sqref="K75"/>
    </sheetView>
  </sheetViews>
  <sheetFormatPr defaultColWidth="8.77734375" defaultRowHeight="14.4"/>
  <cols>
    <col min="3" max="3" width="16.44140625" bestFit="1" customWidth="1"/>
    <col min="4" max="4" width="15.44140625" bestFit="1" customWidth="1"/>
    <col min="7" max="8" width="15.44140625" bestFit="1" customWidth="1"/>
    <col min="11" max="11" width="17.109375" bestFit="1" customWidth="1"/>
    <col min="12" max="12" width="16.109375" bestFit="1" customWidth="1"/>
    <col min="15" max="15" width="17.109375" bestFit="1" customWidth="1"/>
    <col min="16" max="16" width="16.109375" bestFit="1" customWidth="1"/>
  </cols>
  <sheetData>
    <row r="2" spans="1:16" ht="42.45" customHeight="1">
      <c r="A2" s="169" t="s">
        <v>321</v>
      </c>
      <c r="B2" s="39"/>
      <c r="C2" s="172" t="s">
        <v>311</v>
      </c>
      <c r="D2" s="172" t="s">
        <v>312</v>
      </c>
      <c r="E2" s="169" t="s">
        <v>321</v>
      </c>
      <c r="F2" s="39"/>
      <c r="G2" s="172" t="s">
        <v>313</v>
      </c>
      <c r="H2" s="172" t="s">
        <v>314</v>
      </c>
      <c r="I2" s="169" t="s">
        <v>322</v>
      </c>
      <c r="J2" s="39"/>
      <c r="K2" s="172" t="s">
        <v>315</v>
      </c>
      <c r="L2" s="172" t="s">
        <v>316</v>
      </c>
      <c r="M2" s="169" t="s">
        <v>323</v>
      </c>
      <c r="N2" s="39"/>
      <c r="O2" s="172" t="s">
        <v>319</v>
      </c>
      <c r="P2" s="172" t="s">
        <v>320</v>
      </c>
    </row>
    <row r="3" spans="1:16" s="9" customFormat="1">
      <c r="A3" s="169"/>
      <c r="B3" s="198">
        <v>0.01</v>
      </c>
      <c r="C3" s="171">
        <v>27050000000</v>
      </c>
      <c r="D3" s="171">
        <v>12160000000</v>
      </c>
      <c r="E3" s="169"/>
      <c r="F3" s="198">
        <v>0.01</v>
      </c>
      <c r="G3" s="171">
        <v>35200000000</v>
      </c>
      <c r="H3" s="171">
        <v>14000000000</v>
      </c>
      <c r="I3" s="169"/>
      <c r="J3" s="198">
        <v>0.01</v>
      </c>
      <c r="K3" s="171">
        <v>-354400000000</v>
      </c>
      <c r="L3" s="171">
        <v>-74790000000</v>
      </c>
      <c r="M3" s="169"/>
      <c r="N3" s="198">
        <v>0.01</v>
      </c>
      <c r="O3" s="171">
        <v>-192000000000</v>
      </c>
      <c r="P3" s="171">
        <v>-40040000000</v>
      </c>
    </row>
    <row r="4" spans="1:16" s="9" customFormat="1">
      <c r="A4" s="169"/>
      <c r="B4" s="170">
        <v>0.05</v>
      </c>
      <c r="C4" s="171">
        <v>35460000000</v>
      </c>
      <c r="D4" s="171">
        <v>14940000000</v>
      </c>
      <c r="E4" s="169"/>
      <c r="F4" s="170">
        <v>0.05</v>
      </c>
      <c r="G4" s="171">
        <v>37140000000</v>
      </c>
      <c r="H4" s="171">
        <v>15010000000</v>
      </c>
      <c r="I4" s="169"/>
      <c r="J4" s="170">
        <v>0.05</v>
      </c>
      <c r="K4" s="171">
        <v>-191500000000</v>
      </c>
      <c r="L4" s="171">
        <v>-42590000000</v>
      </c>
      <c r="M4" s="169"/>
      <c r="N4" s="170">
        <v>0.05</v>
      </c>
      <c r="O4" s="171">
        <v>-103900000000</v>
      </c>
      <c r="P4" s="171">
        <v>-22610000000</v>
      </c>
    </row>
    <row r="5" spans="1:16">
      <c r="B5" s="170">
        <v>0.1</v>
      </c>
      <c r="C5" s="171">
        <v>41600000000</v>
      </c>
      <c r="D5" s="171">
        <v>16850000000</v>
      </c>
      <c r="E5" s="9"/>
      <c r="F5" s="170">
        <v>0.1</v>
      </c>
      <c r="G5" s="171">
        <v>38430000000</v>
      </c>
      <c r="H5" s="171">
        <v>15630000000</v>
      </c>
      <c r="J5" s="170">
        <v>0.1</v>
      </c>
      <c r="K5" s="171">
        <v>-139100000000</v>
      </c>
      <c r="L5" s="171">
        <v>-31700000000</v>
      </c>
      <c r="N5" s="170">
        <v>0.1</v>
      </c>
      <c r="O5" s="171">
        <v>-72680000000</v>
      </c>
      <c r="P5" s="171">
        <v>-16430000000</v>
      </c>
    </row>
    <row r="6" spans="1:16">
      <c r="B6" s="170">
        <v>0.2</v>
      </c>
      <c r="C6" s="171">
        <v>51890000000</v>
      </c>
      <c r="D6" s="171">
        <v>20000000000</v>
      </c>
      <c r="E6" s="9"/>
      <c r="F6" s="170">
        <v>0.2</v>
      </c>
      <c r="G6" s="171">
        <v>40400000000</v>
      </c>
      <c r="H6" s="171">
        <v>16570000000</v>
      </c>
      <c r="J6" s="170">
        <v>0.2</v>
      </c>
      <c r="K6" s="171">
        <v>-89890000000</v>
      </c>
      <c r="L6" s="171">
        <v>-21340000000</v>
      </c>
      <c r="N6" s="170">
        <v>0.2</v>
      </c>
      <c r="O6" s="171">
        <v>-45920000000</v>
      </c>
      <c r="P6" s="171">
        <v>-10780000000</v>
      </c>
    </row>
    <row r="7" spans="1:16">
      <c r="B7" s="170">
        <v>0.3</v>
      </c>
      <c r="C7" s="171">
        <v>61460000000</v>
      </c>
      <c r="D7" s="171">
        <v>22630000000</v>
      </c>
      <c r="E7" s="9"/>
      <c r="F7" s="170">
        <v>0.3</v>
      </c>
      <c r="G7" s="171">
        <v>42090000000</v>
      </c>
      <c r="H7" s="171">
        <v>17310000000</v>
      </c>
      <c r="J7" s="170">
        <v>0.3</v>
      </c>
      <c r="K7" s="171">
        <v>-65000000000</v>
      </c>
      <c r="L7" s="171">
        <v>-16010000000</v>
      </c>
      <c r="N7" s="170">
        <v>0.3</v>
      </c>
      <c r="O7" s="171">
        <v>-32490000000</v>
      </c>
      <c r="P7" s="171">
        <v>-7824000000</v>
      </c>
    </row>
    <row r="8" spans="1:16">
      <c r="B8" s="170">
        <v>0.4</v>
      </c>
      <c r="C8" s="171">
        <v>72100000000</v>
      </c>
      <c r="D8" s="171">
        <v>25480000000</v>
      </c>
      <c r="E8" s="9"/>
      <c r="F8" s="170">
        <v>0.4</v>
      </c>
      <c r="G8" s="171">
        <v>43900000000</v>
      </c>
      <c r="H8" s="171">
        <v>18040000000</v>
      </c>
      <c r="J8" s="170">
        <v>0.4</v>
      </c>
      <c r="K8" s="171">
        <v>-48430000000</v>
      </c>
      <c r="L8" s="171">
        <v>-12180000000</v>
      </c>
      <c r="N8" s="170">
        <v>0.4</v>
      </c>
      <c r="O8" s="171">
        <v>-23540000000</v>
      </c>
      <c r="P8" s="171">
        <v>-5717000000</v>
      </c>
    </row>
    <row r="9" spans="1:16">
      <c r="B9" s="170">
        <v>0.5</v>
      </c>
      <c r="C9" s="171">
        <v>83320000000</v>
      </c>
      <c r="D9" s="171">
        <v>28440000000</v>
      </c>
      <c r="E9" s="9"/>
      <c r="F9" s="170">
        <v>0.5</v>
      </c>
      <c r="G9" s="171">
        <v>45840000000</v>
      </c>
      <c r="H9" s="171">
        <v>18840000000</v>
      </c>
      <c r="J9" s="170">
        <v>0.5</v>
      </c>
      <c r="K9" s="171">
        <v>-36280000000</v>
      </c>
      <c r="L9" s="171">
        <v>-9274000000</v>
      </c>
      <c r="N9" s="170">
        <v>0.5</v>
      </c>
      <c r="O9" s="171">
        <v>-16750000000</v>
      </c>
      <c r="P9" s="171">
        <v>-4093000000</v>
      </c>
    </row>
    <row r="10" spans="1:16">
      <c r="B10" s="170">
        <v>0.6</v>
      </c>
      <c r="C10" s="171">
        <v>97480000000</v>
      </c>
      <c r="D10" s="171">
        <v>32190000000</v>
      </c>
      <c r="E10" s="9"/>
      <c r="F10" s="170">
        <v>0.6</v>
      </c>
      <c r="G10" s="171">
        <v>48240000000</v>
      </c>
      <c r="H10" s="171">
        <v>19720000000</v>
      </c>
      <c r="J10" s="170">
        <v>0.6</v>
      </c>
      <c r="K10" s="171">
        <v>-26290000000</v>
      </c>
      <c r="L10" s="171">
        <v>-6849000000</v>
      </c>
      <c r="N10" s="170">
        <v>0.6</v>
      </c>
      <c r="O10" s="171">
        <v>-10780000000</v>
      </c>
      <c r="P10" s="171">
        <v>-2628000000</v>
      </c>
    </row>
    <row r="11" spans="1:16">
      <c r="B11" s="170">
        <v>0.7</v>
      </c>
      <c r="C11" s="171">
        <v>116900000000</v>
      </c>
      <c r="D11" s="171">
        <v>36690000000</v>
      </c>
      <c r="E11" s="9"/>
      <c r="F11" s="170">
        <v>0.7</v>
      </c>
      <c r="G11" s="171">
        <v>51390000000</v>
      </c>
      <c r="H11" s="171">
        <v>20770000000</v>
      </c>
      <c r="J11" s="170">
        <v>0.7</v>
      </c>
      <c r="K11" s="171">
        <v>-16900000000</v>
      </c>
      <c r="L11" s="171">
        <v>-4647000000</v>
      </c>
      <c r="N11" s="170">
        <v>0.7</v>
      </c>
      <c r="O11" s="171">
        <v>-5787000000</v>
      </c>
      <c r="P11" s="171">
        <v>-1399000000</v>
      </c>
    </row>
    <row r="12" spans="1:16">
      <c r="B12" s="170">
        <v>0.8</v>
      </c>
      <c r="C12" s="171">
        <v>144900000000</v>
      </c>
      <c r="D12" s="171">
        <v>43260000000</v>
      </c>
      <c r="E12" s="9"/>
      <c r="F12" s="170">
        <v>0.8</v>
      </c>
      <c r="G12" s="171">
        <v>56270000000</v>
      </c>
      <c r="H12" s="171">
        <v>22350000000</v>
      </c>
      <c r="J12" s="170">
        <v>0.8</v>
      </c>
      <c r="K12" s="171">
        <v>-8679000000</v>
      </c>
      <c r="L12" s="171">
        <v>-2397000000</v>
      </c>
      <c r="N12" s="170">
        <v>0.8</v>
      </c>
      <c r="O12" s="171">
        <v>-1114000000</v>
      </c>
      <c r="P12" s="171">
        <v>-213936981.12</v>
      </c>
    </row>
    <row r="13" spans="1:16">
      <c r="B13" s="170">
        <v>0.9</v>
      </c>
      <c r="C13" s="171">
        <v>201300000000</v>
      </c>
      <c r="D13" s="171">
        <v>55500000000</v>
      </c>
      <c r="E13" s="9"/>
      <c r="F13" s="170">
        <v>0.9</v>
      </c>
      <c r="G13" s="171">
        <v>66720000000</v>
      </c>
      <c r="H13" s="171">
        <v>25130000000</v>
      </c>
      <c r="J13" s="170">
        <v>0.9</v>
      </c>
      <c r="K13" s="171">
        <v>334919963.69</v>
      </c>
      <c r="L13" s="171">
        <v>40485982.450000003</v>
      </c>
      <c r="N13" s="170">
        <v>0.9</v>
      </c>
      <c r="O13" s="171">
        <v>4148000000</v>
      </c>
      <c r="P13" s="171">
        <v>1287000000</v>
      </c>
    </row>
    <row r="14" spans="1:16" s="9" customFormat="1">
      <c r="B14" s="170">
        <v>0.95</v>
      </c>
      <c r="C14" s="171">
        <v>261200000000</v>
      </c>
      <c r="D14" s="171">
        <v>68180000000</v>
      </c>
      <c r="F14" s="170">
        <v>0.95</v>
      </c>
      <c r="G14" s="171">
        <v>80950000000</v>
      </c>
      <c r="H14" s="171">
        <v>28830000000</v>
      </c>
      <c r="J14" s="170">
        <v>0.95</v>
      </c>
      <c r="K14" s="171">
        <v>7237000000</v>
      </c>
      <c r="L14" s="171">
        <v>1954000000</v>
      </c>
      <c r="N14" s="170">
        <v>0.95</v>
      </c>
      <c r="O14" s="171">
        <v>9135000000</v>
      </c>
      <c r="P14" s="171">
        <v>2844000000</v>
      </c>
    </row>
    <row r="15" spans="1:16" s="9" customFormat="1">
      <c r="B15" s="198">
        <v>0.99</v>
      </c>
      <c r="C15" s="171">
        <v>444400000000</v>
      </c>
      <c r="D15" s="171">
        <v>105100000000</v>
      </c>
      <c r="F15" s="198">
        <v>0.99</v>
      </c>
      <c r="G15" s="171">
        <v>173200000000</v>
      </c>
      <c r="H15" s="171">
        <v>49230000000</v>
      </c>
      <c r="J15" s="198">
        <v>0.99</v>
      </c>
      <c r="K15" s="171">
        <v>52250000000</v>
      </c>
      <c r="L15" s="171">
        <v>13630000000</v>
      </c>
      <c r="N15" s="198">
        <v>0.99</v>
      </c>
      <c r="O15" s="171">
        <v>92220000000</v>
      </c>
      <c r="P15" s="171">
        <v>21640000000</v>
      </c>
    </row>
    <row r="35" spans="2:16" ht="72">
      <c r="B35" s="9"/>
      <c r="C35" s="31" t="s">
        <v>351</v>
      </c>
      <c r="D35" s="31" t="s">
        <v>335</v>
      </c>
      <c r="F35" s="9"/>
      <c r="G35" s="31" t="s">
        <v>336</v>
      </c>
      <c r="H35" s="31" t="s">
        <v>337</v>
      </c>
      <c r="K35" s="31" t="str">
        <f>D35</f>
        <v>SQ RE-HH Gas Minus High RE-HH Gas-Total Cost PV</v>
      </c>
      <c r="L35" s="31" t="str">
        <f>H35</f>
        <v>SQ RE-Oil Indexed Gas Minus High RE-Oil Indexed Gas-Total Cost PV</v>
      </c>
      <c r="O35" s="31" t="s">
        <v>348</v>
      </c>
      <c r="P35" s="31" t="s">
        <v>349</v>
      </c>
    </row>
    <row r="36" spans="2:16">
      <c r="B36" s="167">
        <v>0.01</v>
      </c>
      <c r="C36" s="171">
        <v>-4836000000</v>
      </c>
      <c r="D36" s="171">
        <v>-1190000000</v>
      </c>
      <c r="F36" s="167">
        <v>0.01</v>
      </c>
      <c r="G36" s="171">
        <v>-7086000000</v>
      </c>
      <c r="H36" s="171">
        <v>-1824000000</v>
      </c>
      <c r="J36" s="95">
        <f t="shared" ref="J36:J48" si="0">B36</f>
        <v>0.01</v>
      </c>
      <c r="K36" s="171">
        <f>D36</f>
        <v>-1190000000</v>
      </c>
      <c r="L36" s="171">
        <f>H36</f>
        <v>-1824000000</v>
      </c>
      <c r="M36" s="178"/>
      <c r="N36" s="95">
        <f t="shared" ref="N36:N48" si="1">F36</f>
        <v>0.01</v>
      </c>
      <c r="O36" s="171">
        <v>-706937283.40999997</v>
      </c>
      <c r="P36" s="171">
        <v>-1308000000</v>
      </c>
    </row>
    <row r="37" spans="2:16">
      <c r="B37" s="167">
        <v>0.05</v>
      </c>
      <c r="C37" s="171">
        <v>-4516000000</v>
      </c>
      <c r="D37" s="171">
        <v>-1092000000</v>
      </c>
      <c r="F37" s="167">
        <v>0.05</v>
      </c>
      <c r="G37" s="171">
        <v>-5593000000</v>
      </c>
      <c r="H37" s="171">
        <v>-1385000000</v>
      </c>
      <c r="J37" s="95">
        <f t="shared" si="0"/>
        <v>0.05</v>
      </c>
      <c r="K37" s="171">
        <f t="shared" ref="K37:K48" si="2">D37</f>
        <v>-1092000000</v>
      </c>
      <c r="L37" s="171">
        <f t="shared" ref="L37:L48" si="3">H37</f>
        <v>-1385000000</v>
      </c>
      <c r="M37" s="178"/>
      <c r="N37" s="95">
        <f t="shared" si="1"/>
        <v>0.05</v>
      </c>
      <c r="O37" s="171">
        <v>-611596547.72000003</v>
      </c>
      <c r="P37" s="171">
        <v>-895967332.91999996</v>
      </c>
    </row>
    <row r="38" spans="2:16">
      <c r="B38" s="167">
        <v>0.1</v>
      </c>
      <c r="C38" s="171">
        <v>-4249000000</v>
      </c>
      <c r="D38" s="171">
        <v>-1015000000</v>
      </c>
      <c r="F38" s="167">
        <v>0.1</v>
      </c>
      <c r="G38" s="171">
        <v>-4452000000</v>
      </c>
      <c r="H38" s="171">
        <v>-1055000000</v>
      </c>
      <c r="J38" s="95">
        <f t="shared" si="0"/>
        <v>0.1</v>
      </c>
      <c r="K38" s="171">
        <f t="shared" si="2"/>
        <v>-1015000000</v>
      </c>
      <c r="L38" s="171">
        <f t="shared" si="3"/>
        <v>-1055000000</v>
      </c>
      <c r="M38" s="178"/>
      <c r="N38" s="95">
        <f t="shared" si="1"/>
        <v>0.1</v>
      </c>
      <c r="O38" s="171">
        <v>-532313477.93000001</v>
      </c>
      <c r="P38" s="171">
        <v>-580434402.64999998</v>
      </c>
    </row>
    <row r="39" spans="2:16">
      <c r="B39" s="167">
        <v>0.2</v>
      </c>
      <c r="C39" s="171">
        <v>-3773000000</v>
      </c>
      <c r="D39" s="171">
        <v>-881502275.39999998</v>
      </c>
      <c r="F39" s="167">
        <v>0.2</v>
      </c>
      <c r="G39" s="171">
        <v>-2563000000</v>
      </c>
      <c r="H39" s="171">
        <v>-553506844.47000003</v>
      </c>
      <c r="J39" s="95">
        <f t="shared" si="0"/>
        <v>0.2</v>
      </c>
      <c r="K39" s="171">
        <f t="shared" si="2"/>
        <v>-881502275.39999998</v>
      </c>
      <c r="L39" s="171">
        <f t="shared" si="3"/>
        <v>-553506844.47000003</v>
      </c>
      <c r="M39" s="178"/>
      <c r="N39" s="95">
        <f t="shared" si="1"/>
        <v>0.2</v>
      </c>
      <c r="O39" s="171">
        <v>-411773318.37</v>
      </c>
      <c r="P39" s="171">
        <v>-78570402.069999993</v>
      </c>
    </row>
    <row r="40" spans="2:16">
      <c r="B40" s="167">
        <v>0.3</v>
      </c>
      <c r="C40" s="171">
        <v>-3363000000</v>
      </c>
      <c r="D40" s="171">
        <v>-772697725.19000006</v>
      </c>
      <c r="F40" s="167">
        <v>0.3</v>
      </c>
      <c r="G40" s="171">
        <v>-779145343.59000003</v>
      </c>
      <c r="H40" s="171">
        <v>-87224421.540000007</v>
      </c>
      <c r="J40" s="95">
        <f t="shared" si="0"/>
        <v>0.3</v>
      </c>
      <c r="K40" s="171">
        <f t="shared" si="2"/>
        <v>-772697725.19000006</v>
      </c>
      <c r="L40" s="171">
        <f t="shared" si="3"/>
        <v>-87224421.540000007</v>
      </c>
      <c r="M40" s="178"/>
      <c r="N40" s="95">
        <f t="shared" si="1"/>
        <v>0.3</v>
      </c>
      <c r="O40" s="171">
        <v>-294337557.63</v>
      </c>
      <c r="P40" s="171">
        <v>360420250.56999999</v>
      </c>
    </row>
    <row r="41" spans="2:16">
      <c r="B41" s="167">
        <v>0.4</v>
      </c>
      <c r="C41" s="171">
        <v>-2910000000</v>
      </c>
      <c r="D41" s="171">
        <v>-647580888.13</v>
      </c>
      <c r="F41" s="167">
        <v>0.4</v>
      </c>
      <c r="G41" s="171">
        <v>1178000000</v>
      </c>
      <c r="H41" s="171">
        <v>401602335.35000002</v>
      </c>
      <c r="J41" s="95">
        <f t="shared" si="0"/>
        <v>0.4</v>
      </c>
      <c r="K41" s="171">
        <f t="shared" si="2"/>
        <v>-647580888.13</v>
      </c>
      <c r="L41" s="171">
        <f t="shared" si="3"/>
        <v>401602335.35000002</v>
      </c>
      <c r="M41" s="178"/>
      <c r="N41" s="95">
        <f t="shared" si="1"/>
        <v>0.4</v>
      </c>
      <c r="O41" s="171">
        <v>-170684323.11000001</v>
      </c>
      <c r="P41" s="171">
        <v>877955940.74000001</v>
      </c>
    </row>
    <row r="42" spans="2:16">
      <c r="B42" s="167">
        <v>0.5</v>
      </c>
      <c r="C42" s="171">
        <v>-2378000000</v>
      </c>
      <c r="D42" s="171">
        <v>-506131793.26999998</v>
      </c>
      <c r="F42" s="167">
        <v>0.5</v>
      </c>
      <c r="G42" s="171">
        <v>3500000000</v>
      </c>
      <c r="H42" s="171">
        <v>935039376.82000005</v>
      </c>
      <c r="J42" s="95">
        <f t="shared" si="0"/>
        <v>0.5</v>
      </c>
      <c r="K42" s="171">
        <f t="shared" si="2"/>
        <v>-506131793.26999998</v>
      </c>
      <c r="L42" s="171">
        <f t="shared" si="3"/>
        <v>935039376.82000005</v>
      </c>
      <c r="M42" s="178"/>
      <c r="N42" s="95">
        <f t="shared" si="1"/>
        <v>0.5</v>
      </c>
      <c r="O42" s="171">
        <v>-40320237.799999997</v>
      </c>
      <c r="P42" s="171">
        <v>1388000000</v>
      </c>
    </row>
    <row r="43" spans="2:16">
      <c r="B43" s="167">
        <v>0.6</v>
      </c>
      <c r="C43" s="171">
        <v>-1683000000</v>
      </c>
      <c r="D43" s="171">
        <v>-328689083.49000001</v>
      </c>
      <c r="F43" s="167">
        <v>0.6</v>
      </c>
      <c r="G43" s="171">
        <v>6158000000</v>
      </c>
      <c r="H43" s="171">
        <v>1588000000</v>
      </c>
      <c r="J43" s="95">
        <f t="shared" si="0"/>
        <v>0.6</v>
      </c>
      <c r="K43" s="171">
        <f t="shared" si="2"/>
        <v>-328689083.49000001</v>
      </c>
      <c r="L43" s="171">
        <f t="shared" si="3"/>
        <v>1588000000</v>
      </c>
      <c r="M43" s="178"/>
      <c r="N43" s="95">
        <f t="shared" si="1"/>
        <v>0.6</v>
      </c>
      <c r="O43" s="171">
        <v>134864178.81</v>
      </c>
      <c r="P43" s="171">
        <v>2041000000</v>
      </c>
    </row>
    <row r="44" spans="2:16">
      <c r="B44" s="167">
        <v>0.7</v>
      </c>
      <c r="C44" s="171">
        <v>-738663867.53999996</v>
      </c>
      <c r="D44" s="171">
        <v>-95168246.109999999</v>
      </c>
      <c r="F44" s="167">
        <v>0.7</v>
      </c>
      <c r="G44" s="171">
        <v>10110000000</v>
      </c>
      <c r="H44" s="171">
        <v>2411000000</v>
      </c>
      <c r="J44" s="95">
        <f t="shared" si="0"/>
        <v>0.7</v>
      </c>
      <c r="K44" s="171">
        <f t="shared" si="2"/>
        <v>-95168246.109999999</v>
      </c>
      <c r="L44" s="171">
        <f t="shared" si="3"/>
        <v>2411000000</v>
      </c>
      <c r="M44" s="178"/>
      <c r="N44" s="95">
        <f t="shared" si="1"/>
        <v>0.7</v>
      </c>
      <c r="O44" s="171">
        <v>374726839.70999998</v>
      </c>
      <c r="P44" s="171">
        <v>2916000000</v>
      </c>
    </row>
    <row r="45" spans="2:16">
      <c r="B45" s="167">
        <v>0.8</v>
      </c>
      <c r="C45" s="171">
        <v>727282416.77999997</v>
      </c>
      <c r="D45" s="171">
        <v>279986318.13999999</v>
      </c>
      <c r="F45" s="167">
        <v>0.8</v>
      </c>
      <c r="G45" s="171">
        <v>15660000000</v>
      </c>
      <c r="H45" s="171">
        <v>3706000000</v>
      </c>
      <c r="J45" s="95">
        <f t="shared" si="0"/>
        <v>0.8</v>
      </c>
      <c r="K45" s="171">
        <f t="shared" si="2"/>
        <v>279986318.13999999</v>
      </c>
      <c r="L45" s="171">
        <f t="shared" si="3"/>
        <v>3706000000</v>
      </c>
      <c r="M45" s="178"/>
      <c r="N45" s="95">
        <f t="shared" si="1"/>
        <v>0.8</v>
      </c>
      <c r="O45" s="171">
        <v>741598801.22000003</v>
      </c>
      <c r="P45" s="171">
        <v>4186000000</v>
      </c>
    </row>
    <row r="46" spans="2:16">
      <c r="B46" s="167">
        <v>0.9</v>
      </c>
      <c r="C46" s="171">
        <v>3963000000</v>
      </c>
      <c r="D46" s="171">
        <v>1051000000</v>
      </c>
      <c r="F46" s="167">
        <v>0.9</v>
      </c>
      <c r="G46" s="171">
        <v>26150000000</v>
      </c>
      <c r="H46" s="171">
        <v>5938000000</v>
      </c>
      <c r="J46" s="95">
        <f t="shared" si="0"/>
        <v>0.9</v>
      </c>
      <c r="K46" s="171">
        <f t="shared" si="2"/>
        <v>1051000000</v>
      </c>
      <c r="L46" s="171">
        <f t="shared" si="3"/>
        <v>5938000000</v>
      </c>
      <c r="M46" s="178"/>
      <c r="N46" s="95">
        <f t="shared" si="1"/>
        <v>0.9</v>
      </c>
      <c r="O46" s="171">
        <v>1540000000</v>
      </c>
      <c r="P46" s="171">
        <v>6374000000</v>
      </c>
    </row>
    <row r="47" spans="2:16">
      <c r="B47" s="167">
        <v>0.95</v>
      </c>
      <c r="C47" s="171">
        <v>9171000000</v>
      </c>
      <c r="D47" s="171">
        <v>2304000000</v>
      </c>
      <c r="F47" s="167">
        <v>0.95</v>
      </c>
      <c r="G47" s="171">
        <v>38680000000</v>
      </c>
      <c r="H47" s="171">
        <v>8278000000</v>
      </c>
      <c r="J47" s="95">
        <f t="shared" si="0"/>
        <v>0.95</v>
      </c>
      <c r="K47" s="171">
        <f t="shared" si="2"/>
        <v>2304000000</v>
      </c>
      <c r="L47" s="171">
        <f t="shared" si="3"/>
        <v>8278000000</v>
      </c>
      <c r="M47" s="178"/>
      <c r="N47" s="95">
        <f t="shared" si="1"/>
        <v>0.95</v>
      </c>
      <c r="O47" s="171">
        <v>2708000000</v>
      </c>
      <c r="P47" s="171">
        <v>8911000000</v>
      </c>
    </row>
    <row r="48" spans="2:16">
      <c r="B48" s="167">
        <v>0.99</v>
      </c>
      <c r="C48" s="171">
        <v>37060000000</v>
      </c>
      <c r="D48" s="171">
        <v>8294000000</v>
      </c>
      <c r="F48" s="167">
        <v>0.99</v>
      </c>
      <c r="G48" s="171">
        <v>75520000000</v>
      </c>
      <c r="H48" s="171">
        <v>15690000000</v>
      </c>
      <c r="J48" s="95">
        <f t="shared" si="0"/>
        <v>0.99</v>
      </c>
      <c r="K48" s="171">
        <f t="shared" si="2"/>
        <v>8294000000</v>
      </c>
      <c r="L48" s="171">
        <f t="shared" si="3"/>
        <v>15690000000</v>
      </c>
      <c r="M48" s="178"/>
      <c r="N48" s="95">
        <f t="shared" si="1"/>
        <v>0.99</v>
      </c>
      <c r="O48" s="171">
        <v>8107000000</v>
      </c>
      <c r="P48" s="171">
        <v>15530000000</v>
      </c>
    </row>
    <row r="70" spans="1:11" ht="72">
      <c r="B70" s="240"/>
      <c r="C70" s="240" t="s">
        <v>463</v>
      </c>
      <c r="D70" s="240" t="s">
        <v>460</v>
      </c>
      <c r="E70" s="240" t="s">
        <v>461</v>
      </c>
      <c r="F70" s="240" t="s">
        <v>464</v>
      </c>
      <c r="H70" s="31" t="str">
        <f>C75</f>
        <v>Oil &amp; Diesel</v>
      </c>
      <c r="I70" s="31" t="str">
        <f t="shared" ref="I70:K70" si="4">D75</f>
        <v>Oil-Indexed Gas</v>
      </c>
      <c r="J70" s="31" t="str">
        <f t="shared" si="4"/>
        <v>Henry Hub-Indexed Gas</v>
      </c>
      <c r="K70" s="31" t="str">
        <f t="shared" si="4"/>
        <v>High Renewable Energy w/ Henry Hub Gas</v>
      </c>
    </row>
    <row r="71" spans="1:11">
      <c r="B71" s="244">
        <v>0.05</v>
      </c>
      <c r="C71" s="245">
        <v>140.28</v>
      </c>
      <c r="D71" s="245">
        <v>139.04</v>
      </c>
      <c r="E71" s="246">
        <v>152</v>
      </c>
      <c r="F71" s="246">
        <v>153.94</v>
      </c>
      <c r="G71" t="s">
        <v>465</v>
      </c>
      <c r="H71" s="201">
        <f>C71</f>
        <v>140.28</v>
      </c>
      <c r="I71" s="201">
        <f t="shared" ref="I71:K71" si="5">D71</f>
        <v>139.04</v>
      </c>
      <c r="J71" s="201">
        <f t="shared" si="5"/>
        <v>152</v>
      </c>
      <c r="K71" s="201">
        <f t="shared" si="5"/>
        <v>153.94</v>
      </c>
    </row>
    <row r="72" spans="1:11">
      <c r="B72" s="244">
        <v>0.5</v>
      </c>
      <c r="C72" s="245">
        <v>243.2</v>
      </c>
      <c r="D72" s="245">
        <v>200.84</v>
      </c>
      <c r="E72" s="246">
        <v>166.43</v>
      </c>
      <c r="F72" s="246">
        <v>163.55000000000001</v>
      </c>
      <c r="G72" t="s">
        <v>466</v>
      </c>
      <c r="H72" s="201">
        <f>C72-C71</f>
        <v>102.91999999999999</v>
      </c>
      <c r="I72" s="201">
        <f t="shared" ref="I72:K73" si="6">D72-D71</f>
        <v>61.800000000000011</v>
      </c>
      <c r="J72" s="201">
        <f t="shared" si="6"/>
        <v>14.430000000000007</v>
      </c>
      <c r="K72" s="201">
        <f t="shared" si="6"/>
        <v>9.6100000000000136</v>
      </c>
    </row>
    <row r="73" spans="1:11">
      <c r="B73" s="244">
        <v>0.95</v>
      </c>
      <c r="C73" s="245">
        <v>615.98</v>
      </c>
      <c r="D73" s="245">
        <v>424.68</v>
      </c>
      <c r="E73" s="246">
        <v>245.31</v>
      </c>
      <c r="F73" s="246">
        <v>215.41</v>
      </c>
      <c r="G73" t="s">
        <v>467</v>
      </c>
      <c r="H73" s="201">
        <f>C73-C72</f>
        <v>372.78000000000003</v>
      </c>
      <c r="I73" s="201">
        <f t="shared" si="6"/>
        <v>223.84</v>
      </c>
      <c r="J73" s="201">
        <f t="shared" si="6"/>
        <v>78.88</v>
      </c>
      <c r="K73" s="201">
        <f t="shared" si="6"/>
        <v>51.859999999999985</v>
      </c>
    </row>
    <row r="74" spans="1:11">
      <c r="G74" t="s">
        <v>468</v>
      </c>
      <c r="H74" s="201">
        <f>C73</f>
        <v>615.98</v>
      </c>
      <c r="I74" s="201">
        <f t="shared" ref="I74:K74" si="7">D73</f>
        <v>424.68</v>
      </c>
      <c r="J74" s="201">
        <f t="shared" si="7"/>
        <v>245.31</v>
      </c>
      <c r="K74" s="201">
        <f t="shared" si="7"/>
        <v>215.41</v>
      </c>
    </row>
    <row r="75" spans="1:11">
      <c r="A75" t="s">
        <v>469</v>
      </c>
      <c r="C75" t="s">
        <v>470</v>
      </c>
      <c r="D75" t="s">
        <v>471</v>
      </c>
      <c r="E75" t="s">
        <v>472</v>
      </c>
      <c r="F75" t="s">
        <v>473</v>
      </c>
    </row>
  </sheetData>
  <pageMargins left="0.7" right="0.7" top="0.75" bottom="0.75" header="0.3" footer="0.3"/>
  <pageSetup orientation="portrait" horizontalDpi="4294967293" verticalDpi="4294967293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/>
  </sheetViews>
  <sheetFormatPr defaultColWidth="25.6640625" defaultRowHeight="14.4"/>
  <sheetData>
    <row r="1" spans="1:16">
      <c r="A1" t="s">
        <v>7</v>
      </c>
      <c r="B1" t="s">
        <v>8</v>
      </c>
    </row>
    <row r="2" spans="1:16">
      <c r="A2" t="s">
        <v>9</v>
      </c>
      <c r="B2" t="s">
        <v>10</v>
      </c>
    </row>
    <row r="3" spans="1:16">
      <c r="A3" t="s">
        <v>11</v>
      </c>
      <c r="B3" t="s">
        <v>10</v>
      </c>
    </row>
    <row r="4" spans="1:16">
      <c r="A4" t="s">
        <v>12</v>
      </c>
      <c r="B4" t="s">
        <v>242</v>
      </c>
    </row>
    <row r="9" spans="1:16">
      <c r="A9" t="s">
        <v>13</v>
      </c>
      <c r="B9">
        <v>9</v>
      </c>
    </row>
    <row r="10" spans="1:16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26</v>
      </c>
      <c r="N10" t="s">
        <v>27</v>
      </c>
      <c r="O10" t="s">
        <v>28</v>
      </c>
    </row>
    <row r="11" spans="1:16">
      <c r="A11" t="s">
        <v>29</v>
      </c>
      <c r="B11" s="274" t="s">
        <v>30</v>
      </c>
      <c r="C11" s="7">
        <f>'DBEDT avg oil prices ''06-''14'!$C$4:$C$77</f>
        <v>-3.3171794980318969E-3</v>
      </c>
      <c r="D11">
        <v>0</v>
      </c>
      <c r="E11" s="274" t="s">
        <v>31</v>
      </c>
      <c r="F11" t="s">
        <v>34</v>
      </c>
      <c r="J11" t="s">
        <v>32</v>
      </c>
      <c r="K11" t="s">
        <v>33</v>
      </c>
      <c r="O11">
        <v>4</v>
      </c>
      <c r="P11" t="b">
        <v>1</v>
      </c>
    </row>
    <row r="12" spans="1:16">
      <c r="A12" t="s">
        <v>69</v>
      </c>
      <c r="B12" s="274" t="s">
        <v>70</v>
      </c>
      <c r="C12" s="7">
        <f>'DBEDT-HEI-BBG Fuel Jan''00-pres'!$C$4:$C$153</f>
        <v>-1.9084507300157649E-2</v>
      </c>
      <c r="D12">
        <v>0</v>
      </c>
      <c r="E12" s="274" t="s">
        <v>31</v>
      </c>
      <c r="F12" t="s">
        <v>71</v>
      </c>
      <c r="J12" t="s">
        <v>32</v>
      </c>
      <c r="K12" t="s">
        <v>33</v>
      </c>
      <c r="O12">
        <v>4</v>
      </c>
      <c r="P12" t="b">
        <v>1</v>
      </c>
    </row>
    <row r="13" spans="1:16">
      <c r="A13" t="s">
        <v>74</v>
      </c>
      <c r="B13" s="274" t="s">
        <v>75</v>
      </c>
      <c r="C13" s="7">
        <f>'DBEDT-HEI-BBG Fuel Jan''00-pres'!$C$4:$C$153</f>
        <v>9.2627866589438668E-2</v>
      </c>
      <c r="D13">
        <v>0</v>
      </c>
      <c r="E13" s="274" t="s">
        <v>31</v>
      </c>
      <c r="F13" t="s">
        <v>76</v>
      </c>
      <c r="J13" t="s">
        <v>32</v>
      </c>
      <c r="K13" t="s">
        <v>33</v>
      </c>
      <c r="O13">
        <v>4</v>
      </c>
      <c r="P13" t="b">
        <v>1</v>
      </c>
    </row>
    <row r="14" spans="1:16">
      <c r="A14" t="s">
        <v>99</v>
      </c>
      <c r="B14" s="274" t="s">
        <v>100</v>
      </c>
      <c r="C14" s="26">
        <f>'DBEDT-HEI-BBG Fuel Jan''00-pres'!$B$3:$B$153</f>
        <v>35.143255363300995</v>
      </c>
      <c r="D14">
        <v>0</v>
      </c>
      <c r="E14" s="274" t="s">
        <v>31</v>
      </c>
      <c r="F14" t="s">
        <v>101</v>
      </c>
      <c r="J14" t="s">
        <v>32</v>
      </c>
      <c r="K14" t="s">
        <v>33</v>
      </c>
      <c r="O14">
        <v>4</v>
      </c>
      <c r="P14" t="b">
        <v>1</v>
      </c>
    </row>
    <row r="15" spans="1:16">
      <c r="A15" t="s">
        <v>102</v>
      </c>
      <c r="B15" s="274" t="s">
        <v>103</v>
      </c>
      <c r="C15" s="7">
        <f>'DBEDT-HEI-BBG Fuel Jan''00-pres'!$C$4:$C$153</f>
        <v>-1.7414078087628182E-2</v>
      </c>
      <c r="D15">
        <v>0</v>
      </c>
      <c r="E15" s="274" t="s">
        <v>31</v>
      </c>
      <c r="F15" t="s">
        <v>104</v>
      </c>
      <c r="J15" t="s">
        <v>32</v>
      </c>
      <c r="K15" t="s">
        <v>33</v>
      </c>
      <c r="O15">
        <v>4</v>
      </c>
      <c r="P15" t="b">
        <v>1</v>
      </c>
    </row>
    <row r="16" spans="1:16">
      <c r="A16" t="s">
        <v>105</v>
      </c>
      <c r="B16" s="274" t="s">
        <v>106</v>
      </c>
      <c r="C16" s="7">
        <f>'DBEDT-HEI-BBG Fuel Jan''00-pres'!$C$4:$C$166</f>
        <v>-8.4701663758300128E-2</v>
      </c>
      <c r="D16">
        <v>0</v>
      </c>
      <c r="E16" s="274" t="s">
        <v>31</v>
      </c>
      <c r="F16" t="s">
        <v>107</v>
      </c>
      <c r="J16" t="s">
        <v>32</v>
      </c>
      <c r="K16" t="s">
        <v>33</v>
      </c>
      <c r="O16">
        <v>4</v>
      </c>
      <c r="P16" t="b">
        <v>1</v>
      </c>
    </row>
    <row r="17" spans="1:16">
      <c r="A17" t="s">
        <v>240</v>
      </c>
      <c r="B17" s="274" t="s">
        <v>115</v>
      </c>
      <c r="C17" s="7">
        <f>'DBEDT-HEI-BBG Fuel Jan''00-pres'!$L$4:$L$191</f>
        <v>-4.7141909668682147E-2</v>
      </c>
      <c r="D17">
        <v>0</v>
      </c>
      <c r="E17" s="274" t="s">
        <v>241</v>
      </c>
      <c r="F17" t="s">
        <v>498</v>
      </c>
      <c r="J17" t="s">
        <v>32</v>
      </c>
      <c r="K17" t="s">
        <v>33</v>
      </c>
      <c r="O17">
        <v>4</v>
      </c>
      <c r="P17" t="b">
        <v>1</v>
      </c>
    </row>
    <row r="18" spans="1:16">
      <c r="A18" t="s">
        <v>244</v>
      </c>
      <c r="B18" s="274" t="s">
        <v>245</v>
      </c>
      <c r="C18" s="7">
        <f>'DBEDT-HEI-BBG Fuel Jan''00-pres'!$O$4:$O$191</f>
        <v>-6.5671641791044788E-2</v>
      </c>
      <c r="D18">
        <v>0</v>
      </c>
      <c r="E18" s="274" t="s">
        <v>31</v>
      </c>
      <c r="F18" t="s">
        <v>501</v>
      </c>
      <c r="J18" t="s">
        <v>32</v>
      </c>
      <c r="K18" t="s">
        <v>33</v>
      </c>
      <c r="O18">
        <v>4</v>
      </c>
      <c r="P18" t="b">
        <v>1</v>
      </c>
    </row>
    <row r="19" spans="1:16">
      <c r="A19" t="s">
        <v>479</v>
      </c>
      <c r="B19" s="274" t="s">
        <v>480</v>
      </c>
      <c r="C19" s="7">
        <f>'DBEDT-HEI-BBG Fuel Jan''00-pres'!$R$4:$R$191</f>
        <v>5.1989960559340131E-2</v>
      </c>
      <c r="D19">
        <v>0</v>
      </c>
      <c r="E19" s="274" t="s">
        <v>31</v>
      </c>
      <c r="F19" t="s">
        <v>500</v>
      </c>
      <c r="J19" t="s">
        <v>32</v>
      </c>
      <c r="K19" t="s">
        <v>33</v>
      </c>
      <c r="O19">
        <v>4</v>
      </c>
      <c r="P19" t="b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95"/>
  <sheetViews>
    <sheetView workbookViewId="0">
      <pane xSplit="1" ySplit="2" topLeftCell="B169" activePane="bottomRight" state="frozen"/>
      <selection pane="topRight" activeCell="B1" sqref="B1"/>
      <selection pane="bottomLeft" activeCell="A3" sqref="A3"/>
      <selection pane="bottomRight" activeCell="K194" sqref="K194"/>
    </sheetView>
  </sheetViews>
  <sheetFormatPr defaultColWidth="8.77734375" defaultRowHeight="14.4"/>
  <cols>
    <col min="1" max="1" width="10.6640625" bestFit="1" customWidth="1"/>
    <col min="2" max="2" width="27.77734375" customWidth="1"/>
    <col min="5" max="5" width="10.33203125" customWidth="1"/>
    <col min="7" max="7" width="8.77734375" style="9"/>
    <col min="8" max="8" width="12" style="9" customWidth="1"/>
    <col min="9" max="10" width="8.77734375" style="9"/>
    <col min="11" max="11" width="17.77734375" style="9" customWidth="1"/>
    <col min="12" max="16" width="8.77734375" style="9"/>
    <col min="17" max="17" width="11" style="9" customWidth="1"/>
    <col min="19" max="21" width="8.77734375" style="9"/>
    <col min="22" max="22" width="10.6640625" customWidth="1"/>
    <col min="27" max="27" width="24.109375" customWidth="1"/>
  </cols>
  <sheetData>
    <row r="1" spans="1:29">
      <c r="A1" s="9"/>
      <c r="B1" s="9" t="s">
        <v>63</v>
      </c>
      <c r="C1" s="9"/>
    </row>
    <row r="2" spans="1:29">
      <c r="A2" s="9" t="s">
        <v>6</v>
      </c>
      <c r="B2" s="9" t="s">
        <v>113</v>
      </c>
      <c r="C2" s="9" t="s">
        <v>68</v>
      </c>
      <c r="E2" t="s">
        <v>72</v>
      </c>
      <c r="F2" t="s">
        <v>73</v>
      </c>
      <c r="H2" s="9" t="s">
        <v>114</v>
      </c>
      <c r="I2" s="9" t="s">
        <v>68</v>
      </c>
      <c r="K2" s="9" t="s">
        <v>115</v>
      </c>
      <c r="L2" s="9" t="s">
        <v>68</v>
      </c>
      <c r="N2" s="9" t="s">
        <v>200</v>
      </c>
      <c r="O2" s="9" t="s">
        <v>68</v>
      </c>
      <c r="Q2" s="9" t="s">
        <v>476</v>
      </c>
      <c r="R2" t="s">
        <v>477</v>
      </c>
      <c r="V2">
        <f ca="1">_xll.RiskLogistic(0.010115,0.033236,_xll.RiskName("LSFO/Diesel 75/25 blend"))</f>
        <v>1.0115000000000001E-2</v>
      </c>
      <c r="W2" s="290" t="s">
        <v>239</v>
      </c>
      <c r="X2" s="290"/>
      <c r="Y2" s="290"/>
      <c r="Z2" s="290"/>
      <c r="AA2" s="290"/>
    </row>
    <row r="3" spans="1:29">
      <c r="A3" s="28">
        <v>36526</v>
      </c>
      <c r="B3" s="26">
        <v>26.78684310655423</v>
      </c>
      <c r="F3">
        <v>1</v>
      </c>
      <c r="H3" s="17">
        <v>35.93860819894892</v>
      </c>
      <c r="K3" s="26">
        <f t="shared" ref="K3:K34" si="0">0.75*B3+0.25*H3</f>
        <v>29.074784379652904</v>
      </c>
      <c r="N3" s="271">
        <v>2.6619999999999999</v>
      </c>
      <c r="Q3" s="271">
        <v>25.97</v>
      </c>
      <c r="V3" s="272">
        <f ca="1">_xll.RiskLogistic(0.0032402,0.086856,_xll.RiskName("Henry Hub"))</f>
        <v>3.2401999999999999E-3</v>
      </c>
      <c r="W3" s="290" t="s">
        <v>243</v>
      </c>
      <c r="X3" s="290"/>
      <c r="Y3" s="290"/>
      <c r="Z3" s="290"/>
      <c r="AA3" s="290"/>
      <c r="AB3" s="9" t="s">
        <v>247</v>
      </c>
    </row>
    <row r="4" spans="1:29">
      <c r="A4" s="28">
        <v>36557</v>
      </c>
      <c r="B4" s="26">
        <v>27.188341938685443</v>
      </c>
      <c r="C4" s="8">
        <f t="shared" ref="C4:C35" si="1">B4/B3-1</f>
        <v>1.4988658071207084E-2</v>
      </c>
      <c r="F4">
        <v>2</v>
      </c>
      <c r="H4" s="17">
        <v>37.02989602305955</v>
      </c>
      <c r="I4" s="8">
        <f t="shared" ref="I4:I35" si="2">H4/H3-1</f>
        <v>3.036533351735482E-2</v>
      </c>
      <c r="K4" s="26">
        <f t="shared" si="0"/>
        <v>29.648730459778971</v>
      </c>
      <c r="L4" s="8">
        <f>K4/K3-1</f>
        <v>1.9740338316239558E-2</v>
      </c>
      <c r="N4" s="271">
        <v>2.7610000000000001</v>
      </c>
      <c r="O4" s="8">
        <f t="shared" ref="O4:O35" si="3">N4/N3-1</f>
        <v>3.7190082644628086E-2</v>
      </c>
      <c r="Q4" s="271">
        <v>28.09</v>
      </c>
      <c r="R4" s="8">
        <f>Q4/Q3-1</f>
        <v>8.163265306122458E-2</v>
      </c>
      <c r="S4" s="8"/>
      <c r="T4" s="8"/>
      <c r="U4" s="8"/>
      <c r="V4" s="272">
        <f ca="1">_xll.RiskLogistic(0.0096325,0.050981,_xll.RiskName("Brent"))</f>
        <v>9.6325000000000004E-3</v>
      </c>
      <c r="W4" s="91" t="s">
        <v>478</v>
      </c>
      <c r="X4" s="91"/>
      <c r="AB4" s="8">
        <f>(1.010115)^12-1</f>
        <v>0.12836561698582405</v>
      </c>
      <c r="AC4" t="s">
        <v>499</v>
      </c>
    </row>
    <row r="5" spans="1:29">
      <c r="A5" s="28">
        <v>36586</v>
      </c>
      <c r="B5" s="26">
        <v>26.879662601240824</v>
      </c>
      <c r="C5" s="8">
        <f t="shared" si="1"/>
        <v>-1.1353371166978321E-2</v>
      </c>
      <c r="F5">
        <v>3</v>
      </c>
      <c r="H5" s="17">
        <v>38.53753266483038</v>
      </c>
      <c r="I5" s="8">
        <f t="shared" si="2"/>
        <v>4.0714039294951876E-2</v>
      </c>
      <c r="K5" s="26">
        <f t="shared" si="0"/>
        <v>29.794130117138213</v>
      </c>
      <c r="L5" s="8">
        <f t="shared" ref="L5:L68" si="4">K5/K4-1</f>
        <v>4.9040770078330187E-3</v>
      </c>
      <c r="N5" s="271">
        <v>2.9449999999999998</v>
      </c>
      <c r="O5" s="8">
        <f t="shared" si="3"/>
        <v>6.6642520825787699E-2</v>
      </c>
      <c r="Q5" s="271">
        <v>24.77</v>
      </c>
      <c r="R5" s="8">
        <f t="shared" ref="R5:R68" si="5">Q5/Q4-1</f>
        <v>-0.11819152723389104</v>
      </c>
      <c r="S5" s="8"/>
      <c r="T5" s="8"/>
      <c r="U5" s="8"/>
      <c r="V5" s="185">
        <f>CORREL(L5:L191,O4:O190)</f>
        <v>0.17127563277400901</v>
      </c>
      <c r="W5" s="290" t="s">
        <v>343</v>
      </c>
      <c r="X5" s="290"/>
      <c r="Y5" s="290"/>
      <c r="Z5" s="290"/>
      <c r="AA5" s="290"/>
      <c r="AB5" s="8">
        <f>(1.0032402)^12-1</f>
        <v>3.9582866059905353E-2</v>
      </c>
      <c r="AC5" t="s">
        <v>245</v>
      </c>
    </row>
    <row r="6" spans="1:29">
      <c r="A6" s="28">
        <v>36617</v>
      </c>
      <c r="B6" s="26">
        <v>28.456268204145893</v>
      </c>
      <c r="C6" s="8">
        <f t="shared" si="1"/>
        <v>5.8654218480863163E-2</v>
      </c>
      <c r="F6">
        <v>4</v>
      </c>
      <c r="H6" s="17">
        <v>40.61798037117498</v>
      </c>
      <c r="I6" s="8">
        <f t="shared" si="2"/>
        <v>5.3984974192269108E-2</v>
      </c>
      <c r="K6" s="26">
        <f t="shared" si="0"/>
        <v>31.496696245903166</v>
      </c>
      <c r="L6" s="8">
        <f t="shared" si="4"/>
        <v>5.7144347630595949E-2</v>
      </c>
      <c r="N6" s="271">
        <v>3.141</v>
      </c>
      <c r="O6" s="8">
        <f t="shared" si="3"/>
        <v>6.655348047538201E-2</v>
      </c>
      <c r="Q6" s="271">
        <v>23.89</v>
      </c>
      <c r="R6" s="8">
        <f t="shared" si="5"/>
        <v>-3.5526846992329442E-2</v>
      </c>
      <c r="S6" s="8"/>
      <c r="T6" s="8"/>
      <c r="U6" s="8"/>
      <c r="V6">
        <f>CORREL(L5:L191,R4:R190)</f>
        <v>9.6195073202278186E-2</v>
      </c>
      <c r="W6" t="s">
        <v>481</v>
      </c>
      <c r="AB6" s="91"/>
    </row>
    <row r="7" spans="1:29">
      <c r="A7" s="28">
        <v>36647</v>
      </c>
      <c r="B7" s="26">
        <v>29.870344565794241</v>
      </c>
      <c r="C7" s="8">
        <f t="shared" si="1"/>
        <v>4.969296576429949E-2</v>
      </c>
      <c r="F7" s="9">
        <v>5</v>
      </c>
      <c r="H7" s="17">
        <v>45.850473010632975</v>
      </c>
      <c r="I7" s="8">
        <f t="shared" si="2"/>
        <v>0.12882207809552471</v>
      </c>
      <c r="K7" s="26">
        <f t="shared" si="0"/>
        <v>33.865376677003923</v>
      </c>
      <c r="L7" s="8">
        <f t="shared" si="4"/>
        <v>7.5204091648464644E-2</v>
      </c>
      <c r="N7" s="271">
        <v>4.3559999999999999</v>
      </c>
      <c r="O7" s="8">
        <f t="shared" si="3"/>
        <v>0.38681948424068757</v>
      </c>
      <c r="Q7" s="271">
        <v>28.31</v>
      </c>
      <c r="R7" s="8">
        <f t="shared" si="5"/>
        <v>0.18501465048137278</v>
      </c>
      <c r="S7" s="8"/>
      <c r="T7" s="8"/>
      <c r="U7" s="8"/>
      <c r="V7">
        <f>CORREL(O4:O191,R4:R191)</f>
        <v>0.25389925464487489</v>
      </c>
      <c r="W7" t="s">
        <v>482</v>
      </c>
      <c r="Y7" s="91"/>
      <c r="Z7" s="91"/>
      <c r="AA7" s="91"/>
      <c r="AB7" s="91"/>
    </row>
    <row r="8" spans="1:29">
      <c r="A8" s="28">
        <v>36678</v>
      </c>
      <c r="B8" s="26">
        <v>31.198317110875056</v>
      </c>
      <c r="C8" s="8">
        <f t="shared" si="1"/>
        <v>4.4457891744627887E-2</v>
      </c>
      <c r="F8" s="9">
        <v>6</v>
      </c>
      <c r="H8" s="17">
        <v>40.323719183101062</v>
      </c>
      <c r="I8" s="8">
        <f t="shared" si="2"/>
        <v>-0.12053864365260158</v>
      </c>
      <c r="K8" s="26">
        <f t="shared" si="0"/>
        <v>33.479667628931558</v>
      </c>
      <c r="L8" s="8">
        <f t="shared" si="4"/>
        <v>-1.1389480523164464E-2</v>
      </c>
      <c r="N8" s="271">
        <v>4.476</v>
      </c>
      <c r="O8" s="8">
        <f t="shared" si="3"/>
        <v>2.7548209366391241E-2</v>
      </c>
      <c r="Q8" s="271">
        <v>30.57</v>
      </c>
      <c r="R8" s="8">
        <f t="shared" si="5"/>
        <v>7.9830448604733428E-2</v>
      </c>
      <c r="S8" s="8"/>
      <c r="T8" s="8"/>
      <c r="U8" s="8"/>
      <c r="V8" s="91"/>
      <c r="W8" s="91"/>
      <c r="X8" s="91"/>
      <c r="Y8" s="91"/>
      <c r="Z8" s="91"/>
      <c r="AA8" s="91"/>
      <c r="AB8" s="91"/>
    </row>
    <row r="9" spans="1:29">
      <c r="A9" s="28">
        <v>36708</v>
      </c>
      <c r="B9" s="26">
        <v>32.240900124814281</v>
      </c>
      <c r="C9" s="8">
        <f t="shared" si="1"/>
        <v>3.3417924762864981E-2</v>
      </c>
      <c r="F9" s="9">
        <v>7</v>
      </c>
      <c r="H9" s="17">
        <v>37.527940721624411</v>
      </c>
      <c r="I9" s="8">
        <f t="shared" si="2"/>
        <v>-6.9333348166165987E-2</v>
      </c>
      <c r="K9" s="26">
        <f t="shared" si="0"/>
        <v>33.562660274016814</v>
      </c>
      <c r="L9" s="8">
        <f t="shared" si="4"/>
        <v>2.4788969235027825E-3</v>
      </c>
      <c r="N9" s="271">
        <v>3.774</v>
      </c>
      <c r="O9" s="8">
        <f t="shared" si="3"/>
        <v>-0.15683646112600536</v>
      </c>
      <c r="Q9" s="271">
        <v>26.93</v>
      </c>
      <c r="R9" s="8">
        <f t="shared" si="5"/>
        <v>-0.11907098462544985</v>
      </c>
      <c r="S9" s="8"/>
      <c r="T9" s="8"/>
      <c r="U9" s="8"/>
      <c r="V9" s="187" t="s">
        <v>344</v>
      </c>
      <c r="W9" s="189" t="str">
        <f ca="1">"Fossil Fuel Prices / 7/1/2015 in "&amp;CELL("address",'Fuel Cost Risk Sim'!$F$83)</f>
        <v>Fossil Fuel Prices / 7/1/2015 in '[Fuel Costs Monte Carlo-3.xlsx]Fuel Cost Risk Sim'!$F$83</v>
      </c>
      <c r="X9" s="189" t="str">
        <f ca="1">"Henry Hub LNG Simulated % Change / 7/1/2015 in "&amp;CELL("address",'Fuel Cost Risk Sim'!$F$85)</f>
        <v>Henry Hub LNG Simulated % Change / 7/1/2015 in '[Fuel Costs Monte Carlo-3.xlsx]Fuel Cost Risk Sim'!$F$85</v>
      </c>
      <c r="Y9" s="91"/>
      <c r="Z9" s="91"/>
      <c r="AA9" s="91"/>
      <c r="AB9" s="134"/>
    </row>
    <row r="10" spans="1:29">
      <c r="A10" s="28">
        <v>36739</v>
      </c>
      <c r="B10" s="26">
        <v>33.279713271359469</v>
      </c>
      <c r="C10" s="8">
        <f t="shared" si="1"/>
        <v>3.2220351867461083E-2</v>
      </c>
      <c r="F10" s="9">
        <v>8</v>
      </c>
      <c r="H10" s="17">
        <v>41.137137266883315</v>
      </c>
      <c r="I10" s="8">
        <f t="shared" si="2"/>
        <v>9.6173583624832526E-2</v>
      </c>
      <c r="K10" s="26">
        <f t="shared" si="0"/>
        <v>35.244069270240431</v>
      </c>
      <c r="L10" s="8">
        <f t="shared" si="4"/>
        <v>5.0097607951694823E-2</v>
      </c>
      <c r="N10" s="271">
        <v>4.782</v>
      </c>
      <c r="O10" s="8">
        <f t="shared" si="3"/>
        <v>0.2670906200317964</v>
      </c>
      <c r="Q10" s="271">
        <v>31.72</v>
      </c>
      <c r="R10" s="8">
        <f t="shared" si="5"/>
        <v>0.17786854808763453</v>
      </c>
      <c r="S10" s="8"/>
      <c r="T10" s="8"/>
      <c r="U10" s="8"/>
      <c r="V10" s="189" t="str">
        <f ca="1">"Fossil Fuel Prices / 7/1/2015 in "&amp;CELL("address",'Fuel Cost Risk Sim'!$F$83)</f>
        <v>Fossil Fuel Prices / 7/1/2015 in '[Fuel Costs Monte Carlo-3.xlsx]Fuel Cost Risk Sim'!$F$83</v>
      </c>
      <c r="W10" s="190">
        <v>1</v>
      </c>
      <c r="X10" s="191">
        <v>0.17130000000000001</v>
      </c>
      <c r="Y10" s="179"/>
      <c r="Z10" s="179"/>
      <c r="AA10" s="179"/>
      <c r="AB10" s="91"/>
    </row>
    <row r="11" spans="1:29">
      <c r="A11" s="28">
        <v>36770</v>
      </c>
      <c r="B11" s="26">
        <v>32.540021554362312</v>
      </c>
      <c r="C11" s="8">
        <f t="shared" si="1"/>
        <v>-2.2226505107354244E-2</v>
      </c>
      <c r="F11" s="9">
        <v>9</v>
      </c>
      <c r="H11" s="17">
        <v>43.691051169028846</v>
      </c>
      <c r="I11" s="8">
        <f t="shared" si="2"/>
        <v>6.20829272969734E-2</v>
      </c>
      <c r="K11" s="26">
        <f t="shared" si="0"/>
        <v>35.327778958028944</v>
      </c>
      <c r="L11" s="8">
        <f t="shared" si="4"/>
        <v>2.3751425281415273E-3</v>
      </c>
      <c r="N11" s="271">
        <v>5.1859999999999999</v>
      </c>
      <c r="O11" s="8">
        <f t="shared" si="3"/>
        <v>8.4483479715600218E-2</v>
      </c>
      <c r="Q11" s="271">
        <v>29.84</v>
      </c>
      <c r="R11" s="8">
        <f t="shared" si="5"/>
        <v>-5.9268600252206816E-2</v>
      </c>
      <c r="S11" s="8"/>
      <c r="T11" s="8"/>
      <c r="U11" s="8"/>
      <c r="V11" s="189" t="str">
        <f ca="1">"Henry Hub LNG Simulated % Change / 7/1/2015 in "&amp;CELL("address",'Fuel Cost Risk Sim'!$F$85)</f>
        <v>Henry Hub LNG Simulated % Change / 7/1/2015 in '[Fuel Costs Monte Carlo-3.xlsx]Fuel Cost Risk Sim'!$F$85</v>
      </c>
      <c r="W11" s="188">
        <v>0.17130000000000001</v>
      </c>
      <c r="X11" s="186">
        <v>1</v>
      </c>
      <c r="Y11" s="9"/>
      <c r="Z11" s="9"/>
      <c r="AA11" s="9"/>
    </row>
    <row r="12" spans="1:29">
      <c r="A12" s="28">
        <v>36800</v>
      </c>
      <c r="B12" s="26">
        <v>31.919011275460797</v>
      </c>
      <c r="C12" s="8">
        <f t="shared" si="1"/>
        <v>-1.9084507300157649E-2</v>
      </c>
      <c r="F12" s="9">
        <v>10</v>
      </c>
      <c r="H12" s="17">
        <v>46.170635957944725</v>
      </c>
      <c r="I12" s="8">
        <f t="shared" si="2"/>
        <v>5.6752692429464346E-2</v>
      </c>
      <c r="K12" s="26">
        <f t="shared" si="0"/>
        <v>35.481917446081781</v>
      </c>
      <c r="L12" s="8">
        <f t="shared" si="4"/>
        <v>4.363095914859505E-3</v>
      </c>
      <c r="N12" s="271">
        <v>4.49</v>
      </c>
      <c r="O12" s="8">
        <f t="shared" si="3"/>
        <v>-0.13420748168145002</v>
      </c>
      <c r="Q12" s="271">
        <v>30.76</v>
      </c>
      <c r="R12" s="8">
        <f t="shared" si="5"/>
        <v>3.0831099195710587E-2</v>
      </c>
      <c r="S12" s="8"/>
      <c r="T12" s="8"/>
      <c r="U12" s="8"/>
    </row>
    <row r="13" spans="1:29">
      <c r="A13" s="28">
        <v>36831</v>
      </c>
      <c r="B13" s="26">
        <v>34.87560119355097</v>
      </c>
      <c r="C13" s="8">
        <f t="shared" si="1"/>
        <v>9.2627866589438668E-2</v>
      </c>
      <c r="F13" s="9">
        <v>11</v>
      </c>
      <c r="H13" s="17">
        <v>53.025148947581222</v>
      </c>
      <c r="I13" s="8">
        <f t="shared" si="2"/>
        <v>0.14846044130472968</v>
      </c>
      <c r="K13" s="26">
        <f t="shared" si="0"/>
        <v>39.41298813205853</v>
      </c>
      <c r="L13" s="8">
        <f t="shared" si="4"/>
        <v>0.11079081878679164</v>
      </c>
      <c r="N13" s="271">
        <v>6.5890000000000004</v>
      </c>
      <c r="O13" s="8">
        <f t="shared" si="3"/>
        <v>0.46748329621380846</v>
      </c>
      <c r="Q13" s="271">
        <v>31.88</v>
      </c>
      <c r="R13" s="8">
        <f t="shared" si="5"/>
        <v>3.6410923276982921E-2</v>
      </c>
      <c r="S13" s="8"/>
      <c r="T13" s="8"/>
      <c r="U13" s="8"/>
    </row>
    <row r="14" spans="1:29">
      <c r="A14" s="28">
        <v>36861</v>
      </c>
      <c r="B14" s="26">
        <v>35.143255363300995</v>
      </c>
      <c r="C14" s="8">
        <f t="shared" si="1"/>
        <v>7.6745392363162246E-3</v>
      </c>
      <c r="E14" s="26">
        <f t="shared" ref="E14:E45" si="6">AVERAGE(B3:B14)</f>
        <v>30.864856692512035</v>
      </c>
      <c r="F14" s="9">
        <v>12</v>
      </c>
      <c r="H14" s="17">
        <v>54.390467279135237</v>
      </c>
      <c r="I14" s="8">
        <f t="shared" si="2"/>
        <v>2.5748505353633711E-2</v>
      </c>
      <c r="K14" s="26">
        <f t="shared" si="0"/>
        <v>39.955058342259555</v>
      </c>
      <c r="L14" s="8">
        <f t="shared" si="4"/>
        <v>1.3753593317632928E-2</v>
      </c>
      <c r="N14" s="271">
        <v>9.7750000000000004</v>
      </c>
      <c r="O14" s="8">
        <f t="shared" si="3"/>
        <v>0.48353316132948843</v>
      </c>
      <c r="Q14" s="271">
        <v>23.87</v>
      </c>
      <c r="R14" s="8">
        <f t="shared" si="5"/>
        <v>-0.25125470514429105</v>
      </c>
      <c r="S14" s="8"/>
      <c r="T14" s="8"/>
      <c r="U14" s="8"/>
      <c r="V14" s="291" t="s">
        <v>355</v>
      </c>
      <c r="W14" s="291"/>
      <c r="X14" s="291"/>
      <c r="Y14" s="291"/>
    </row>
    <row r="15" spans="1:29">
      <c r="A15" s="28">
        <v>36892</v>
      </c>
      <c r="B15" s="26">
        <v>34.531267970151013</v>
      </c>
      <c r="C15" s="8">
        <f t="shared" si="1"/>
        <v>-1.7414078087628182E-2</v>
      </c>
      <c r="E15" s="26">
        <f t="shared" si="6"/>
        <v>31.510225431145113</v>
      </c>
      <c r="F15" s="9">
        <v>13</v>
      </c>
      <c r="H15" s="17">
        <v>53.9999890665989</v>
      </c>
      <c r="I15" s="8">
        <f t="shared" si="2"/>
        <v>-7.1791663515663462E-3</v>
      </c>
      <c r="K15" s="26">
        <f t="shared" si="0"/>
        <v>39.39844824426298</v>
      </c>
      <c r="L15" s="8">
        <f t="shared" si="4"/>
        <v>-1.393090439835154E-2</v>
      </c>
      <c r="N15" s="271">
        <v>5.7069999999999999</v>
      </c>
      <c r="O15" s="8">
        <f t="shared" si="3"/>
        <v>-0.41616368286445016</v>
      </c>
      <c r="Q15" s="271">
        <v>26.66</v>
      </c>
      <c r="R15" s="8">
        <f t="shared" si="5"/>
        <v>0.11688311688311681</v>
      </c>
      <c r="S15" s="8"/>
      <c r="T15" s="8"/>
      <c r="U15" s="8"/>
      <c r="V15" t="s">
        <v>352</v>
      </c>
      <c r="W15" s="32">
        <f>CORREL(L4:L74,O4:O74)</f>
        <v>7.2824862292927769E-2</v>
      </c>
    </row>
    <row r="16" spans="1:29">
      <c r="A16" s="28">
        <v>36923</v>
      </c>
      <c r="B16" s="26">
        <v>31.606412121395522</v>
      </c>
      <c r="C16" s="8">
        <f t="shared" si="1"/>
        <v>-8.4701663758300128E-2</v>
      </c>
      <c r="E16" s="26">
        <f t="shared" si="6"/>
        <v>31.878397946370953</v>
      </c>
      <c r="F16" s="9">
        <v>14</v>
      </c>
      <c r="H16" s="17">
        <v>48.975757008969033</v>
      </c>
      <c r="I16" s="8">
        <f t="shared" si="2"/>
        <v>-9.3041353238672242E-2</v>
      </c>
      <c r="K16" s="26">
        <f t="shared" si="0"/>
        <v>35.948748343288898</v>
      </c>
      <c r="L16" s="8">
        <f t="shared" si="4"/>
        <v>-8.7559283543011346E-2</v>
      </c>
      <c r="N16" s="271">
        <v>5.2359999999999998</v>
      </c>
      <c r="O16" s="8">
        <f t="shared" si="3"/>
        <v>-8.2530226038198706E-2</v>
      </c>
      <c r="Q16" s="271">
        <v>25.57</v>
      </c>
      <c r="R16" s="8">
        <f t="shared" si="5"/>
        <v>-4.0885221305326347E-2</v>
      </c>
      <c r="S16" s="8"/>
      <c r="T16" s="8"/>
      <c r="U16" s="8"/>
      <c r="V16" t="s">
        <v>353</v>
      </c>
      <c r="W16" s="32">
        <f>CORREL(L75:L134,O75:O134)</f>
        <v>0.18158196234494256</v>
      </c>
    </row>
    <row r="17" spans="1:25">
      <c r="A17" s="28">
        <v>36951</v>
      </c>
      <c r="B17" s="26">
        <v>28.627897204981132</v>
      </c>
      <c r="C17" s="8">
        <f t="shared" si="1"/>
        <v>-9.4237678891686882E-2</v>
      </c>
      <c r="E17" s="26">
        <f t="shared" si="6"/>
        <v>32.024084163349308</v>
      </c>
      <c r="F17" s="9">
        <v>15</v>
      </c>
      <c r="H17" s="17">
        <v>51.132531169806164</v>
      </c>
      <c r="I17" s="8">
        <f t="shared" si="2"/>
        <v>4.4037587013553647E-2</v>
      </c>
      <c r="K17" s="26">
        <f t="shared" si="0"/>
        <v>34.254055696187386</v>
      </c>
      <c r="L17" s="8">
        <f t="shared" si="4"/>
        <v>-4.7141909668682147E-2</v>
      </c>
      <c r="N17" s="271">
        <v>5.0250000000000004</v>
      </c>
      <c r="O17" s="8">
        <f t="shared" si="3"/>
        <v>-4.0297937356760793E-2</v>
      </c>
      <c r="Q17" s="271">
        <v>24.74</v>
      </c>
      <c r="R17" s="8">
        <f t="shared" si="5"/>
        <v>-3.2459913961673914E-2</v>
      </c>
      <c r="S17" s="8"/>
      <c r="T17" s="8"/>
      <c r="U17" s="8"/>
      <c r="V17" t="s">
        <v>354</v>
      </c>
      <c r="W17" s="32">
        <f>CORREL(L135:L182,O135:O182)</f>
        <v>6.7749116697520373E-2</v>
      </c>
    </row>
    <row r="18" spans="1:25">
      <c r="A18" s="28">
        <v>36982</v>
      </c>
      <c r="B18" s="26">
        <v>29.436463293561335</v>
      </c>
      <c r="C18" s="8">
        <f t="shared" si="1"/>
        <v>2.8243991613869479E-2</v>
      </c>
      <c r="E18" s="26">
        <f t="shared" si="6"/>
        <v>32.105767087467264</v>
      </c>
      <c r="F18" s="9">
        <v>16</v>
      </c>
      <c r="H18" s="17">
        <v>44.301321735682407</v>
      </c>
      <c r="I18" s="8">
        <f t="shared" si="2"/>
        <v>-0.13359810824615692</v>
      </c>
      <c r="K18" s="26">
        <f t="shared" si="0"/>
        <v>33.152677904091604</v>
      </c>
      <c r="L18" s="8">
        <f t="shared" si="4"/>
        <v>-3.215320842192626E-2</v>
      </c>
      <c r="N18" s="271">
        <v>4.6950000000000003</v>
      </c>
      <c r="O18" s="8">
        <f t="shared" si="3"/>
        <v>-6.5671641791044788E-2</v>
      </c>
      <c r="Q18" s="271">
        <v>27.89</v>
      </c>
      <c r="R18" s="8">
        <f t="shared" si="5"/>
        <v>0.12732417138237673</v>
      </c>
      <c r="S18" s="8"/>
      <c r="T18" s="8"/>
      <c r="U18" s="8"/>
      <c r="W18" t="s">
        <v>499</v>
      </c>
      <c r="X18" t="s">
        <v>480</v>
      </c>
      <c r="Y18" t="s">
        <v>245</v>
      </c>
    </row>
    <row r="19" spans="1:25">
      <c r="A19" s="28">
        <v>37012</v>
      </c>
      <c r="B19" s="26">
        <v>29.652947445437412</v>
      </c>
      <c r="C19" s="8">
        <f t="shared" si="1"/>
        <v>7.354285388062598E-3</v>
      </c>
      <c r="E19" s="26">
        <f t="shared" si="6"/>
        <v>32.087650660770862</v>
      </c>
      <c r="F19" s="9">
        <v>17</v>
      </c>
      <c r="H19" s="17">
        <v>31.270198443247757</v>
      </c>
      <c r="I19" s="8">
        <f t="shared" si="2"/>
        <v>-0.29414750580542515</v>
      </c>
      <c r="K19" s="26">
        <f t="shared" si="0"/>
        <v>30.057260194889999</v>
      </c>
      <c r="L19" s="8">
        <f t="shared" si="4"/>
        <v>-9.3368557380385186E-2</v>
      </c>
      <c r="N19" s="271">
        <v>3.9140000000000001</v>
      </c>
      <c r="O19" s="8">
        <f t="shared" si="3"/>
        <v>-0.16634717784877529</v>
      </c>
      <c r="Q19" s="271">
        <v>29.34</v>
      </c>
      <c r="R19" s="8">
        <f t="shared" si="5"/>
        <v>5.1989960559340131E-2</v>
      </c>
      <c r="S19" s="8"/>
      <c r="T19" s="8"/>
      <c r="U19" s="8"/>
      <c r="V19" s="248" t="s">
        <v>344</v>
      </c>
      <c r="W19" s="189" t="str">
        <f ca="1">"Fossil Fuel Prices / 7/1/2015 in "&amp;CELL("address",'Fuel Cost Risk Sim'!$F$83)</f>
        <v>Fossil Fuel Prices / 7/1/2015 in '[Fuel Costs Monte Carlo-3.xlsx]Fuel Cost Risk Sim'!$F$83</v>
      </c>
      <c r="X19" s="189" t="str">
        <f ca="1">"Fossil Fuel Prices / 7/1/2015 in "&amp;CELL("address",'Fuel Cost Risk Sim'!$F$84)</f>
        <v>Fossil Fuel Prices / 7/1/2015 in '[Fuel Costs Monte Carlo-3.xlsx]Fuel Cost Risk Sim'!$F$84</v>
      </c>
      <c r="Y19" s="189" t="str">
        <f ca="1">"Henry Hub LNG Simulated % Change / 7/1/2015 in "&amp;CELL("address",'Fuel Cost Risk Sim'!$F$85)</f>
        <v>Henry Hub LNG Simulated % Change / 7/1/2015 in '[Fuel Costs Monte Carlo-3.xlsx]Fuel Cost Risk Sim'!$F$85</v>
      </c>
    </row>
    <row r="20" spans="1:25">
      <c r="A20" s="28">
        <v>37043</v>
      </c>
      <c r="B20" s="26">
        <v>30.747833066054408</v>
      </c>
      <c r="C20" s="8">
        <f t="shared" si="1"/>
        <v>3.6923331909302748E-2</v>
      </c>
      <c r="E20" s="26">
        <f t="shared" si="6"/>
        <v>32.050110323702476</v>
      </c>
      <c r="F20" s="9">
        <v>18</v>
      </c>
      <c r="H20" s="17">
        <v>42.829452813713843</v>
      </c>
      <c r="I20" s="8">
        <f t="shared" si="2"/>
        <v>0.36965721184804634</v>
      </c>
      <c r="K20" s="26">
        <f t="shared" si="0"/>
        <v>33.768238002969269</v>
      </c>
      <c r="L20" s="8">
        <f t="shared" si="4"/>
        <v>0.12346360859298056</v>
      </c>
      <c r="N20" s="271">
        <v>3.0960000000000001</v>
      </c>
      <c r="O20" s="8">
        <f t="shared" si="3"/>
        <v>-0.20899335717935619</v>
      </c>
      <c r="Q20" s="271">
        <v>26.08</v>
      </c>
      <c r="R20" s="8">
        <f t="shared" si="5"/>
        <v>-0.11111111111111116</v>
      </c>
      <c r="S20" s="8"/>
      <c r="T20" s="8"/>
      <c r="U20" s="272" t="s">
        <v>499</v>
      </c>
      <c r="V20" s="189" t="str">
        <f ca="1">"Fossil Fuel Prices / 7/1/2015 in "&amp;CELL("address",'Fuel Cost Risk Sim'!$F$83)</f>
        <v>Fossil Fuel Prices / 7/1/2015 in '[Fuel Costs Monte Carlo-3.xlsx]Fuel Cost Risk Sim'!$F$83</v>
      </c>
      <c r="W20" s="190">
        <v>1</v>
      </c>
      <c r="X20" s="191">
        <v>9.6199999999999994E-2</v>
      </c>
      <c r="Y20" s="191">
        <v>0.17130000000000001</v>
      </c>
    </row>
    <row r="21" spans="1:25">
      <c r="A21" s="28">
        <v>37073</v>
      </c>
      <c r="B21" s="26">
        <v>33.286875526407194</v>
      </c>
      <c r="C21" s="8">
        <f t="shared" si="1"/>
        <v>8.2576305617968471E-2</v>
      </c>
      <c r="E21" s="26">
        <f t="shared" si="6"/>
        <v>32.137274940501882</v>
      </c>
      <c r="F21" s="9">
        <v>19</v>
      </c>
      <c r="H21" s="17">
        <v>45.070896781478687</v>
      </c>
      <c r="I21" s="8">
        <f t="shared" si="2"/>
        <v>5.2334172409672863E-2</v>
      </c>
      <c r="K21" s="26">
        <f t="shared" si="0"/>
        <v>36.232880840175071</v>
      </c>
      <c r="L21" s="8">
        <f t="shared" si="4"/>
        <v>7.2987013328592587E-2</v>
      </c>
      <c r="N21" s="271">
        <v>3.2959999999999998</v>
      </c>
      <c r="O21" s="8">
        <f t="shared" si="3"/>
        <v>6.4599483204134334E-2</v>
      </c>
      <c r="Q21" s="271">
        <v>24.69</v>
      </c>
      <c r="R21" s="8">
        <f t="shared" si="5"/>
        <v>-5.3297546012269881E-2</v>
      </c>
      <c r="S21" s="8"/>
      <c r="T21" s="8"/>
      <c r="U21" s="272" t="s">
        <v>480</v>
      </c>
      <c r="V21" s="189" t="str">
        <f ca="1">"Fossil Fuel Prices / 7/1/2015 in "&amp;CELL("address",'Fuel Cost Risk Sim'!$F$84)</f>
        <v>Fossil Fuel Prices / 7/1/2015 in '[Fuel Costs Monte Carlo-3.xlsx]Fuel Cost Risk Sim'!$F$84</v>
      </c>
      <c r="W21" s="188">
        <v>9.6199999999999994E-2</v>
      </c>
      <c r="X21" s="186">
        <v>1</v>
      </c>
      <c r="Y21" s="186">
        <v>0.25390000000000001</v>
      </c>
    </row>
    <row r="22" spans="1:25">
      <c r="A22" s="28">
        <v>37104</v>
      </c>
      <c r="B22" s="26">
        <v>34.275661604862471</v>
      </c>
      <c r="C22" s="8">
        <f t="shared" si="1"/>
        <v>2.9704983204892565E-2</v>
      </c>
      <c r="E22" s="26">
        <f t="shared" si="6"/>
        <v>32.220270634960464</v>
      </c>
      <c r="F22" s="9">
        <v>20</v>
      </c>
      <c r="H22" s="17">
        <v>44.20514996084335</v>
      </c>
      <c r="I22" s="8">
        <f t="shared" si="2"/>
        <v>-1.9208555463913091E-2</v>
      </c>
      <c r="K22" s="26">
        <f t="shared" si="0"/>
        <v>36.758033693857691</v>
      </c>
      <c r="L22" s="8">
        <f t="shared" si="4"/>
        <v>1.44938200194209E-2</v>
      </c>
      <c r="N22" s="271">
        <v>2.38</v>
      </c>
      <c r="O22" s="8">
        <f t="shared" si="3"/>
        <v>-0.27791262135922334</v>
      </c>
      <c r="Q22" s="271">
        <v>26.41</v>
      </c>
      <c r="R22" s="8">
        <f t="shared" si="5"/>
        <v>6.9663831510732965E-2</v>
      </c>
      <c r="S22" s="8"/>
      <c r="T22" s="8"/>
      <c r="U22" s="272" t="s">
        <v>245</v>
      </c>
      <c r="V22" s="189" t="str">
        <f ca="1">"Henry Hub LNG Simulated % Change / 7/1/2015 in "&amp;CELL("address",'Fuel Cost Risk Sim'!$F$85)</f>
        <v>Henry Hub LNG Simulated % Change / 7/1/2015 in '[Fuel Costs Monte Carlo-3.xlsx]Fuel Cost Risk Sim'!$F$85</v>
      </c>
      <c r="W22" s="188">
        <v>0.17130000000000001</v>
      </c>
      <c r="X22" s="186">
        <v>0.25390000000000001</v>
      </c>
      <c r="Y22" s="186">
        <v>1</v>
      </c>
    </row>
    <row r="23" spans="1:25">
      <c r="A23" s="28">
        <v>37135</v>
      </c>
      <c r="B23" s="26">
        <v>33.788642797805387</v>
      </c>
      <c r="C23" s="8">
        <f t="shared" si="1"/>
        <v>-1.4208881295175169E-2</v>
      </c>
      <c r="E23" s="26">
        <f t="shared" si="6"/>
        <v>32.324322405247386</v>
      </c>
      <c r="F23" s="9">
        <v>21</v>
      </c>
      <c r="H23" s="17">
        <v>40.287402691606438</v>
      </c>
      <c r="I23" s="8">
        <f t="shared" si="2"/>
        <v>-8.8626489734956904E-2</v>
      </c>
      <c r="K23" s="26">
        <f t="shared" si="0"/>
        <v>35.413332771255654</v>
      </c>
      <c r="L23" s="8">
        <f t="shared" si="4"/>
        <v>-3.6582504216669753E-2</v>
      </c>
      <c r="N23" s="271">
        <v>2.2440000000000002</v>
      </c>
      <c r="O23" s="8">
        <f t="shared" si="3"/>
        <v>-5.7142857142857051E-2</v>
      </c>
      <c r="Q23" s="271">
        <v>23.26</v>
      </c>
      <c r="R23" s="8">
        <f t="shared" si="5"/>
        <v>-0.11927300265051111</v>
      </c>
      <c r="S23" s="8"/>
      <c r="T23" s="8"/>
      <c r="U23" s="8"/>
    </row>
    <row r="24" spans="1:25">
      <c r="A24" s="28">
        <v>37165</v>
      </c>
      <c r="B24" s="26">
        <v>31.337860598496654</v>
      </c>
      <c r="C24" s="8">
        <f t="shared" si="1"/>
        <v>-7.2532720949298191E-2</v>
      </c>
      <c r="E24" s="26">
        <f t="shared" si="6"/>
        <v>32.275893182167046</v>
      </c>
      <c r="F24" s="9">
        <v>22</v>
      </c>
      <c r="H24" s="17">
        <v>39.995727459437255</v>
      </c>
      <c r="I24" s="8">
        <f t="shared" si="2"/>
        <v>-7.2398619092401972E-3</v>
      </c>
      <c r="K24" s="26">
        <f t="shared" si="0"/>
        <v>33.502327313731804</v>
      </c>
      <c r="L24" s="8">
        <f t="shared" si="4"/>
        <v>-5.3962880869404595E-2</v>
      </c>
      <c r="N24" s="271">
        <v>3.2909999999999999</v>
      </c>
      <c r="O24" s="8">
        <f t="shared" si="3"/>
        <v>0.46657754010695163</v>
      </c>
      <c r="Q24" s="271">
        <v>20.37</v>
      </c>
      <c r="R24" s="8">
        <f t="shared" si="5"/>
        <v>-0.12424763542562345</v>
      </c>
      <c r="S24" s="8"/>
      <c r="T24" s="8"/>
      <c r="U24" s="8"/>
    </row>
    <row r="25" spans="1:25">
      <c r="A25" s="28">
        <v>37196</v>
      </c>
      <c r="B25" s="26">
        <v>29.11541838658658</v>
      </c>
      <c r="C25" s="8">
        <f t="shared" si="1"/>
        <v>-7.0918759911028806E-2</v>
      </c>
      <c r="E25" s="26">
        <f t="shared" si="6"/>
        <v>31.795877948253338</v>
      </c>
      <c r="F25" s="9">
        <v>23</v>
      </c>
      <c r="H25" s="17">
        <v>44.579818985799989</v>
      </c>
      <c r="I25" s="8">
        <f t="shared" si="2"/>
        <v>0.11461453053983872</v>
      </c>
      <c r="K25" s="26">
        <f t="shared" si="0"/>
        <v>32.981518536389927</v>
      </c>
      <c r="L25" s="8">
        <f t="shared" si="4"/>
        <v>-1.554545069256752E-2</v>
      </c>
      <c r="N25" s="271">
        <v>2.7010000000000001</v>
      </c>
      <c r="O25" s="8">
        <f t="shared" si="3"/>
        <v>-0.17927681555758124</v>
      </c>
      <c r="Q25" s="271">
        <v>19.14</v>
      </c>
      <c r="R25" s="8">
        <f t="shared" si="5"/>
        <v>-6.0382916053019153E-2</v>
      </c>
      <c r="S25" s="8"/>
      <c r="T25" s="8"/>
      <c r="U25" s="8"/>
    </row>
    <row r="26" spans="1:25">
      <c r="A26" s="28">
        <v>37226</v>
      </c>
      <c r="B26" s="26">
        <v>27.788151899195267</v>
      </c>
      <c r="C26" s="8">
        <f t="shared" si="1"/>
        <v>-4.5586378659177473E-2</v>
      </c>
      <c r="E26" s="26">
        <f t="shared" si="6"/>
        <v>31.182952659577865</v>
      </c>
      <c r="F26" s="9">
        <v>24</v>
      </c>
      <c r="H26" s="17">
        <v>38.583223667100135</v>
      </c>
      <c r="I26" s="8">
        <f t="shared" si="2"/>
        <v>-0.13451367580944973</v>
      </c>
      <c r="K26" s="26">
        <f t="shared" si="0"/>
        <v>30.486919841171485</v>
      </c>
      <c r="L26" s="8">
        <f t="shared" si="4"/>
        <v>-7.5636259515038495E-2</v>
      </c>
      <c r="N26" s="271">
        <v>2.57</v>
      </c>
      <c r="O26" s="8">
        <f t="shared" si="3"/>
        <v>-4.8500555349870522E-2</v>
      </c>
      <c r="Q26" s="271">
        <v>19.899999999999999</v>
      </c>
      <c r="R26" s="8">
        <f t="shared" si="5"/>
        <v>3.9707419017763756E-2</v>
      </c>
      <c r="S26" s="8"/>
      <c r="T26" s="8"/>
      <c r="U26" s="8"/>
    </row>
    <row r="27" spans="1:25">
      <c r="A27" s="28">
        <v>37257</v>
      </c>
      <c r="B27" s="26">
        <v>24.281130524430097</v>
      </c>
      <c r="C27" s="8">
        <f t="shared" si="1"/>
        <v>-0.12620563567837451</v>
      </c>
      <c r="E27" s="26">
        <f t="shared" si="6"/>
        <v>30.328774539101119</v>
      </c>
      <c r="F27" s="9">
        <v>25</v>
      </c>
      <c r="H27" s="17">
        <v>35.618523019190285</v>
      </c>
      <c r="I27" s="8">
        <f t="shared" si="2"/>
        <v>-7.6839112083779693E-2</v>
      </c>
      <c r="K27" s="26">
        <f t="shared" si="0"/>
        <v>27.115478648120146</v>
      </c>
      <c r="L27" s="8">
        <f t="shared" si="4"/>
        <v>-0.11058648137022786</v>
      </c>
      <c r="N27" s="271">
        <v>2.1379999999999999</v>
      </c>
      <c r="O27" s="8">
        <f t="shared" si="3"/>
        <v>-0.16809338521400774</v>
      </c>
      <c r="Q27" s="271">
        <v>19.18</v>
      </c>
      <c r="R27" s="8">
        <f t="shared" si="5"/>
        <v>-3.6180904522613022E-2</v>
      </c>
      <c r="S27" s="8"/>
      <c r="T27" s="8"/>
      <c r="U27" s="8"/>
    </row>
    <row r="28" spans="1:25">
      <c r="A28" s="28">
        <v>37288</v>
      </c>
      <c r="B28" s="26">
        <v>21.87060239607543</v>
      </c>
      <c r="C28" s="8">
        <f t="shared" si="1"/>
        <v>-9.927577819860367E-2</v>
      </c>
      <c r="E28" s="26">
        <f t="shared" si="6"/>
        <v>29.517457061991113</v>
      </c>
      <c r="F28" s="9">
        <v>26</v>
      </c>
      <c r="H28" s="17">
        <v>32.024168138232994</v>
      </c>
      <c r="I28" s="8">
        <f t="shared" si="2"/>
        <v>-0.10091251900087916</v>
      </c>
      <c r="K28" s="26">
        <f t="shared" si="0"/>
        <v>24.408993831614822</v>
      </c>
      <c r="L28" s="8">
        <f t="shared" si="4"/>
        <v>-9.9813278298628072E-2</v>
      </c>
      <c r="N28" s="271">
        <v>2.3570000000000002</v>
      </c>
      <c r="O28" s="8">
        <f t="shared" si="3"/>
        <v>0.10243217960710949</v>
      </c>
      <c r="Q28" s="271">
        <v>21.33</v>
      </c>
      <c r="R28" s="8">
        <f t="shared" si="5"/>
        <v>0.11209593326381651</v>
      </c>
      <c r="S28" s="8"/>
      <c r="T28" s="8"/>
      <c r="U28" s="8"/>
    </row>
    <row r="29" spans="1:25">
      <c r="A29" s="28">
        <v>37316</v>
      </c>
      <c r="B29" s="26">
        <v>22.398435854824953</v>
      </c>
      <c r="C29" s="8">
        <f t="shared" si="1"/>
        <v>2.4134381357700407E-2</v>
      </c>
      <c r="E29" s="26">
        <f t="shared" si="6"/>
        <v>28.998335282811428</v>
      </c>
      <c r="F29" s="9">
        <v>27</v>
      </c>
      <c r="H29" s="17">
        <v>29.974445205863393</v>
      </c>
      <c r="I29" s="8">
        <f t="shared" si="2"/>
        <v>-6.4005501205275039E-2</v>
      </c>
      <c r="K29" s="26">
        <f t="shared" si="0"/>
        <v>24.292438192584562</v>
      </c>
      <c r="L29" s="8">
        <f t="shared" si="4"/>
        <v>-4.7751103480265789E-3</v>
      </c>
      <c r="N29" s="271">
        <v>3.2829999999999999</v>
      </c>
      <c r="O29" s="8">
        <f t="shared" si="3"/>
        <v>0.39287229529062362</v>
      </c>
      <c r="Q29" s="271">
        <v>25.92</v>
      </c>
      <c r="R29" s="8">
        <f t="shared" si="5"/>
        <v>0.21518987341772178</v>
      </c>
      <c r="S29" s="8"/>
      <c r="T29" s="8"/>
      <c r="U29" s="8"/>
    </row>
    <row r="30" spans="1:25">
      <c r="A30" s="28">
        <v>37347</v>
      </c>
      <c r="B30" s="26">
        <v>23.201720937750267</v>
      </c>
      <c r="C30" s="8">
        <f t="shared" si="1"/>
        <v>3.5863445471451261E-2</v>
      </c>
      <c r="E30" s="26">
        <f t="shared" si="6"/>
        <v>28.478773419827181</v>
      </c>
      <c r="F30" s="9">
        <v>28</v>
      </c>
      <c r="H30" s="17">
        <v>30.270057197922863</v>
      </c>
      <c r="I30" s="8">
        <f t="shared" si="2"/>
        <v>9.8621338953637228E-3</v>
      </c>
      <c r="K30" s="26">
        <f t="shared" si="0"/>
        <v>24.968805002793417</v>
      </c>
      <c r="L30" s="8">
        <f t="shared" si="4"/>
        <v>2.7842689352414185E-2</v>
      </c>
      <c r="N30" s="271">
        <v>3.7949999999999999</v>
      </c>
      <c r="O30" s="8">
        <f t="shared" si="3"/>
        <v>0.15595491928114535</v>
      </c>
      <c r="Q30" s="271">
        <v>26.47</v>
      </c>
      <c r="R30" s="8">
        <f t="shared" si="5"/>
        <v>2.1219135802468925E-2</v>
      </c>
      <c r="S30" s="8"/>
      <c r="T30" s="8"/>
      <c r="U30" s="8"/>
    </row>
    <row r="31" spans="1:25">
      <c r="A31" s="28">
        <v>37377</v>
      </c>
      <c r="B31" s="26">
        <v>25.270001528713721</v>
      </c>
      <c r="C31" s="8">
        <f t="shared" si="1"/>
        <v>8.9143412961159463E-2</v>
      </c>
      <c r="E31" s="26">
        <f t="shared" si="6"/>
        <v>28.113527926766874</v>
      </c>
      <c r="F31" s="9">
        <v>29</v>
      </c>
      <c r="H31" s="17">
        <v>34.97993709397312</v>
      </c>
      <c r="I31" s="8">
        <f t="shared" si="2"/>
        <v>0.15559534180111978</v>
      </c>
      <c r="K31" s="26">
        <f t="shared" si="0"/>
        <v>27.697485420028571</v>
      </c>
      <c r="L31" s="8">
        <f t="shared" si="4"/>
        <v>0.10928358072922917</v>
      </c>
      <c r="N31" s="271">
        <v>3.2170000000000001</v>
      </c>
      <c r="O31" s="8">
        <f t="shared" si="3"/>
        <v>-0.15230566534914358</v>
      </c>
      <c r="Q31" s="271">
        <v>24.45</v>
      </c>
      <c r="R31" s="8">
        <f t="shared" si="5"/>
        <v>-7.6312806951265522E-2</v>
      </c>
      <c r="S31" s="8"/>
      <c r="T31" s="8"/>
      <c r="U31" s="8"/>
    </row>
    <row r="32" spans="1:25">
      <c r="A32" s="28">
        <v>37408</v>
      </c>
      <c r="B32" s="26">
        <v>29.101656437590993</v>
      </c>
      <c r="C32" s="8">
        <f t="shared" si="1"/>
        <v>0.15162859822241992</v>
      </c>
      <c r="E32" s="26">
        <f t="shared" si="6"/>
        <v>27.976346541061584</v>
      </c>
      <c r="F32" s="9">
        <v>30</v>
      </c>
      <c r="H32" s="17">
        <v>36.071097994055002</v>
      </c>
      <c r="I32" s="8">
        <f t="shared" si="2"/>
        <v>3.1193906871544552E-2</v>
      </c>
      <c r="K32" s="26">
        <f t="shared" si="0"/>
        <v>30.844016826706998</v>
      </c>
      <c r="L32" s="8">
        <f t="shared" si="4"/>
        <v>0.11360350439621891</v>
      </c>
      <c r="N32" s="271">
        <v>3.2450000000000001</v>
      </c>
      <c r="O32" s="8">
        <f t="shared" si="3"/>
        <v>8.7037612682623333E-3</v>
      </c>
      <c r="Q32" s="271">
        <v>25.58</v>
      </c>
      <c r="R32" s="8">
        <f t="shared" si="5"/>
        <v>4.6216768916155448E-2</v>
      </c>
      <c r="S32" s="8"/>
      <c r="T32" s="8"/>
      <c r="U32" s="8"/>
    </row>
    <row r="33" spans="1:21">
      <c r="A33" s="28">
        <v>37438</v>
      </c>
      <c r="B33" s="26">
        <v>28.663672287406044</v>
      </c>
      <c r="C33" s="8">
        <f t="shared" si="1"/>
        <v>-1.5050145036390461E-2</v>
      </c>
      <c r="E33" s="26">
        <f t="shared" si="6"/>
        <v>27.591079604478157</v>
      </c>
      <c r="F33" s="9">
        <v>31</v>
      </c>
      <c r="H33" s="17">
        <v>36.490632622401414</v>
      </c>
      <c r="I33" s="8">
        <f t="shared" si="2"/>
        <v>1.1630769554493714E-2</v>
      </c>
      <c r="K33" s="26">
        <f t="shared" si="0"/>
        <v>30.620412371154885</v>
      </c>
      <c r="L33" s="8">
        <f t="shared" si="4"/>
        <v>-7.2495244963847183E-3</v>
      </c>
      <c r="N33" s="271">
        <v>2.9540000000000002</v>
      </c>
      <c r="O33" s="8">
        <f t="shared" si="3"/>
        <v>-8.9676425269645588E-2</v>
      </c>
      <c r="Q33" s="271">
        <v>25.44</v>
      </c>
      <c r="R33" s="8">
        <f t="shared" si="5"/>
        <v>-5.4730258014071831E-3</v>
      </c>
      <c r="S33" s="8"/>
      <c r="T33" s="8"/>
      <c r="U33" s="8"/>
    </row>
    <row r="34" spans="1:21">
      <c r="A34" s="28">
        <v>37469</v>
      </c>
      <c r="B34" s="26">
        <v>29.82126897679742</v>
      </c>
      <c r="C34" s="8">
        <f t="shared" si="1"/>
        <v>4.0385498333372682E-2</v>
      </c>
      <c r="E34" s="26">
        <f t="shared" si="6"/>
        <v>27.219880218806068</v>
      </c>
      <c r="F34" s="9">
        <v>32</v>
      </c>
      <c r="H34" s="17">
        <v>35.515705891481765</v>
      </c>
      <c r="I34" s="8">
        <f t="shared" si="2"/>
        <v>-2.6717178104529338E-2</v>
      </c>
      <c r="K34" s="26">
        <f t="shared" si="0"/>
        <v>31.244878205468503</v>
      </c>
      <c r="L34" s="8">
        <f t="shared" si="4"/>
        <v>2.0393776110666506E-2</v>
      </c>
      <c r="N34" s="271">
        <v>3.2959999999999998</v>
      </c>
      <c r="O34" s="8">
        <f t="shared" si="3"/>
        <v>0.11577522004062279</v>
      </c>
      <c r="Q34" s="271">
        <v>27.47</v>
      </c>
      <c r="R34" s="8">
        <f t="shared" si="5"/>
        <v>7.9795597484276559E-2</v>
      </c>
      <c r="S34" s="8"/>
      <c r="T34" s="8"/>
      <c r="U34" s="8"/>
    </row>
    <row r="35" spans="1:21">
      <c r="A35" s="28">
        <v>37500</v>
      </c>
      <c r="B35" s="26">
        <v>30.387593311492516</v>
      </c>
      <c r="C35" s="8">
        <f t="shared" si="1"/>
        <v>1.8990618244170809E-2</v>
      </c>
      <c r="E35" s="26">
        <f t="shared" si="6"/>
        <v>26.936459428279992</v>
      </c>
      <c r="F35" s="9">
        <v>33</v>
      </c>
      <c r="H35" s="17">
        <v>35.529874088667555</v>
      </c>
      <c r="I35" s="8">
        <f t="shared" si="2"/>
        <v>3.9892765271454245E-4</v>
      </c>
      <c r="K35" s="26">
        <f t="shared" ref="K35:K66" si="7">0.75*B35+0.25*H35</f>
        <v>31.673163505786277</v>
      </c>
      <c r="L35" s="8">
        <f t="shared" si="4"/>
        <v>1.3707376213833777E-2</v>
      </c>
      <c r="N35" s="271">
        <v>4.1379999999999999</v>
      </c>
      <c r="O35" s="8">
        <f t="shared" si="3"/>
        <v>0.25546116504854366</v>
      </c>
      <c r="Q35" s="271">
        <v>28.75</v>
      </c>
      <c r="R35" s="8">
        <f t="shared" si="5"/>
        <v>4.6596286858391123E-2</v>
      </c>
      <c r="S35" s="8"/>
      <c r="T35" s="8"/>
      <c r="U35" s="8"/>
    </row>
    <row r="36" spans="1:21">
      <c r="A36" s="28">
        <v>37530</v>
      </c>
      <c r="B36" s="26">
        <v>30.896494206754021</v>
      </c>
      <c r="C36" s="8">
        <f t="shared" ref="C36:C67" si="8">B36/B35-1</f>
        <v>1.6746995724371549E-2</v>
      </c>
      <c r="E36" s="26">
        <f t="shared" si="6"/>
        <v>26.899678895634779</v>
      </c>
      <c r="F36" s="9">
        <v>34</v>
      </c>
      <c r="H36" s="17">
        <v>38.22208705902063</v>
      </c>
      <c r="I36" s="8">
        <f t="shared" ref="I36:I67" si="9">H36/H35-1</f>
        <v>7.5773220125533003E-2</v>
      </c>
      <c r="K36" s="26">
        <f t="shared" si="7"/>
        <v>32.72789241982067</v>
      </c>
      <c r="L36" s="8">
        <f t="shared" si="4"/>
        <v>3.3300396843583657E-2</v>
      </c>
      <c r="N36" s="271">
        <v>4.1559999999999997</v>
      </c>
      <c r="O36" s="8">
        <f t="shared" ref="O36:O67" si="10">N36/N35-1</f>
        <v>4.3499275012082173E-3</v>
      </c>
      <c r="Q36" s="271">
        <v>25.72</v>
      </c>
      <c r="R36" s="8">
        <f t="shared" si="5"/>
        <v>-0.10539130434782618</v>
      </c>
      <c r="S36" s="8"/>
      <c r="T36" s="8"/>
      <c r="U36" s="8"/>
    </row>
    <row r="37" spans="1:21">
      <c r="A37" s="28">
        <v>37561</v>
      </c>
      <c r="B37" s="26">
        <v>32.213056846447593</v>
      </c>
      <c r="C37" s="8">
        <f t="shared" si="8"/>
        <v>4.2612039763584963E-2</v>
      </c>
      <c r="E37" s="26">
        <f t="shared" si="6"/>
        <v>27.157815433956529</v>
      </c>
      <c r="F37" s="9">
        <v>35</v>
      </c>
      <c r="H37" s="17">
        <v>42.450812490193982</v>
      </c>
      <c r="I37" s="8">
        <f t="shared" si="9"/>
        <v>0.11063564960865602</v>
      </c>
      <c r="K37" s="26">
        <f t="shared" si="7"/>
        <v>34.772495757384192</v>
      </c>
      <c r="L37" s="8">
        <f t="shared" si="4"/>
        <v>6.2472807944249809E-2</v>
      </c>
      <c r="N37" s="271">
        <v>4.2</v>
      </c>
      <c r="O37" s="8">
        <f t="shared" si="10"/>
        <v>1.0587102983638186E-2</v>
      </c>
      <c r="Q37" s="271">
        <v>25.16</v>
      </c>
      <c r="R37" s="8">
        <f t="shared" si="5"/>
        <v>-2.1772939346811793E-2</v>
      </c>
      <c r="S37" s="8"/>
      <c r="T37" s="8"/>
      <c r="U37" s="8"/>
    </row>
    <row r="38" spans="1:21">
      <c r="A38" s="28">
        <v>37591</v>
      </c>
      <c r="B38" s="26">
        <v>33.571778615777404</v>
      </c>
      <c r="C38" s="8">
        <f t="shared" si="8"/>
        <v>4.2179224896492507E-2</v>
      </c>
      <c r="E38" s="26">
        <f t="shared" si="6"/>
        <v>27.639784327005042</v>
      </c>
      <c r="F38" s="9">
        <v>36</v>
      </c>
      <c r="H38" s="17">
        <v>42.385113163366498</v>
      </c>
      <c r="I38" s="8">
        <f t="shared" si="9"/>
        <v>-1.5476577001360958E-3</v>
      </c>
      <c r="K38" s="26">
        <f t="shared" si="7"/>
        <v>35.775112252674674</v>
      </c>
      <c r="L38" s="8">
        <f t="shared" si="4"/>
        <v>2.8833607523773175E-2</v>
      </c>
      <c r="N38" s="271">
        <v>4.7889999999999997</v>
      </c>
      <c r="O38" s="8">
        <f t="shared" si="10"/>
        <v>0.14023809523809505</v>
      </c>
      <c r="Q38" s="271">
        <v>28.66</v>
      </c>
      <c r="R38" s="8">
        <f t="shared" si="5"/>
        <v>0.13910969793322736</v>
      </c>
      <c r="S38" s="8"/>
      <c r="T38" s="8"/>
      <c r="U38" s="8"/>
    </row>
    <row r="39" spans="1:21">
      <c r="A39" s="28">
        <v>37622</v>
      </c>
      <c r="B39" s="26">
        <v>33.389223722689131</v>
      </c>
      <c r="C39" s="8">
        <f t="shared" si="8"/>
        <v>-5.437748627428407E-3</v>
      </c>
      <c r="E39" s="26">
        <f t="shared" si="6"/>
        <v>28.398792093526623</v>
      </c>
      <c r="F39" s="9">
        <v>37</v>
      </c>
      <c r="H39" s="17">
        <v>40.59638340689709</v>
      </c>
      <c r="I39" s="8">
        <f t="shared" si="9"/>
        <v>-4.2201839819916098E-2</v>
      </c>
      <c r="K39" s="26">
        <f t="shared" si="7"/>
        <v>35.191013643741115</v>
      </c>
      <c r="L39" s="8">
        <f t="shared" si="4"/>
        <v>-1.6326953911650954E-2</v>
      </c>
      <c r="N39" s="271">
        <v>5.6050000000000004</v>
      </c>
      <c r="O39" s="8">
        <f t="shared" si="10"/>
        <v>0.17039047817916075</v>
      </c>
      <c r="Q39" s="271">
        <v>31.1</v>
      </c>
      <c r="R39" s="8">
        <f t="shared" si="5"/>
        <v>8.513607815771107E-2</v>
      </c>
      <c r="S39" s="8"/>
      <c r="T39" s="8"/>
      <c r="U39" s="8"/>
    </row>
    <row r="40" spans="1:21">
      <c r="A40" s="28">
        <v>37653</v>
      </c>
      <c r="B40" s="26">
        <v>34.538752224314422</v>
      </c>
      <c r="C40" s="8">
        <f t="shared" si="8"/>
        <v>3.442812900271619E-2</v>
      </c>
      <c r="E40" s="26">
        <f t="shared" si="6"/>
        <v>29.454471245879869</v>
      </c>
      <c r="F40" s="9">
        <v>38</v>
      </c>
      <c r="H40" s="17">
        <v>40.52954127411396</v>
      </c>
      <c r="I40" s="8">
        <f t="shared" si="9"/>
        <v>-1.646504618728506E-3</v>
      </c>
      <c r="K40" s="26">
        <f t="shared" si="7"/>
        <v>36.036449486764305</v>
      </c>
      <c r="L40" s="8">
        <f t="shared" si="4"/>
        <v>2.4024196960679367E-2</v>
      </c>
      <c r="N40" s="271">
        <v>8.1010000000000009</v>
      </c>
      <c r="O40" s="8">
        <f t="shared" si="10"/>
        <v>0.44531668153434434</v>
      </c>
      <c r="Q40" s="271">
        <v>32.79</v>
      </c>
      <c r="R40" s="8">
        <f t="shared" si="5"/>
        <v>5.434083601286166E-2</v>
      </c>
      <c r="S40" s="8"/>
      <c r="T40" s="8"/>
      <c r="U40" s="8"/>
    </row>
    <row r="41" spans="1:21">
      <c r="A41" s="28">
        <v>37681</v>
      </c>
      <c r="B41" s="26">
        <v>36.218883149520636</v>
      </c>
      <c r="C41" s="8">
        <f t="shared" si="8"/>
        <v>4.8644806688281195E-2</v>
      </c>
      <c r="E41" s="26">
        <f t="shared" si="6"/>
        <v>30.606175187104512</v>
      </c>
      <c r="F41" s="9">
        <v>39</v>
      </c>
      <c r="H41" s="17">
        <v>42.758180959574396</v>
      </c>
      <c r="I41" s="8">
        <f t="shared" si="9"/>
        <v>5.4988031332194209E-2</v>
      </c>
      <c r="K41" s="26">
        <f t="shared" si="7"/>
        <v>37.853707602034078</v>
      </c>
      <c r="L41" s="8">
        <f t="shared" si="4"/>
        <v>5.0428334121462859E-2</v>
      </c>
      <c r="N41" s="271">
        <v>5.0599999999999996</v>
      </c>
      <c r="O41" s="8">
        <f t="shared" si="10"/>
        <v>-0.37538575484508097</v>
      </c>
      <c r="Q41" s="271">
        <v>27.18</v>
      </c>
      <c r="R41" s="8">
        <f t="shared" si="5"/>
        <v>-0.17108874656907591</v>
      </c>
      <c r="S41" s="8"/>
      <c r="T41" s="8"/>
      <c r="U41" s="8"/>
    </row>
    <row r="42" spans="1:21">
      <c r="A42" s="28">
        <v>37712</v>
      </c>
      <c r="B42" s="26">
        <v>37.583555645502273</v>
      </c>
      <c r="C42" s="8">
        <f t="shared" si="8"/>
        <v>3.7678480872751496E-2</v>
      </c>
      <c r="E42" s="26">
        <f t="shared" si="6"/>
        <v>31.804661412750509</v>
      </c>
      <c r="F42" s="9">
        <v>40</v>
      </c>
      <c r="H42" s="17">
        <v>46.22883596229358</v>
      </c>
      <c r="I42" s="8">
        <f t="shared" si="9"/>
        <v>8.116937916513578E-2</v>
      </c>
      <c r="K42" s="26">
        <f t="shared" si="7"/>
        <v>39.744875724700101</v>
      </c>
      <c r="L42" s="8">
        <f t="shared" si="4"/>
        <v>4.9959917864542236E-2</v>
      </c>
      <c r="N42" s="271">
        <v>5.3849999999999998</v>
      </c>
      <c r="O42" s="8">
        <f t="shared" si="10"/>
        <v>6.422924901185767E-2</v>
      </c>
      <c r="Q42" s="271">
        <v>23.68</v>
      </c>
      <c r="R42" s="8">
        <f t="shared" si="5"/>
        <v>-0.12877115526122151</v>
      </c>
      <c r="S42" s="8"/>
      <c r="T42" s="8"/>
      <c r="U42" s="8"/>
    </row>
    <row r="43" spans="1:21">
      <c r="A43" s="28">
        <v>37742</v>
      </c>
      <c r="B43" s="26">
        <v>37.253692644277244</v>
      </c>
      <c r="C43" s="8">
        <f t="shared" si="8"/>
        <v>-8.7767906883633451E-3</v>
      </c>
      <c r="E43" s="26">
        <f t="shared" si="6"/>
        <v>32.803302339047477</v>
      </c>
      <c r="F43" s="9">
        <v>41</v>
      </c>
      <c r="H43" s="17">
        <v>51.820585525185898</v>
      </c>
      <c r="I43" s="8">
        <f t="shared" si="9"/>
        <v>0.12095804375116037</v>
      </c>
      <c r="K43" s="26">
        <f t="shared" si="7"/>
        <v>40.895415864504407</v>
      </c>
      <c r="L43" s="8">
        <f t="shared" si="4"/>
        <v>2.8948137812122576E-2</v>
      </c>
      <c r="N43" s="271">
        <v>6.2510000000000003</v>
      </c>
      <c r="O43" s="8">
        <f t="shared" si="10"/>
        <v>0.16081708449396492</v>
      </c>
      <c r="Q43" s="271">
        <v>26.32</v>
      </c>
      <c r="R43" s="8">
        <f t="shared" si="5"/>
        <v>0.1114864864864864</v>
      </c>
      <c r="S43" s="8"/>
      <c r="T43" s="8"/>
      <c r="U43" s="8"/>
    </row>
    <row r="44" spans="1:21">
      <c r="A44" s="28">
        <v>37773</v>
      </c>
      <c r="B44" s="26">
        <v>36.188821419636312</v>
      </c>
      <c r="C44" s="8">
        <f t="shared" si="8"/>
        <v>-2.8584313367510217E-2</v>
      </c>
      <c r="E44" s="26">
        <f t="shared" si="6"/>
        <v>33.393899420884587</v>
      </c>
      <c r="F44" s="9">
        <v>42</v>
      </c>
      <c r="H44" s="17">
        <v>42.607336232747748</v>
      </c>
      <c r="I44" s="8">
        <f t="shared" si="9"/>
        <v>-0.17779130048540881</v>
      </c>
      <c r="K44" s="26">
        <f t="shared" si="7"/>
        <v>37.793450122914173</v>
      </c>
      <c r="L44" s="8">
        <f t="shared" si="4"/>
        <v>-7.5851184687001028E-2</v>
      </c>
      <c r="N44" s="271">
        <v>5.4109999999999996</v>
      </c>
      <c r="O44" s="8">
        <f t="shared" si="10"/>
        <v>-0.13437849944008973</v>
      </c>
      <c r="Q44" s="271">
        <v>28.33</v>
      </c>
      <c r="R44" s="8">
        <f t="shared" si="5"/>
        <v>7.6367781155015191E-2</v>
      </c>
      <c r="S44" s="8"/>
      <c r="T44" s="8"/>
      <c r="U44" s="8"/>
    </row>
    <row r="45" spans="1:21">
      <c r="A45" s="28">
        <v>37803</v>
      </c>
      <c r="B45" s="26">
        <v>34.472741724541535</v>
      </c>
      <c r="C45" s="8">
        <f t="shared" si="8"/>
        <v>-4.7420159811107254E-2</v>
      </c>
      <c r="E45" s="26">
        <f t="shared" si="6"/>
        <v>33.87798854064588</v>
      </c>
      <c r="F45" s="9">
        <v>43</v>
      </c>
      <c r="H45" s="17">
        <v>38.698074170673152</v>
      </c>
      <c r="I45" s="8">
        <f t="shared" si="9"/>
        <v>-9.1750914460359101E-2</v>
      </c>
      <c r="K45" s="26">
        <f t="shared" si="7"/>
        <v>35.529074836074443</v>
      </c>
      <c r="L45" s="8">
        <f t="shared" si="4"/>
        <v>-5.991448993080517E-2</v>
      </c>
      <c r="N45" s="271">
        <v>4.718</v>
      </c>
      <c r="O45" s="8">
        <f t="shared" si="10"/>
        <v>-0.12807244501940485</v>
      </c>
      <c r="Q45" s="271">
        <v>28.37</v>
      </c>
      <c r="R45" s="8">
        <f t="shared" si="5"/>
        <v>1.41193081539015E-3</v>
      </c>
      <c r="S45" s="8"/>
      <c r="T45" s="8"/>
      <c r="U45" s="8"/>
    </row>
    <row r="46" spans="1:21">
      <c r="A46" s="28">
        <v>37834</v>
      </c>
      <c r="B46" s="26">
        <v>34.518416766663591</v>
      </c>
      <c r="C46" s="8">
        <f t="shared" si="8"/>
        <v>1.3249611094767744E-3</v>
      </c>
      <c r="E46" s="26">
        <f t="shared" ref="E46:E77" si="11">AVERAGE(B35:B46)</f>
        <v>34.269417523134727</v>
      </c>
      <c r="F46" s="9">
        <v>44</v>
      </c>
      <c r="H46" s="17">
        <v>39.900367064477749</v>
      </c>
      <c r="I46" s="8">
        <f t="shared" si="9"/>
        <v>3.1068545904946898E-2</v>
      </c>
      <c r="K46" s="26">
        <f t="shared" si="7"/>
        <v>35.863904341117134</v>
      </c>
      <c r="L46" s="8">
        <f t="shared" si="4"/>
        <v>9.4240986174716213E-3</v>
      </c>
      <c r="N46" s="271">
        <v>4.7309999999999999</v>
      </c>
      <c r="O46" s="8">
        <f t="shared" si="10"/>
        <v>2.7554048325562075E-3</v>
      </c>
      <c r="Q46" s="271">
        <v>29.49</v>
      </c>
      <c r="R46" s="8">
        <f t="shared" si="5"/>
        <v>3.9478322171307534E-2</v>
      </c>
      <c r="S46" s="8"/>
      <c r="T46" s="8"/>
      <c r="U46" s="8"/>
    </row>
    <row r="47" spans="1:21">
      <c r="A47" s="28">
        <v>37865</v>
      </c>
      <c r="B47" s="26">
        <v>34.817786838697259</v>
      </c>
      <c r="C47" s="8">
        <f t="shared" si="8"/>
        <v>8.6727637034265115E-3</v>
      </c>
      <c r="E47" s="26">
        <f t="shared" si="11"/>
        <v>34.638600317068452</v>
      </c>
      <c r="F47" s="9">
        <v>45</v>
      </c>
      <c r="H47" s="17">
        <v>41.747550451269205</v>
      </c>
      <c r="I47" s="8">
        <f t="shared" si="9"/>
        <v>4.629489708218637E-2</v>
      </c>
      <c r="K47" s="26">
        <f t="shared" si="7"/>
        <v>36.550227741840246</v>
      </c>
      <c r="L47" s="8">
        <f t="shared" si="4"/>
        <v>1.9136884656929531E-2</v>
      </c>
      <c r="N47" s="271">
        <v>4.83</v>
      </c>
      <c r="O47" s="8">
        <f t="shared" si="10"/>
        <v>2.0925808497146425E-2</v>
      </c>
      <c r="Q47" s="271">
        <v>27.61</v>
      </c>
      <c r="R47" s="8">
        <f t="shared" si="5"/>
        <v>-6.3750423872499073E-2</v>
      </c>
      <c r="S47" s="8"/>
      <c r="T47" s="8"/>
      <c r="U47" s="8"/>
    </row>
    <row r="48" spans="1:21">
      <c r="A48" s="28">
        <v>37895</v>
      </c>
      <c r="B48" s="26">
        <v>33.822456790214275</v>
      </c>
      <c r="C48" s="8">
        <f t="shared" si="8"/>
        <v>-2.858682698857673E-2</v>
      </c>
      <c r="E48" s="26">
        <f t="shared" si="11"/>
        <v>34.882430532356807</v>
      </c>
      <c r="F48" s="9">
        <v>46</v>
      </c>
      <c r="H48" s="17">
        <v>45.355959143651845</v>
      </c>
      <c r="I48" s="8">
        <f t="shared" si="9"/>
        <v>8.643402195763894E-2</v>
      </c>
      <c r="K48" s="26">
        <f t="shared" si="7"/>
        <v>36.705832378573668</v>
      </c>
      <c r="L48" s="8">
        <f t="shared" si="4"/>
        <v>4.2572822755710948E-3</v>
      </c>
      <c r="N48" s="271">
        <v>4.8929999999999998</v>
      </c>
      <c r="O48" s="8">
        <f t="shared" si="10"/>
        <v>1.304347826086949E-2</v>
      </c>
      <c r="Q48" s="271">
        <v>27.7</v>
      </c>
      <c r="R48" s="8">
        <f t="shared" si="5"/>
        <v>3.2596885186526592E-3</v>
      </c>
      <c r="S48" s="8"/>
      <c r="T48" s="8"/>
      <c r="U48" s="8"/>
    </row>
    <row r="49" spans="1:21">
      <c r="A49" s="28">
        <v>37926</v>
      </c>
      <c r="B49" s="26">
        <v>32.004682867712901</v>
      </c>
      <c r="C49" s="8">
        <f t="shared" si="8"/>
        <v>-5.3744585550843382E-2</v>
      </c>
      <c r="E49" s="26">
        <f t="shared" si="11"/>
        <v>34.865066034128922</v>
      </c>
      <c r="F49" s="9">
        <v>47</v>
      </c>
      <c r="H49" s="17">
        <v>42.428159659914591</v>
      </c>
      <c r="I49" s="8">
        <f t="shared" si="9"/>
        <v>-6.4551594520673605E-2</v>
      </c>
      <c r="K49" s="26">
        <f t="shared" si="7"/>
        <v>34.610552065763322</v>
      </c>
      <c r="L49" s="8">
        <f t="shared" si="4"/>
        <v>-5.7083034957502443E-2</v>
      </c>
      <c r="N49" s="271">
        <v>4.9249999999999998</v>
      </c>
      <c r="O49" s="8">
        <f t="shared" si="10"/>
        <v>6.5399550378091309E-3</v>
      </c>
      <c r="Q49" s="271">
        <v>28.45</v>
      </c>
      <c r="R49" s="8">
        <f t="shared" si="5"/>
        <v>2.7075812274368172E-2</v>
      </c>
      <c r="S49" s="8"/>
      <c r="T49" s="8"/>
      <c r="U49" s="8"/>
    </row>
    <row r="50" spans="1:21">
      <c r="A50" s="28">
        <v>37956</v>
      </c>
      <c r="B50" s="26">
        <v>32.607570315788585</v>
      </c>
      <c r="C50" s="8">
        <f t="shared" si="8"/>
        <v>1.883747608334807E-2</v>
      </c>
      <c r="E50" s="26">
        <f t="shared" si="11"/>
        <v>34.78471534246318</v>
      </c>
      <c r="F50" s="9">
        <v>48</v>
      </c>
      <c r="H50" s="17">
        <v>41.748199858793996</v>
      </c>
      <c r="I50" s="8">
        <f t="shared" si="9"/>
        <v>-1.6026144112091023E-2</v>
      </c>
      <c r="K50" s="26">
        <f t="shared" si="7"/>
        <v>34.89272770153994</v>
      </c>
      <c r="L50" s="8">
        <f t="shared" si="4"/>
        <v>8.1528787879621145E-3</v>
      </c>
      <c r="N50" s="271">
        <v>6.1890000000000001</v>
      </c>
      <c r="O50" s="8">
        <f t="shared" si="10"/>
        <v>0.25664974619289338</v>
      </c>
      <c r="Q50" s="271">
        <v>30.17</v>
      </c>
      <c r="R50" s="8">
        <f t="shared" si="5"/>
        <v>6.0456942003515035E-2</v>
      </c>
      <c r="S50" s="8"/>
      <c r="T50" s="8"/>
      <c r="U50" s="8"/>
    </row>
    <row r="51" spans="1:21">
      <c r="A51" s="28">
        <v>37987</v>
      </c>
      <c r="B51" s="26">
        <v>35.617530792563031</v>
      </c>
      <c r="C51" s="8">
        <f t="shared" si="8"/>
        <v>9.2308640221409721E-2</v>
      </c>
      <c r="E51" s="26">
        <f t="shared" si="11"/>
        <v>34.970407598286009</v>
      </c>
      <c r="F51" s="9">
        <v>49</v>
      </c>
      <c r="H51" s="17">
        <v>43.681389689023597</v>
      </c>
      <c r="I51" s="8">
        <f t="shared" si="9"/>
        <v>4.6305944610025795E-2</v>
      </c>
      <c r="K51" s="26">
        <f t="shared" si="7"/>
        <v>37.633495516678174</v>
      </c>
      <c r="L51" s="8">
        <f t="shared" si="4"/>
        <v>7.8548396633871587E-2</v>
      </c>
      <c r="N51" s="271">
        <v>5.3970000000000002</v>
      </c>
      <c r="O51" s="8">
        <f t="shared" si="10"/>
        <v>-0.12796897721764422</v>
      </c>
      <c r="Q51" s="271">
        <v>29.18</v>
      </c>
      <c r="R51" s="8">
        <f t="shared" si="5"/>
        <v>-3.2814053695724321E-2</v>
      </c>
      <c r="S51" s="8"/>
      <c r="T51" s="8"/>
      <c r="U51" s="8"/>
    </row>
    <row r="52" spans="1:21">
      <c r="A52" s="28">
        <v>38018</v>
      </c>
      <c r="B52" s="26">
        <v>36.564115491414555</v>
      </c>
      <c r="C52" s="8">
        <f t="shared" si="8"/>
        <v>2.6576370618290435E-2</v>
      </c>
      <c r="E52" s="26">
        <f t="shared" si="11"/>
        <v>35.139187870544355</v>
      </c>
      <c r="F52" s="9">
        <v>50</v>
      </c>
      <c r="H52" s="17">
        <v>46.354415675465333</v>
      </c>
      <c r="I52" s="8">
        <f t="shared" si="9"/>
        <v>6.1193702981327647E-2</v>
      </c>
      <c r="K52" s="26">
        <f t="shared" si="7"/>
        <v>39.011690537427249</v>
      </c>
      <c r="L52" s="8">
        <f t="shared" si="4"/>
        <v>3.6621499061608498E-2</v>
      </c>
      <c r="N52" s="271">
        <v>5.4160000000000004</v>
      </c>
      <c r="O52" s="8">
        <f t="shared" si="10"/>
        <v>3.5204743375949477E-3</v>
      </c>
      <c r="Q52" s="271">
        <v>32.229999999999997</v>
      </c>
      <c r="R52" s="8">
        <f t="shared" si="5"/>
        <v>0.10452364633310474</v>
      </c>
      <c r="S52" s="8"/>
      <c r="T52" s="8"/>
      <c r="U52" s="8"/>
    </row>
    <row r="53" spans="1:21">
      <c r="A53" s="28">
        <v>38047</v>
      </c>
      <c r="B53" s="26">
        <v>35.350263306299318</v>
      </c>
      <c r="C53" s="8">
        <f t="shared" si="8"/>
        <v>-3.3197909174098705E-2</v>
      </c>
      <c r="E53" s="26">
        <f t="shared" si="11"/>
        <v>35.066802883609235</v>
      </c>
      <c r="F53" s="9">
        <v>51</v>
      </c>
      <c r="H53" s="17">
        <v>47.197912993091435</v>
      </c>
      <c r="I53" s="8">
        <f t="shared" si="9"/>
        <v>1.8196698315249282E-2</v>
      </c>
      <c r="K53" s="26">
        <f t="shared" si="7"/>
        <v>38.312175727997342</v>
      </c>
      <c r="L53" s="8">
        <f t="shared" si="4"/>
        <v>-1.7930902244772007E-2</v>
      </c>
      <c r="N53" s="271">
        <v>5.9329999999999998</v>
      </c>
      <c r="O53" s="8">
        <f t="shared" si="10"/>
        <v>9.5457902511078219E-2</v>
      </c>
      <c r="Q53" s="271">
        <v>31.51</v>
      </c>
      <c r="R53" s="8">
        <f t="shared" si="5"/>
        <v>-2.2339435308718403E-2</v>
      </c>
      <c r="S53" s="8"/>
      <c r="T53" s="8"/>
      <c r="U53" s="8"/>
    </row>
    <row r="54" spans="1:21">
      <c r="A54" s="28">
        <v>38078</v>
      </c>
      <c r="B54" s="26">
        <v>36.476797398807413</v>
      </c>
      <c r="C54" s="8">
        <f t="shared" si="8"/>
        <v>3.1867770905891657E-2</v>
      </c>
      <c r="E54" s="26">
        <f t="shared" si="11"/>
        <v>34.974573029718009</v>
      </c>
      <c r="F54" s="9">
        <v>52</v>
      </c>
      <c r="H54" s="17">
        <v>51.994253992845451</v>
      </c>
      <c r="I54" s="8">
        <f t="shared" si="9"/>
        <v>0.10162188740116695</v>
      </c>
      <c r="K54" s="26">
        <f t="shared" si="7"/>
        <v>40.356161547316923</v>
      </c>
      <c r="L54" s="8">
        <f t="shared" si="4"/>
        <v>5.3350815517008154E-2</v>
      </c>
      <c r="N54" s="271">
        <v>5.8620000000000001</v>
      </c>
      <c r="O54" s="8">
        <f t="shared" si="10"/>
        <v>-1.1966964436204264E-2</v>
      </c>
      <c r="Q54" s="271">
        <v>34.479999999999997</v>
      </c>
      <c r="R54" s="8">
        <f t="shared" si="5"/>
        <v>9.4255791812122958E-2</v>
      </c>
      <c r="S54" s="8"/>
      <c r="T54" s="8"/>
      <c r="U54" s="8"/>
    </row>
    <row r="55" spans="1:21">
      <c r="A55" s="28">
        <v>38108</v>
      </c>
      <c r="B55" s="26">
        <v>37.413786866524255</v>
      </c>
      <c r="C55" s="8">
        <f t="shared" si="8"/>
        <v>2.5687273404859656E-2</v>
      </c>
      <c r="E55" s="26">
        <f t="shared" si="11"/>
        <v>34.98791421490526</v>
      </c>
      <c r="F55" s="9">
        <v>53</v>
      </c>
      <c r="H55" s="17">
        <v>50.353134242836141</v>
      </c>
      <c r="I55" s="8">
        <f t="shared" si="9"/>
        <v>-3.1563482961696754E-2</v>
      </c>
      <c r="K55" s="26">
        <f t="shared" si="7"/>
        <v>40.64862371060223</v>
      </c>
      <c r="L55" s="8">
        <f t="shared" si="4"/>
        <v>7.2470262798012275E-3</v>
      </c>
      <c r="N55" s="271">
        <v>6.4420000000000002</v>
      </c>
      <c r="O55" s="8">
        <f t="shared" si="10"/>
        <v>9.894234049812356E-2</v>
      </c>
      <c r="Q55" s="271">
        <v>36.58</v>
      </c>
      <c r="R55" s="8">
        <f t="shared" si="5"/>
        <v>6.0904872389791143E-2</v>
      </c>
      <c r="S55" s="8"/>
      <c r="T55" s="8"/>
      <c r="U55" s="8"/>
    </row>
    <row r="56" spans="1:21">
      <c r="A56" s="28">
        <v>38139</v>
      </c>
      <c r="B56" s="26">
        <v>38.178207644442296</v>
      </c>
      <c r="C56" s="8">
        <f t="shared" si="8"/>
        <v>2.0431526502386665E-2</v>
      </c>
      <c r="E56" s="26">
        <f t="shared" si="11"/>
        <v>35.153696400305755</v>
      </c>
      <c r="F56" s="9">
        <v>54</v>
      </c>
      <c r="H56" s="17">
        <v>61.486382195338621</v>
      </c>
      <c r="I56" s="8">
        <f t="shared" si="9"/>
        <v>0.22110337558751736</v>
      </c>
      <c r="K56" s="26">
        <f t="shared" si="7"/>
        <v>44.005251282166377</v>
      </c>
      <c r="L56" s="8">
        <f t="shared" si="4"/>
        <v>8.2576659801858243E-2</v>
      </c>
      <c r="N56" s="271">
        <v>6.1550000000000002</v>
      </c>
      <c r="O56" s="8">
        <f t="shared" si="10"/>
        <v>-4.4551381558522229E-2</v>
      </c>
      <c r="Q56" s="271">
        <v>34.5</v>
      </c>
      <c r="R56" s="8">
        <f t="shared" si="5"/>
        <v>-5.6861673045379924E-2</v>
      </c>
      <c r="S56" s="8"/>
      <c r="T56" s="8"/>
      <c r="U56" s="8"/>
    </row>
    <row r="57" spans="1:21">
      <c r="A57" s="28">
        <v>38169</v>
      </c>
      <c r="B57" s="26">
        <v>37.595747824740904</v>
      </c>
      <c r="C57" s="8">
        <f t="shared" si="8"/>
        <v>-1.525634270539622E-2</v>
      </c>
      <c r="E57" s="26">
        <f t="shared" si="11"/>
        <v>35.413946908655703</v>
      </c>
      <c r="F57" s="9">
        <v>55</v>
      </c>
      <c r="H57" s="17">
        <v>63.958907463825241</v>
      </c>
      <c r="I57" s="8">
        <f t="shared" si="9"/>
        <v>4.0212567079187522E-2</v>
      </c>
      <c r="K57" s="26">
        <f t="shared" si="7"/>
        <v>44.186537734511987</v>
      </c>
      <c r="L57" s="8">
        <f t="shared" si="4"/>
        <v>4.1196549744297872E-3</v>
      </c>
      <c r="N57" s="271">
        <v>6.1120000000000001</v>
      </c>
      <c r="O57" s="8">
        <f t="shared" si="10"/>
        <v>-6.9861900893583018E-3</v>
      </c>
      <c r="Q57" s="271">
        <v>40.03</v>
      </c>
      <c r="R57" s="8">
        <f t="shared" si="5"/>
        <v>0.16028985507246385</v>
      </c>
      <c r="S57" s="8"/>
      <c r="T57" s="8"/>
      <c r="U57" s="8"/>
    </row>
    <row r="58" spans="1:21">
      <c r="A58" s="28">
        <v>38200</v>
      </c>
      <c r="B58" s="26">
        <v>38.193624895472468</v>
      </c>
      <c r="C58" s="8">
        <f t="shared" si="8"/>
        <v>1.5902784365898759E-2</v>
      </c>
      <c r="E58" s="26">
        <f t="shared" si="11"/>
        <v>35.720214252723103</v>
      </c>
      <c r="F58" s="9">
        <v>56</v>
      </c>
      <c r="H58" s="17">
        <v>56.902754810679198</v>
      </c>
      <c r="I58" s="8">
        <f t="shared" si="9"/>
        <v>-0.11032322053244825</v>
      </c>
      <c r="K58" s="26">
        <f t="shared" si="7"/>
        <v>42.870907374274154</v>
      </c>
      <c r="L58" s="8">
        <f t="shared" si="4"/>
        <v>-2.9774461356139592E-2</v>
      </c>
      <c r="N58" s="271">
        <v>5.0739999999999998</v>
      </c>
      <c r="O58" s="8">
        <f t="shared" si="10"/>
        <v>-0.16982984293193726</v>
      </c>
      <c r="Q58" s="271">
        <v>39.61</v>
      </c>
      <c r="R58" s="8">
        <f t="shared" si="5"/>
        <v>-1.049213090182366E-2</v>
      </c>
      <c r="S58" s="8"/>
      <c r="T58" s="8"/>
      <c r="U58" s="8"/>
    </row>
    <row r="59" spans="1:21">
      <c r="A59" s="28">
        <v>38231</v>
      </c>
      <c r="B59" s="26">
        <v>39.509374624425959</v>
      </c>
      <c r="C59" s="8">
        <f t="shared" si="8"/>
        <v>3.4449459368007362E-2</v>
      </c>
      <c r="E59" s="26">
        <f t="shared" si="11"/>
        <v>36.111179901533831</v>
      </c>
      <c r="F59" s="9">
        <v>57</v>
      </c>
      <c r="H59" s="17">
        <v>59.181240336238538</v>
      </c>
      <c r="I59" s="8">
        <f t="shared" si="9"/>
        <v>4.0041743728226775E-2</v>
      </c>
      <c r="K59" s="26">
        <f t="shared" si="7"/>
        <v>44.427341052379106</v>
      </c>
      <c r="L59" s="8">
        <f t="shared" si="4"/>
        <v>3.6305125630229362E-2</v>
      </c>
      <c r="N59" s="271">
        <v>6.7949999999999999</v>
      </c>
      <c r="O59" s="8">
        <f t="shared" si="10"/>
        <v>0.339180134016555</v>
      </c>
      <c r="Q59" s="271">
        <v>46.38</v>
      </c>
      <c r="R59" s="8">
        <f t="shared" si="5"/>
        <v>0.17091643524362543</v>
      </c>
      <c r="S59" s="8"/>
      <c r="T59" s="8"/>
      <c r="U59" s="8"/>
    </row>
    <row r="60" spans="1:21">
      <c r="A60" s="28">
        <v>38261</v>
      </c>
      <c r="B60" s="26">
        <v>43.362454630375417</v>
      </c>
      <c r="C60" s="8">
        <f t="shared" si="8"/>
        <v>9.7523183866528695E-2</v>
      </c>
      <c r="E60" s="26">
        <f t="shared" si="11"/>
        <v>36.906179721547254</v>
      </c>
      <c r="F60" s="9">
        <v>58</v>
      </c>
      <c r="H60" s="17">
        <v>61.530055960694959</v>
      </c>
      <c r="I60" s="8">
        <f t="shared" si="9"/>
        <v>3.9688516345916636E-2</v>
      </c>
      <c r="K60" s="26">
        <f t="shared" si="7"/>
        <v>47.904354962955303</v>
      </c>
      <c r="L60" s="8">
        <f t="shared" si="4"/>
        <v>7.826293062366374E-2</v>
      </c>
      <c r="N60" s="271">
        <v>8.7249999999999996</v>
      </c>
      <c r="O60" s="8">
        <f t="shared" si="10"/>
        <v>0.28403237674760851</v>
      </c>
      <c r="Q60" s="271">
        <v>48.98</v>
      </c>
      <c r="R60" s="8">
        <f t="shared" si="5"/>
        <v>5.6058645968089627E-2</v>
      </c>
      <c r="S60" s="8"/>
      <c r="T60" s="8"/>
      <c r="U60" s="8"/>
    </row>
    <row r="61" spans="1:21">
      <c r="A61" s="28">
        <v>38292</v>
      </c>
      <c r="B61" s="26">
        <v>45.479894667430976</v>
      </c>
      <c r="C61" s="8">
        <f t="shared" si="8"/>
        <v>4.88311848373153E-2</v>
      </c>
      <c r="E61" s="26">
        <f t="shared" si="11"/>
        <v>38.029114038190428</v>
      </c>
      <c r="F61" s="9">
        <v>59</v>
      </c>
      <c r="H61" s="17">
        <v>64.446034191631441</v>
      </c>
      <c r="I61" s="8">
        <f t="shared" si="9"/>
        <v>4.7391119435990614E-2</v>
      </c>
      <c r="K61" s="26">
        <f t="shared" si="7"/>
        <v>50.22142954848109</v>
      </c>
      <c r="L61" s="8">
        <f t="shared" si="4"/>
        <v>4.8368767042528571E-2</v>
      </c>
      <c r="N61" s="271">
        <v>7.62</v>
      </c>
      <c r="O61" s="8">
        <f t="shared" si="10"/>
        <v>-0.12664756446991399</v>
      </c>
      <c r="Q61" s="271">
        <v>45.51</v>
      </c>
      <c r="R61" s="8">
        <f t="shared" si="5"/>
        <v>-7.0845242956308674E-2</v>
      </c>
      <c r="S61" s="8"/>
      <c r="T61" s="8"/>
      <c r="U61" s="8"/>
    </row>
    <row r="62" spans="1:21">
      <c r="A62" s="28">
        <v>38322</v>
      </c>
      <c r="B62" s="26">
        <v>49.020519036895799</v>
      </c>
      <c r="C62" s="8">
        <f t="shared" si="8"/>
        <v>7.7850320352661928E-2</v>
      </c>
      <c r="E62" s="26">
        <f t="shared" si="11"/>
        <v>39.396859764949362</v>
      </c>
      <c r="F62" s="9">
        <v>60</v>
      </c>
      <c r="H62" s="17">
        <v>72.164888457967237</v>
      </c>
      <c r="I62" s="8">
        <f t="shared" si="9"/>
        <v>0.11977237021883536</v>
      </c>
      <c r="K62" s="26">
        <f t="shared" si="7"/>
        <v>54.80661139216366</v>
      </c>
      <c r="L62" s="8">
        <f t="shared" si="4"/>
        <v>9.1299309575731513E-2</v>
      </c>
      <c r="N62" s="271">
        <v>6.149</v>
      </c>
      <c r="O62" s="8">
        <f t="shared" si="10"/>
        <v>-0.19304461942257223</v>
      </c>
      <c r="Q62" s="271">
        <v>40.46</v>
      </c>
      <c r="R62" s="8">
        <f t="shared" si="5"/>
        <v>-0.11096462315974509</v>
      </c>
      <c r="S62" s="8"/>
      <c r="T62" s="8"/>
      <c r="U62" s="8"/>
    </row>
    <row r="63" spans="1:21">
      <c r="A63" s="28">
        <v>38353</v>
      </c>
      <c r="B63" s="26">
        <v>45.004455339338413</v>
      </c>
      <c r="C63" s="8">
        <f t="shared" si="8"/>
        <v>-8.1926176557507557E-2</v>
      </c>
      <c r="E63" s="26">
        <f t="shared" si="11"/>
        <v>40.179103477180639</v>
      </c>
      <c r="F63" s="9">
        <v>61</v>
      </c>
      <c r="H63" s="17">
        <v>69.986720731878293</v>
      </c>
      <c r="I63" s="8">
        <f t="shared" si="9"/>
        <v>-3.0183206440589583E-2</v>
      </c>
      <c r="K63" s="26">
        <f t="shared" si="7"/>
        <v>51.250021687473378</v>
      </c>
      <c r="L63" s="8">
        <f t="shared" si="4"/>
        <v>-6.4893442859319195E-2</v>
      </c>
      <c r="N63" s="271">
        <v>6.3209999999999997</v>
      </c>
      <c r="O63" s="8">
        <f t="shared" si="10"/>
        <v>2.7972027972027913E-2</v>
      </c>
      <c r="Q63" s="271">
        <v>45.92</v>
      </c>
      <c r="R63" s="8">
        <f t="shared" si="5"/>
        <v>0.13494809688581322</v>
      </c>
      <c r="S63" s="8"/>
      <c r="T63" s="8"/>
      <c r="U63" s="8"/>
    </row>
    <row r="64" spans="1:21">
      <c r="A64" s="28">
        <v>38384</v>
      </c>
      <c r="B64" s="26">
        <v>39.288308318792765</v>
      </c>
      <c r="C64" s="8">
        <f t="shared" si="8"/>
        <v>-0.12701291410917626</v>
      </c>
      <c r="E64" s="26">
        <f t="shared" si="11"/>
        <v>40.406119546128828</v>
      </c>
      <c r="F64" s="9">
        <v>62</v>
      </c>
      <c r="H64" s="17">
        <v>64.210466089506795</v>
      </c>
      <c r="I64" s="8">
        <f t="shared" si="9"/>
        <v>-8.2533580398780781E-2</v>
      </c>
      <c r="K64" s="26">
        <f t="shared" si="7"/>
        <v>45.518847761471278</v>
      </c>
      <c r="L64" s="8">
        <f t="shared" si="4"/>
        <v>-0.11182773659982514</v>
      </c>
      <c r="N64" s="271">
        <v>6.73</v>
      </c>
      <c r="O64" s="8">
        <f t="shared" si="10"/>
        <v>6.4704951748141282E-2</v>
      </c>
      <c r="Q64" s="271">
        <v>50.06</v>
      </c>
      <c r="R64" s="8">
        <f t="shared" si="5"/>
        <v>9.0156794425087172E-2</v>
      </c>
      <c r="S64" s="8"/>
      <c r="T64" s="8"/>
      <c r="U64" s="8"/>
    </row>
    <row r="65" spans="1:21">
      <c r="A65" s="28">
        <v>38412</v>
      </c>
      <c r="B65" s="26">
        <v>37.391755713509461</v>
      </c>
      <c r="C65" s="8">
        <f t="shared" si="8"/>
        <v>-4.8272697055172675E-2</v>
      </c>
      <c r="E65" s="26">
        <f t="shared" si="11"/>
        <v>40.57624391339634</v>
      </c>
      <c r="F65" s="9">
        <v>63</v>
      </c>
      <c r="H65" s="17">
        <v>61.862602804061922</v>
      </c>
      <c r="I65" s="8">
        <f t="shared" si="9"/>
        <v>-3.6565118249913486E-2</v>
      </c>
      <c r="K65" s="26">
        <f t="shared" si="7"/>
        <v>43.509467486147571</v>
      </c>
      <c r="L65" s="8">
        <f t="shared" si="4"/>
        <v>-4.414391783055005E-2</v>
      </c>
      <c r="N65" s="271">
        <v>7.6529999999999996</v>
      </c>
      <c r="O65" s="8">
        <f t="shared" si="10"/>
        <v>0.13714710252600293</v>
      </c>
      <c r="Q65" s="271">
        <v>54.29</v>
      </c>
      <c r="R65" s="8">
        <f t="shared" si="5"/>
        <v>8.4498601677986285E-2</v>
      </c>
      <c r="S65" s="8"/>
      <c r="T65" s="8"/>
      <c r="U65" s="8"/>
    </row>
    <row r="66" spans="1:21">
      <c r="A66" s="28">
        <v>38443</v>
      </c>
      <c r="B66" s="26">
        <v>41.638402373986295</v>
      </c>
      <c r="C66" s="8">
        <f t="shared" si="8"/>
        <v>0.11357173739083182</v>
      </c>
      <c r="E66" s="26">
        <f t="shared" si="11"/>
        <v>41.00637766132791</v>
      </c>
      <c r="F66" s="9">
        <v>64</v>
      </c>
      <c r="H66" s="17">
        <v>66.941412306542787</v>
      </c>
      <c r="I66" s="8">
        <f t="shared" si="9"/>
        <v>8.2098218831287095E-2</v>
      </c>
      <c r="K66" s="26">
        <f t="shared" si="7"/>
        <v>47.964154857125422</v>
      </c>
      <c r="L66" s="8">
        <f t="shared" si="4"/>
        <v>0.10238432296134459</v>
      </c>
      <c r="N66" s="271">
        <v>6.585</v>
      </c>
      <c r="O66" s="8">
        <f t="shared" si="10"/>
        <v>-0.1395531164249314</v>
      </c>
      <c r="Q66" s="271">
        <v>51.09</v>
      </c>
      <c r="R66" s="8">
        <f t="shared" si="5"/>
        <v>-5.8942715048811878E-2</v>
      </c>
      <c r="S66" s="8"/>
      <c r="T66" s="8"/>
      <c r="U66" s="8"/>
    </row>
    <row r="67" spans="1:21">
      <c r="A67" s="28">
        <v>38473</v>
      </c>
      <c r="B67" s="26">
        <v>46.421994385080538</v>
      </c>
      <c r="C67" s="8">
        <f t="shared" si="8"/>
        <v>0.11488413912064033</v>
      </c>
      <c r="E67" s="26">
        <f t="shared" si="11"/>
        <v>41.757061621207605</v>
      </c>
      <c r="F67" s="9">
        <v>65</v>
      </c>
      <c r="H67" s="17">
        <v>74.074351262593098</v>
      </c>
      <c r="I67" s="8">
        <f t="shared" si="9"/>
        <v>0.1065549517148916</v>
      </c>
      <c r="K67" s="26">
        <f t="shared" ref="K67:K98" si="12">0.75*B67+0.25*H67</f>
        <v>53.335083604458674</v>
      </c>
      <c r="L67" s="8">
        <f t="shared" si="4"/>
        <v>0.11197797111889196</v>
      </c>
      <c r="N67" s="271">
        <v>6.3789999999999996</v>
      </c>
      <c r="O67" s="8">
        <f t="shared" si="10"/>
        <v>-3.128321943811696E-2</v>
      </c>
      <c r="Q67" s="271">
        <v>50.73</v>
      </c>
      <c r="R67" s="8">
        <f t="shared" si="5"/>
        <v>-7.0463887257781188E-3</v>
      </c>
      <c r="S67" s="8"/>
      <c r="T67" s="8"/>
      <c r="U67" s="8"/>
    </row>
    <row r="68" spans="1:21">
      <c r="A68" s="28">
        <v>38504</v>
      </c>
      <c r="B68" s="26">
        <v>52.600153720765512</v>
      </c>
      <c r="C68" s="8">
        <f t="shared" ref="C68:C99" si="13">B68/B67-1</f>
        <v>0.13308690024034298</v>
      </c>
      <c r="E68" s="26">
        <f t="shared" si="11"/>
        <v>42.958890460901209</v>
      </c>
      <c r="F68" s="9">
        <v>66</v>
      </c>
      <c r="H68" s="17">
        <v>80.272265787944079</v>
      </c>
      <c r="I68" s="8">
        <f t="shared" ref="I68:I99" si="14">H68/H67-1</f>
        <v>8.3671532989596065E-2</v>
      </c>
      <c r="K68" s="26">
        <f t="shared" si="12"/>
        <v>59.518181737560155</v>
      </c>
      <c r="L68" s="8">
        <f t="shared" si="4"/>
        <v>0.11592928547663495</v>
      </c>
      <c r="N68" s="271">
        <v>6.9809999999999999</v>
      </c>
      <c r="O68" s="8">
        <f t="shared" ref="O68:O99" si="15">N68/N67-1</f>
        <v>9.4372158645555704E-2</v>
      </c>
      <c r="Q68" s="271">
        <v>55.58</v>
      </c>
      <c r="R68" s="8">
        <f t="shared" si="5"/>
        <v>9.5604178986792965E-2</v>
      </c>
      <c r="S68" s="8"/>
      <c r="T68" s="8"/>
      <c r="U68" s="8"/>
    </row>
    <row r="69" spans="1:21">
      <c r="A69" s="28">
        <v>38534</v>
      </c>
      <c r="B69" s="26">
        <v>54.323968949933104</v>
      </c>
      <c r="C69" s="8">
        <f t="shared" si="13"/>
        <v>3.2772056871139155E-2</v>
      </c>
      <c r="E69" s="26">
        <f t="shared" si="11"/>
        <v>44.352908888000563</v>
      </c>
      <c r="F69" s="9">
        <v>67</v>
      </c>
      <c r="H69" s="17">
        <v>77.597661377307617</v>
      </c>
      <c r="I69" s="8">
        <f t="shared" si="14"/>
        <v>-3.33191592934724E-2</v>
      </c>
      <c r="K69" s="26">
        <f t="shared" si="12"/>
        <v>60.142392056776735</v>
      </c>
      <c r="L69" s="8">
        <f t="shared" ref="L69:L132" si="16">K69/K68-1</f>
        <v>1.0487724943765597E-2</v>
      </c>
      <c r="N69" s="271">
        <v>7.8849999999999998</v>
      </c>
      <c r="O69" s="8">
        <f t="shared" si="15"/>
        <v>0.12949434178484465</v>
      </c>
      <c r="Q69" s="271">
        <v>59.37</v>
      </c>
      <c r="R69" s="8">
        <f t="shared" ref="R69:R132" si="17">Q69/Q68-1</f>
        <v>6.8189996401583297E-2</v>
      </c>
      <c r="S69" s="8"/>
      <c r="T69" s="8"/>
      <c r="U69" s="8"/>
    </row>
    <row r="70" spans="1:21">
      <c r="A70" s="28">
        <v>38565</v>
      </c>
      <c r="B70" s="26">
        <v>53.712884742603912</v>
      </c>
      <c r="C70" s="8">
        <f t="shared" si="13"/>
        <v>-1.1248887353801251E-2</v>
      </c>
      <c r="E70" s="26">
        <f t="shared" si="11"/>
        <v>45.646180541928175</v>
      </c>
      <c r="F70" s="9">
        <v>68</v>
      </c>
      <c r="H70" s="17">
        <v>78.051639979126548</v>
      </c>
      <c r="I70" s="8">
        <f t="shared" si="14"/>
        <v>5.8504160275079098E-3</v>
      </c>
      <c r="K70" s="26">
        <f t="shared" si="12"/>
        <v>59.797573551734573</v>
      </c>
      <c r="L70" s="8">
        <f t="shared" si="16"/>
        <v>-5.7333686481348956E-3</v>
      </c>
      <c r="N70" s="271">
        <v>11.472</v>
      </c>
      <c r="O70" s="8">
        <f t="shared" si="15"/>
        <v>0.45491439441978443</v>
      </c>
      <c r="Q70" s="271">
        <v>67.02</v>
      </c>
      <c r="R70" s="8">
        <f t="shared" si="17"/>
        <v>0.1288529560384033</v>
      </c>
      <c r="S70" s="8"/>
      <c r="T70" s="8"/>
      <c r="U70" s="8"/>
    </row>
    <row r="71" spans="1:21">
      <c r="A71" s="28">
        <v>38596</v>
      </c>
      <c r="B71" s="26">
        <v>56.878153775790707</v>
      </c>
      <c r="C71" s="8">
        <f t="shared" si="13"/>
        <v>5.8929417929329153E-2</v>
      </c>
      <c r="E71" s="26">
        <f t="shared" si="11"/>
        <v>47.093578804541913</v>
      </c>
      <c r="F71" s="9">
        <v>69</v>
      </c>
      <c r="H71" s="17">
        <v>82.660953138093291</v>
      </c>
      <c r="I71" s="8">
        <f t="shared" si="14"/>
        <v>5.905466124990344E-2</v>
      </c>
      <c r="K71" s="26">
        <f t="shared" si="12"/>
        <v>63.32385361636635</v>
      </c>
      <c r="L71" s="8">
        <f t="shared" si="16"/>
        <v>5.8970286839163721E-2</v>
      </c>
      <c r="N71" s="271">
        <v>13.920999999999999</v>
      </c>
      <c r="O71" s="8">
        <f t="shared" si="15"/>
        <v>0.21347629009762903</v>
      </c>
      <c r="Q71" s="271">
        <v>63.48</v>
      </c>
      <c r="R71" s="8">
        <f t="shared" si="17"/>
        <v>-5.2820053715308846E-2</v>
      </c>
      <c r="S71" s="8"/>
      <c r="T71" s="8"/>
      <c r="U71" s="8"/>
    </row>
    <row r="72" spans="1:21">
      <c r="A72" s="28">
        <v>38626</v>
      </c>
      <c r="B72" s="26">
        <v>59.422485032633929</v>
      </c>
      <c r="C72" s="8">
        <f t="shared" si="13"/>
        <v>4.4733014135317717E-2</v>
      </c>
      <c r="E72" s="26">
        <f t="shared" si="11"/>
        <v>48.43191467139679</v>
      </c>
      <c r="F72" s="9">
        <v>70</v>
      </c>
      <c r="H72" s="17">
        <v>92.766212870935107</v>
      </c>
      <c r="I72" s="8">
        <f t="shared" si="14"/>
        <v>0.12224949446155042</v>
      </c>
      <c r="K72" s="26">
        <f t="shared" si="12"/>
        <v>67.75841699220922</v>
      </c>
      <c r="L72" s="8">
        <f t="shared" si="16"/>
        <v>7.0029903781736014E-2</v>
      </c>
      <c r="N72" s="271">
        <v>12.205</v>
      </c>
      <c r="O72" s="8">
        <f t="shared" si="15"/>
        <v>-0.12326700668055446</v>
      </c>
      <c r="Q72" s="271">
        <v>58.1</v>
      </c>
      <c r="R72" s="8">
        <f t="shared" si="17"/>
        <v>-8.4751102709514692E-2</v>
      </c>
      <c r="S72" s="8"/>
      <c r="T72" s="8"/>
      <c r="U72" s="8"/>
    </row>
    <row r="73" spans="1:21">
      <c r="A73" s="28">
        <v>38657</v>
      </c>
      <c r="B73" s="26">
        <v>61.619331573599645</v>
      </c>
      <c r="C73" s="8">
        <f t="shared" si="13"/>
        <v>3.6969954046170317E-2</v>
      </c>
      <c r="E73" s="26">
        <f t="shared" si="11"/>
        <v>49.776867746910845</v>
      </c>
      <c r="F73" s="9">
        <v>71</v>
      </c>
      <c r="H73" s="17">
        <v>96.624913036683367</v>
      </c>
      <c r="I73" s="8">
        <f t="shared" si="14"/>
        <v>4.1595965237007482E-2</v>
      </c>
      <c r="K73" s="26">
        <f t="shared" si="12"/>
        <v>70.37072693937057</v>
      </c>
      <c r="L73" s="8">
        <f t="shared" si="16"/>
        <v>3.8553290692456832E-2</v>
      </c>
      <c r="N73" s="271">
        <v>12.587</v>
      </c>
      <c r="O73" s="8">
        <f t="shared" si="15"/>
        <v>3.1298648095043013E-2</v>
      </c>
      <c r="Q73" s="271">
        <v>55.05</v>
      </c>
      <c r="R73" s="8">
        <f t="shared" si="17"/>
        <v>-5.2495697074010361E-2</v>
      </c>
      <c r="S73" s="8"/>
      <c r="T73" s="8"/>
      <c r="U73" s="8"/>
    </row>
    <row r="74" spans="1:21">
      <c r="A74" s="28">
        <v>38687</v>
      </c>
      <c r="B74" s="26">
        <v>62.326448671223268</v>
      </c>
      <c r="C74" s="8">
        <f t="shared" si="13"/>
        <v>1.1475572349872509E-2</v>
      </c>
      <c r="E74" s="26">
        <f t="shared" si="11"/>
        <v>50.88569521643813</v>
      </c>
      <c r="F74" s="9">
        <v>72</v>
      </c>
      <c r="H74" s="17">
        <v>101.82258420560746</v>
      </c>
      <c r="I74" s="8">
        <f t="shared" si="14"/>
        <v>5.3792246798202159E-2</v>
      </c>
      <c r="K74" s="26">
        <f t="shared" si="12"/>
        <v>72.200482554819317</v>
      </c>
      <c r="L74" s="8">
        <f t="shared" si="16"/>
        <v>2.600165857353165E-2</v>
      </c>
      <c r="N74" s="271">
        <v>11.225</v>
      </c>
      <c r="O74" s="8">
        <f t="shared" si="15"/>
        <v>-0.10820688011440371</v>
      </c>
      <c r="Q74" s="271">
        <v>58.98</v>
      </c>
      <c r="R74" s="8">
        <f t="shared" si="17"/>
        <v>7.1389645776566812E-2</v>
      </c>
      <c r="S74" s="8"/>
      <c r="T74" s="8"/>
      <c r="U74" s="8"/>
    </row>
    <row r="75" spans="1:21">
      <c r="A75" s="28">
        <v>38718</v>
      </c>
      <c r="B75" s="17">
        <v>57.081999999999994</v>
      </c>
      <c r="C75" s="8">
        <f t="shared" si="13"/>
        <v>-8.414483390331029E-2</v>
      </c>
      <c r="D75" s="17"/>
      <c r="E75" s="26">
        <f t="shared" si="11"/>
        <v>51.892157271493268</v>
      </c>
      <c r="F75" s="9">
        <v>73</v>
      </c>
      <c r="H75" s="13">
        <v>90.007999999999996</v>
      </c>
      <c r="I75" s="8">
        <f t="shared" si="14"/>
        <v>-0.1160310779556587</v>
      </c>
      <c r="K75" s="26">
        <f t="shared" si="12"/>
        <v>65.313499999999991</v>
      </c>
      <c r="L75" s="8">
        <f t="shared" si="16"/>
        <v>-9.5386932484700204E-2</v>
      </c>
      <c r="N75" s="271">
        <v>9.3160000000000007</v>
      </c>
      <c r="O75" s="8">
        <f t="shared" si="15"/>
        <v>-0.17006681514476607</v>
      </c>
      <c r="Q75" s="271">
        <v>65.989999999999995</v>
      </c>
      <c r="R75" s="8">
        <f t="shared" si="17"/>
        <v>0.11885384876229232</v>
      </c>
      <c r="S75" s="8"/>
      <c r="T75" s="8"/>
      <c r="U75" s="8"/>
    </row>
    <row r="76" spans="1:21">
      <c r="A76" s="28">
        <v>38749</v>
      </c>
      <c r="B76" s="17">
        <v>55.318999999999996</v>
      </c>
      <c r="C76" s="8">
        <f t="shared" si="13"/>
        <v>-3.0885392943484802E-2</v>
      </c>
      <c r="D76" s="17"/>
      <c r="E76" s="26">
        <f t="shared" si="11"/>
        <v>53.228048244927201</v>
      </c>
      <c r="F76" s="9">
        <v>74</v>
      </c>
      <c r="H76" s="13">
        <v>86.28083333333332</v>
      </c>
      <c r="I76" s="8">
        <f t="shared" si="14"/>
        <v>-4.1409282137884196E-2</v>
      </c>
      <c r="K76" s="26">
        <f t="shared" si="12"/>
        <v>63.059458333333325</v>
      </c>
      <c r="L76" s="8">
        <f t="shared" si="16"/>
        <v>-3.451111434338483E-2</v>
      </c>
      <c r="N76" s="271">
        <v>6.7140000000000004</v>
      </c>
      <c r="O76" s="8">
        <f t="shared" si="15"/>
        <v>-0.27930442249892662</v>
      </c>
      <c r="Q76" s="271">
        <v>61.76</v>
      </c>
      <c r="R76" s="8">
        <f t="shared" si="17"/>
        <v>-6.4100621306258487E-2</v>
      </c>
      <c r="S76" s="8"/>
      <c r="T76" s="8"/>
      <c r="U76" s="8"/>
    </row>
    <row r="77" spans="1:21">
      <c r="A77" s="28">
        <v>38777</v>
      </c>
      <c r="B77" s="17">
        <v>57.161333333333339</v>
      </c>
      <c r="C77" s="8">
        <f t="shared" si="13"/>
        <v>3.3303807612815595E-2</v>
      </c>
      <c r="D77" s="17"/>
      <c r="E77" s="26">
        <f t="shared" si="11"/>
        <v>54.875513046579186</v>
      </c>
      <c r="F77" s="9">
        <v>75</v>
      </c>
      <c r="H77" s="13">
        <v>87.555999999999997</v>
      </c>
      <c r="I77" s="8">
        <f t="shared" si="14"/>
        <v>1.4779257656683198E-2</v>
      </c>
      <c r="K77" s="26">
        <f t="shared" si="12"/>
        <v>64.760000000000005</v>
      </c>
      <c r="L77" s="8">
        <f t="shared" si="16"/>
        <v>2.6967273611479436E-2</v>
      </c>
      <c r="N77" s="271">
        <v>7.21</v>
      </c>
      <c r="O77" s="8">
        <f t="shared" si="15"/>
        <v>7.3875484063151475E-2</v>
      </c>
      <c r="Q77" s="271">
        <v>65.91</v>
      </c>
      <c r="R77" s="8">
        <f t="shared" si="17"/>
        <v>6.7195595854922185E-2</v>
      </c>
      <c r="S77" s="8"/>
      <c r="T77" s="8"/>
      <c r="U77" s="8"/>
    </row>
    <row r="78" spans="1:21">
      <c r="A78" s="28">
        <v>38808</v>
      </c>
      <c r="B78" s="17">
        <v>58.935000000000002</v>
      </c>
      <c r="C78" s="8">
        <f t="shared" si="13"/>
        <v>3.1029133913367923E-2</v>
      </c>
      <c r="D78" s="17"/>
      <c r="E78" s="26">
        <f t="shared" ref="E78:E109" si="18">AVERAGE(B67:B78)</f>
        <v>56.316896182080335</v>
      </c>
      <c r="F78" s="9">
        <v>76</v>
      </c>
      <c r="H78" s="13">
        <v>89.617500000000007</v>
      </c>
      <c r="I78" s="8">
        <f t="shared" si="14"/>
        <v>2.3544931244003919E-2</v>
      </c>
      <c r="K78" s="26">
        <f t="shared" si="12"/>
        <v>66.605625000000003</v>
      </c>
      <c r="L78" s="8">
        <f t="shared" si="16"/>
        <v>2.8499459542927763E-2</v>
      </c>
      <c r="N78" s="271">
        <v>6.5549999999999997</v>
      </c>
      <c r="O78" s="8">
        <f t="shared" si="15"/>
        <v>-9.0846047156726839E-2</v>
      </c>
      <c r="Q78" s="271">
        <v>72.5</v>
      </c>
      <c r="R78" s="8">
        <f t="shared" si="17"/>
        <v>9.9984827795478681E-2</v>
      </c>
      <c r="S78" s="8"/>
      <c r="T78" s="8"/>
      <c r="U78" s="8"/>
    </row>
    <row r="79" spans="1:21">
      <c r="A79" s="28">
        <v>38838</v>
      </c>
      <c r="B79" s="17">
        <v>60.218333333333334</v>
      </c>
      <c r="C79" s="8">
        <f t="shared" si="13"/>
        <v>2.1775402279347267E-2</v>
      </c>
      <c r="D79" s="17"/>
      <c r="E79" s="26">
        <f t="shared" si="18"/>
        <v>57.466591094434733</v>
      </c>
      <c r="F79" s="9">
        <v>77</v>
      </c>
      <c r="H79" s="13">
        <v>91.654166666666654</v>
      </c>
      <c r="I79" s="8">
        <f t="shared" si="14"/>
        <v>2.2726216047832759E-2</v>
      </c>
      <c r="K79" s="26">
        <f t="shared" si="12"/>
        <v>68.077291666666667</v>
      </c>
      <c r="L79" s="8">
        <f t="shared" si="16"/>
        <v>2.2095230945834654E-2</v>
      </c>
      <c r="N79" s="271">
        <v>6.3840000000000003</v>
      </c>
      <c r="O79" s="8">
        <f t="shared" si="15"/>
        <v>-2.6086956521739091E-2</v>
      </c>
      <c r="Q79" s="271">
        <v>70.41</v>
      </c>
      <c r="R79" s="8">
        <f t="shared" si="17"/>
        <v>-2.8827586206896627E-2</v>
      </c>
      <c r="S79" s="8"/>
      <c r="T79" s="8"/>
      <c r="U79" s="8"/>
    </row>
    <row r="80" spans="1:21">
      <c r="A80" s="28">
        <v>38869</v>
      </c>
      <c r="B80" s="17">
        <v>61.663333333333334</v>
      </c>
      <c r="C80" s="8">
        <f t="shared" si="13"/>
        <v>2.3996014502781549E-2</v>
      </c>
      <c r="D80" s="17"/>
      <c r="E80" s="26">
        <f t="shared" si="18"/>
        <v>58.22185606214871</v>
      </c>
      <c r="F80" s="9">
        <v>78</v>
      </c>
      <c r="H80" s="13">
        <v>98.166999999999987</v>
      </c>
      <c r="I80" s="8">
        <f t="shared" si="14"/>
        <v>7.1058780742828676E-2</v>
      </c>
      <c r="K80" s="26">
        <f t="shared" si="12"/>
        <v>70.789249999999996</v>
      </c>
      <c r="L80" s="8">
        <f t="shared" si="16"/>
        <v>3.9836460395812345E-2</v>
      </c>
      <c r="N80" s="271">
        <v>6.1040000000000001</v>
      </c>
      <c r="O80" s="8">
        <f t="shared" si="15"/>
        <v>-4.3859649122807043E-2</v>
      </c>
      <c r="Q80" s="271">
        <v>73.510000000000005</v>
      </c>
      <c r="R80" s="8">
        <f t="shared" si="17"/>
        <v>4.4027836954978028E-2</v>
      </c>
      <c r="S80" s="8"/>
      <c r="T80" s="8"/>
      <c r="U80" s="8"/>
    </row>
    <row r="81" spans="1:21">
      <c r="A81" s="28">
        <v>38899</v>
      </c>
      <c r="B81" s="17">
        <v>64.512999999999991</v>
      </c>
      <c r="C81" s="8">
        <f t="shared" si="13"/>
        <v>4.6213308827504074E-2</v>
      </c>
      <c r="D81" s="17"/>
      <c r="E81" s="26">
        <f t="shared" si="18"/>
        <v>59.070941982987627</v>
      </c>
      <c r="F81" s="9">
        <v>79</v>
      </c>
      <c r="H81" s="13">
        <v>104.54533333333332</v>
      </c>
      <c r="I81" s="8">
        <f t="shared" si="14"/>
        <v>6.4974312481112184E-2</v>
      </c>
      <c r="K81" s="26">
        <f t="shared" si="12"/>
        <v>74.521083333333323</v>
      </c>
      <c r="L81" s="8">
        <f t="shared" si="16"/>
        <v>5.2717514782729458E-2</v>
      </c>
      <c r="N81" s="271">
        <v>8.2110000000000003</v>
      </c>
      <c r="O81" s="8">
        <f t="shared" si="15"/>
        <v>0.34518348623853212</v>
      </c>
      <c r="Q81" s="271">
        <v>75.150000000000006</v>
      </c>
      <c r="R81" s="8">
        <f t="shared" si="17"/>
        <v>2.2309889810909977E-2</v>
      </c>
      <c r="S81" s="8"/>
      <c r="T81" s="8"/>
      <c r="U81" s="8"/>
    </row>
    <row r="82" spans="1:21">
      <c r="A82" s="28">
        <v>38930</v>
      </c>
      <c r="B82" s="17">
        <v>63.005333333333333</v>
      </c>
      <c r="C82" s="8">
        <f t="shared" si="13"/>
        <v>-2.3369966776721873E-2</v>
      </c>
      <c r="D82" s="17"/>
      <c r="E82" s="26">
        <f t="shared" si="18"/>
        <v>59.845312698881742</v>
      </c>
      <c r="F82" s="9">
        <v>80</v>
      </c>
      <c r="H82" s="13">
        <v>104.03449999999999</v>
      </c>
      <c r="I82" s="8">
        <f t="shared" si="14"/>
        <v>-4.8862375492608745E-3</v>
      </c>
      <c r="K82" s="26">
        <f t="shared" si="12"/>
        <v>73.262625</v>
      </c>
      <c r="L82" s="8">
        <f t="shared" si="16"/>
        <v>-1.6887279103340869E-2</v>
      </c>
      <c r="N82" s="271">
        <v>6.048</v>
      </c>
      <c r="O82" s="8">
        <f t="shared" si="15"/>
        <v>-0.26342710997442453</v>
      </c>
      <c r="Q82" s="271">
        <v>70.25</v>
      </c>
      <c r="R82" s="8">
        <f t="shared" si="17"/>
        <v>-6.5202927478376638E-2</v>
      </c>
      <c r="S82" s="8"/>
      <c r="T82" s="8"/>
      <c r="U82" s="8"/>
    </row>
    <row r="83" spans="1:21">
      <c r="A83" s="28">
        <v>38961</v>
      </c>
      <c r="B83" s="17">
        <v>62.796333333333337</v>
      </c>
      <c r="C83" s="8">
        <f t="shared" si="13"/>
        <v>-3.3171794980318969E-3</v>
      </c>
      <c r="D83" s="17"/>
      <c r="E83" s="26">
        <f t="shared" si="18"/>
        <v>60.338494328676951</v>
      </c>
      <c r="F83" s="9">
        <v>81</v>
      </c>
      <c r="H83" s="13">
        <v>103.3845</v>
      </c>
      <c r="I83" s="8">
        <f t="shared" si="14"/>
        <v>-6.2479273702472637E-3</v>
      </c>
      <c r="K83" s="26">
        <f t="shared" si="12"/>
        <v>72.943375000000003</v>
      </c>
      <c r="L83" s="8">
        <f t="shared" si="16"/>
        <v>-4.3576107189715607E-3</v>
      </c>
      <c r="N83" s="271">
        <v>5.62</v>
      </c>
      <c r="O83" s="8">
        <f t="shared" si="15"/>
        <v>-7.0767195767195701E-2</v>
      </c>
      <c r="Q83" s="271">
        <v>62.48</v>
      </c>
      <c r="R83" s="8">
        <f t="shared" si="17"/>
        <v>-0.11060498220640569</v>
      </c>
      <c r="S83" s="8"/>
      <c r="T83" s="8"/>
      <c r="U83" s="8"/>
    </row>
    <row r="84" spans="1:21">
      <c r="A84" s="28">
        <v>38991</v>
      </c>
      <c r="B84" s="17">
        <v>61.220000000000006</v>
      </c>
      <c r="C84" s="8">
        <f t="shared" si="13"/>
        <v>-2.5102314890996791E-2</v>
      </c>
      <c r="D84" s="17"/>
      <c r="E84" s="26">
        <f t="shared" si="18"/>
        <v>60.488287242624125</v>
      </c>
      <c r="F84" s="9">
        <v>82</v>
      </c>
      <c r="H84" s="13">
        <v>102.70649999999999</v>
      </c>
      <c r="I84" s="8">
        <f t="shared" si="14"/>
        <v>-6.5580430335302475E-3</v>
      </c>
      <c r="K84" s="26">
        <f t="shared" si="12"/>
        <v>71.591625000000008</v>
      </c>
      <c r="L84" s="8">
        <f t="shared" si="16"/>
        <v>-1.8531497891343784E-2</v>
      </c>
      <c r="N84" s="271">
        <v>7.5339999999999998</v>
      </c>
      <c r="O84" s="8">
        <f t="shared" si="15"/>
        <v>0.34056939501779349</v>
      </c>
      <c r="Q84" s="271">
        <v>59.03</v>
      </c>
      <c r="R84" s="8">
        <f t="shared" si="17"/>
        <v>-5.5217669654289314E-2</v>
      </c>
      <c r="S84" s="8"/>
      <c r="T84" s="8"/>
      <c r="U84" s="8"/>
    </row>
    <row r="85" spans="1:21">
      <c r="A85" s="28">
        <v>39022</v>
      </c>
      <c r="B85" s="17">
        <v>56.190333333333335</v>
      </c>
      <c r="C85" s="8">
        <f t="shared" si="13"/>
        <v>-8.2157247087008667E-2</v>
      </c>
      <c r="D85" s="17"/>
      <c r="E85" s="26">
        <f t="shared" si="18"/>
        <v>60.035870722601942</v>
      </c>
      <c r="F85" s="9">
        <v>83</v>
      </c>
      <c r="H85" s="13">
        <v>97.537833333333325</v>
      </c>
      <c r="I85" s="8">
        <f t="shared" si="14"/>
        <v>-5.0324630541072501E-2</v>
      </c>
      <c r="K85" s="26">
        <f t="shared" si="12"/>
        <v>66.527208333333334</v>
      </c>
      <c r="L85" s="8">
        <f t="shared" si="16"/>
        <v>-7.0740350797550366E-2</v>
      </c>
      <c r="N85" s="271">
        <v>8.8439999999999994</v>
      </c>
      <c r="O85" s="8">
        <f t="shared" si="15"/>
        <v>0.17387841783912927</v>
      </c>
      <c r="Q85" s="271">
        <v>64.260000000000005</v>
      </c>
      <c r="R85" s="8">
        <f t="shared" si="17"/>
        <v>8.859901744875498E-2</v>
      </c>
      <c r="S85" s="8"/>
      <c r="T85" s="8"/>
      <c r="U85" s="8"/>
    </row>
    <row r="86" spans="1:21">
      <c r="A86" s="28">
        <v>39052</v>
      </c>
      <c r="B86" s="17">
        <v>53.509666666666668</v>
      </c>
      <c r="C86" s="8">
        <f t="shared" si="13"/>
        <v>-4.7706900949748166E-2</v>
      </c>
      <c r="D86" s="17"/>
      <c r="E86" s="26">
        <f t="shared" si="18"/>
        <v>59.301138888888893</v>
      </c>
      <c r="F86" s="9">
        <v>84</v>
      </c>
      <c r="H86" s="13">
        <v>92.529999999999987</v>
      </c>
      <c r="I86" s="8">
        <f t="shared" si="14"/>
        <v>-5.1342470528530026E-2</v>
      </c>
      <c r="K86" s="26">
        <f t="shared" si="12"/>
        <v>63.264749999999992</v>
      </c>
      <c r="L86" s="8">
        <f t="shared" si="16"/>
        <v>-4.9039459419172649E-2</v>
      </c>
      <c r="N86" s="271">
        <v>6.2990000000000004</v>
      </c>
      <c r="O86" s="8">
        <f t="shared" si="15"/>
        <v>-0.28776571687019437</v>
      </c>
      <c r="Q86" s="271">
        <v>60.86</v>
      </c>
      <c r="R86" s="8">
        <f t="shared" si="17"/>
        <v>-5.2910052910053018E-2</v>
      </c>
      <c r="S86" s="8"/>
      <c r="T86" s="8"/>
      <c r="U86" s="8"/>
    </row>
    <row r="87" spans="1:21">
      <c r="A87" s="28">
        <v>39083</v>
      </c>
      <c r="B87" s="13">
        <v>51.97</v>
      </c>
      <c r="C87" s="8">
        <f t="shared" si="13"/>
        <v>-2.8773617228039838E-2</v>
      </c>
      <c r="D87" s="13"/>
      <c r="E87" s="26">
        <f t="shared" si="18"/>
        <v>58.875138888888898</v>
      </c>
      <c r="F87" s="9">
        <v>85</v>
      </c>
      <c r="H87" s="13">
        <v>90.790333333333351</v>
      </c>
      <c r="I87" s="8">
        <f t="shared" si="14"/>
        <v>-1.8801109550055539E-2</v>
      </c>
      <c r="K87" s="26">
        <f t="shared" si="12"/>
        <v>61.675083333333333</v>
      </c>
      <c r="L87" s="8">
        <f t="shared" si="16"/>
        <v>-2.5127210123594201E-2</v>
      </c>
      <c r="N87" s="271">
        <v>7.6669999999999998</v>
      </c>
      <c r="O87" s="8">
        <f t="shared" si="15"/>
        <v>0.21717732973487847</v>
      </c>
      <c r="Q87" s="271">
        <v>57.4</v>
      </c>
      <c r="R87" s="8">
        <f t="shared" si="17"/>
        <v>-5.6851790995727902E-2</v>
      </c>
      <c r="S87" s="8"/>
      <c r="T87" s="8"/>
      <c r="U87" s="8"/>
    </row>
    <row r="88" spans="1:21">
      <c r="A88" s="28">
        <v>39114</v>
      </c>
      <c r="B88" s="13">
        <v>53.693999999999996</v>
      </c>
      <c r="C88" s="8">
        <f t="shared" si="13"/>
        <v>3.3172984414084894E-2</v>
      </c>
      <c r="D88" s="13"/>
      <c r="E88" s="26">
        <f t="shared" si="18"/>
        <v>58.73972222222222</v>
      </c>
      <c r="F88" s="9">
        <v>86</v>
      </c>
      <c r="H88" s="13">
        <v>93.126500000000007</v>
      </c>
      <c r="I88" s="8">
        <f t="shared" si="14"/>
        <v>2.5731447180499911E-2</v>
      </c>
      <c r="K88" s="26">
        <f t="shared" si="12"/>
        <v>63.552125000000004</v>
      </c>
      <c r="L88" s="8">
        <f t="shared" si="16"/>
        <v>3.0434359634698538E-2</v>
      </c>
      <c r="N88" s="271">
        <v>7.3</v>
      </c>
      <c r="O88" s="8">
        <f t="shared" si="15"/>
        <v>-4.7867484022433793E-2</v>
      </c>
      <c r="Q88" s="271">
        <v>61.89</v>
      </c>
      <c r="R88" s="8">
        <f t="shared" si="17"/>
        <v>7.8222996515679544E-2</v>
      </c>
      <c r="S88" s="8"/>
      <c r="T88" s="8"/>
      <c r="U88" s="8"/>
    </row>
    <row r="89" spans="1:21">
      <c r="A89" s="28">
        <v>39142</v>
      </c>
      <c r="B89" s="13">
        <v>51.983000000000004</v>
      </c>
      <c r="C89" s="8">
        <f t="shared" si="13"/>
        <v>-3.1865757812790885E-2</v>
      </c>
      <c r="D89" s="13"/>
      <c r="E89" s="26">
        <f t="shared" si="18"/>
        <v>58.308194444444439</v>
      </c>
      <c r="F89" s="9">
        <v>87</v>
      </c>
      <c r="H89" s="13">
        <v>90.973333333333315</v>
      </c>
      <c r="I89" s="8">
        <f t="shared" si="14"/>
        <v>-2.312088037955573E-2</v>
      </c>
      <c r="K89" s="26">
        <f t="shared" si="12"/>
        <v>61.730583333333328</v>
      </c>
      <c r="L89" s="8">
        <f t="shared" si="16"/>
        <v>-2.8662167735015509E-2</v>
      </c>
      <c r="N89" s="271">
        <v>7.73</v>
      </c>
      <c r="O89" s="8">
        <f t="shared" si="15"/>
        <v>5.8904109589041243E-2</v>
      </c>
      <c r="Q89" s="271">
        <v>68.099999999999994</v>
      </c>
      <c r="R89" s="8">
        <f t="shared" si="17"/>
        <v>0.10033931168201637</v>
      </c>
      <c r="S89" s="8"/>
      <c r="T89" s="8"/>
      <c r="U89" s="8"/>
    </row>
    <row r="90" spans="1:21">
      <c r="A90" s="28">
        <v>39173</v>
      </c>
      <c r="B90" s="13">
        <v>54.507333333333328</v>
      </c>
      <c r="C90" s="8">
        <f t="shared" si="13"/>
        <v>4.8560747423837203E-2</v>
      </c>
      <c r="D90" s="13"/>
      <c r="E90" s="26">
        <f t="shared" si="18"/>
        <v>57.93922222222222</v>
      </c>
      <c r="F90" s="9">
        <v>88</v>
      </c>
      <c r="H90" s="13">
        <v>92.374166666666667</v>
      </c>
      <c r="I90" s="8">
        <f t="shared" si="14"/>
        <v>1.5398285211783991E-2</v>
      </c>
      <c r="K90" s="26">
        <f t="shared" si="12"/>
        <v>63.974041666666665</v>
      </c>
      <c r="L90" s="8">
        <f t="shared" si="16"/>
        <v>3.6342736649985774E-2</v>
      </c>
      <c r="N90" s="271">
        <v>7.8630000000000004</v>
      </c>
      <c r="O90" s="8">
        <f t="shared" si="15"/>
        <v>1.7205692108667625E-2</v>
      </c>
      <c r="Q90" s="271">
        <v>67.650000000000006</v>
      </c>
      <c r="R90" s="8">
        <f t="shared" si="17"/>
        <v>-6.6079295154183315E-3</v>
      </c>
      <c r="S90" s="8"/>
      <c r="T90" s="8"/>
      <c r="U90" s="8"/>
    </row>
    <row r="91" spans="1:21">
      <c r="A91" s="28">
        <v>39203</v>
      </c>
      <c r="B91" s="13">
        <v>55.861666666666672</v>
      </c>
      <c r="C91" s="8">
        <f t="shared" si="13"/>
        <v>2.4846809603600972E-2</v>
      </c>
      <c r="D91" s="13"/>
      <c r="E91" s="26">
        <f t="shared" si="18"/>
        <v>57.576166666666673</v>
      </c>
      <c r="F91" s="9">
        <v>89</v>
      </c>
      <c r="H91" s="13">
        <v>95.243166666666653</v>
      </c>
      <c r="I91" s="8">
        <f t="shared" si="14"/>
        <v>3.1058466923472361E-2</v>
      </c>
      <c r="K91" s="26">
        <f t="shared" si="12"/>
        <v>65.707041666666669</v>
      </c>
      <c r="L91" s="8">
        <f t="shared" si="16"/>
        <v>2.7089112315737518E-2</v>
      </c>
      <c r="N91" s="271">
        <v>7.9349999999999996</v>
      </c>
      <c r="O91" s="8">
        <f t="shared" si="15"/>
        <v>9.1568103777184273E-3</v>
      </c>
      <c r="Q91" s="271">
        <v>68.040000000000006</v>
      </c>
      <c r="R91" s="8">
        <f t="shared" si="17"/>
        <v>5.7649667405765825E-3</v>
      </c>
      <c r="S91" s="8"/>
      <c r="T91" s="8"/>
      <c r="U91" s="8"/>
    </row>
    <row r="92" spans="1:21">
      <c r="A92" s="28">
        <v>39234</v>
      </c>
      <c r="B92" s="13">
        <v>58.802999999999997</v>
      </c>
      <c r="C92" s="8">
        <f t="shared" si="13"/>
        <v>5.2653877136975114E-2</v>
      </c>
      <c r="D92" s="13"/>
      <c r="E92" s="26">
        <f t="shared" si="18"/>
        <v>57.337805555555555</v>
      </c>
      <c r="F92" s="9">
        <v>90</v>
      </c>
      <c r="H92" s="13">
        <v>97.282666666666671</v>
      </c>
      <c r="I92" s="8">
        <f t="shared" si="14"/>
        <v>2.141360972528239E-2</v>
      </c>
      <c r="K92" s="26">
        <f t="shared" si="12"/>
        <v>68.422916666666666</v>
      </c>
      <c r="L92" s="8">
        <f t="shared" si="16"/>
        <v>4.1333088982725696E-2</v>
      </c>
      <c r="N92" s="271">
        <v>6.7729999999999997</v>
      </c>
      <c r="O92" s="8">
        <f t="shared" si="15"/>
        <v>-0.14643982356647767</v>
      </c>
      <c r="Q92" s="271">
        <v>71.41</v>
      </c>
      <c r="R92" s="8">
        <f t="shared" si="17"/>
        <v>4.9529688418577189E-2</v>
      </c>
      <c r="S92" s="8"/>
      <c r="T92" s="8"/>
      <c r="U92" s="8"/>
    </row>
    <row r="93" spans="1:21">
      <c r="A93" s="28">
        <v>39264</v>
      </c>
      <c r="B93" s="13">
        <v>64.310333333333332</v>
      </c>
      <c r="C93" s="8">
        <f t="shared" si="13"/>
        <v>9.365735308289258E-2</v>
      </c>
      <c r="D93" s="13"/>
      <c r="E93" s="26">
        <f t="shared" si="18"/>
        <v>57.320916666666676</v>
      </c>
      <c r="F93" s="9">
        <v>91</v>
      </c>
      <c r="H93" s="13">
        <v>99.950333333333333</v>
      </c>
      <c r="I93" s="8">
        <f t="shared" si="14"/>
        <v>2.7421808612702492E-2</v>
      </c>
      <c r="K93" s="26">
        <f t="shared" si="12"/>
        <v>73.220333333333329</v>
      </c>
      <c r="L93" s="8">
        <f t="shared" si="16"/>
        <v>7.0114179581646008E-2</v>
      </c>
      <c r="N93" s="271">
        <v>6.1909999999999998</v>
      </c>
      <c r="O93" s="8">
        <f t="shared" si="15"/>
        <v>-8.59294256607116E-2</v>
      </c>
      <c r="Q93" s="271">
        <v>77.05</v>
      </c>
      <c r="R93" s="8">
        <f t="shared" si="17"/>
        <v>7.898053493908419E-2</v>
      </c>
      <c r="S93" s="8"/>
      <c r="T93" s="8"/>
      <c r="U93" s="8"/>
    </row>
    <row r="94" spans="1:21">
      <c r="A94" s="28">
        <v>39295</v>
      </c>
      <c r="B94" s="13">
        <v>65.918333333333337</v>
      </c>
      <c r="C94" s="8">
        <f t="shared" si="13"/>
        <v>2.5003757820153405E-2</v>
      </c>
      <c r="D94" s="13"/>
      <c r="E94" s="26">
        <f t="shared" si="18"/>
        <v>57.56366666666667</v>
      </c>
      <c r="F94" s="9">
        <v>92</v>
      </c>
      <c r="H94" s="13">
        <v>103.20633333333332</v>
      </c>
      <c r="I94" s="8">
        <f t="shared" si="14"/>
        <v>3.2576179502486147E-2</v>
      </c>
      <c r="K94" s="26">
        <f t="shared" si="12"/>
        <v>75.240333333333325</v>
      </c>
      <c r="L94" s="8">
        <f t="shared" si="16"/>
        <v>2.7587965091663946E-2</v>
      </c>
      <c r="N94" s="271">
        <v>5.468</v>
      </c>
      <c r="O94" s="8">
        <f t="shared" si="15"/>
        <v>-0.11678242610240674</v>
      </c>
      <c r="Q94" s="271">
        <v>72.69</v>
      </c>
      <c r="R94" s="8">
        <f t="shared" si="17"/>
        <v>-5.658663205710579E-2</v>
      </c>
      <c r="S94" s="8"/>
      <c r="T94" s="8"/>
      <c r="U94" s="8"/>
    </row>
    <row r="95" spans="1:21">
      <c r="A95" s="28">
        <v>39326</v>
      </c>
      <c r="B95" s="13">
        <v>68.705333333333328</v>
      </c>
      <c r="C95" s="8">
        <f t="shared" si="13"/>
        <v>4.2279588379560362E-2</v>
      </c>
      <c r="D95" s="13"/>
      <c r="E95" s="26">
        <f t="shared" si="18"/>
        <v>58.056083333333333</v>
      </c>
      <c r="F95" s="9">
        <v>93</v>
      </c>
      <c r="H95" s="13">
        <v>104.04083333333334</v>
      </c>
      <c r="I95" s="8">
        <f t="shared" si="14"/>
        <v>8.085744091932634E-3</v>
      </c>
      <c r="K95" s="26">
        <f t="shared" si="12"/>
        <v>77.539208333333335</v>
      </c>
      <c r="L95" s="8">
        <f t="shared" si="16"/>
        <v>3.0553758843882672E-2</v>
      </c>
      <c r="N95" s="271">
        <v>6.87</v>
      </c>
      <c r="O95" s="8">
        <f t="shared" si="15"/>
        <v>0.25640087783467447</v>
      </c>
      <c r="Q95" s="271">
        <v>79.17</v>
      </c>
      <c r="R95" s="8">
        <f t="shared" si="17"/>
        <v>8.9145687164671861E-2</v>
      </c>
      <c r="S95" s="8"/>
      <c r="T95" s="8"/>
      <c r="U95" s="8"/>
    </row>
    <row r="96" spans="1:21">
      <c r="A96" s="28">
        <v>39356</v>
      </c>
      <c r="B96" s="13">
        <v>68.547333333333327</v>
      </c>
      <c r="C96" s="8">
        <f t="shared" si="13"/>
        <v>-2.2996759106522768E-3</v>
      </c>
      <c r="D96" s="13"/>
      <c r="E96" s="26">
        <f t="shared" si="18"/>
        <v>58.666694444444438</v>
      </c>
      <c r="F96" s="9">
        <v>94</v>
      </c>
      <c r="H96" s="13">
        <v>103.128</v>
      </c>
      <c r="I96" s="8">
        <f t="shared" si="14"/>
        <v>-8.7737987488887281E-3</v>
      </c>
      <c r="K96" s="26">
        <f t="shared" si="12"/>
        <v>77.192499999999995</v>
      </c>
      <c r="L96" s="8">
        <f t="shared" si="16"/>
        <v>-4.4713937733652509E-3</v>
      </c>
      <c r="N96" s="271">
        <v>8.33</v>
      </c>
      <c r="O96" s="8">
        <f t="shared" si="15"/>
        <v>0.21251819505094605</v>
      </c>
      <c r="Q96" s="271">
        <v>90.63</v>
      </c>
      <c r="R96" s="8">
        <f t="shared" si="17"/>
        <v>0.14475179992421361</v>
      </c>
      <c r="S96" s="8"/>
      <c r="T96" s="8"/>
      <c r="U96" s="8"/>
    </row>
    <row r="97" spans="1:21">
      <c r="A97" s="28">
        <v>39387</v>
      </c>
      <c r="B97" s="13">
        <v>69.667333333333332</v>
      </c>
      <c r="C97" s="8">
        <f t="shared" si="13"/>
        <v>1.6339074702638623E-2</v>
      </c>
      <c r="D97" s="13"/>
      <c r="E97" s="26">
        <f t="shared" si="18"/>
        <v>59.789777777777779</v>
      </c>
      <c r="F97" s="9">
        <v>95</v>
      </c>
      <c r="H97" s="13">
        <v>104.56833333333334</v>
      </c>
      <c r="I97" s="8">
        <f t="shared" si="14"/>
        <v>1.3966462389781054E-2</v>
      </c>
      <c r="K97" s="26">
        <f t="shared" si="12"/>
        <v>78.392583333333334</v>
      </c>
      <c r="L97" s="8">
        <f t="shared" si="16"/>
        <v>1.5546631257354449E-2</v>
      </c>
      <c r="N97" s="271">
        <v>7.3019999999999996</v>
      </c>
      <c r="O97" s="8">
        <f t="shared" si="15"/>
        <v>-0.12340936374549827</v>
      </c>
      <c r="Q97" s="271">
        <v>88.26</v>
      </c>
      <c r="R97" s="8">
        <f t="shared" si="17"/>
        <v>-2.615028136378672E-2</v>
      </c>
      <c r="S97" s="8"/>
      <c r="T97" s="8"/>
      <c r="U97" s="8"/>
    </row>
    <row r="98" spans="1:21">
      <c r="A98" s="28">
        <v>39417</v>
      </c>
      <c r="B98" s="13">
        <v>71.063000000000002</v>
      </c>
      <c r="C98" s="8">
        <f t="shared" si="13"/>
        <v>2.0033301116735736E-2</v>
      </c>
      <c r="D98" s="13"/>
      <c r="E98" s="26">
        <f t="shared" si="18"/>
        <v>61.252555555555546</v>
      </c>
      <c r="F98" s="9">
        <v>96</v>
      </c>
      <c r="H98" s="13">
        <v>109.24333333333334</v>
      </c>
      <c r="I98" s="8">
        <f t="shared" si="14"/>
        <v>4.4707607465612531E-2</v>
      </c>
      <c r="K98" s="26">
        <f t="shared" si="12"/>
        <v>80.60808333333334</v>
      </c>
      <c r="L98" s="8">
        <f t="shared" si="16"/>
        <v>2.8261602128602847E-2</v>
      </c>
      <c r="N98" s="271">
        <v>7.4829999999999997</v>
      </c>
      <c r="O98" s="8">
        <f t="shared" si="15"/>
        <v>2.4787729389208479E-2</v>
      </c>
      <c r="Q98" s="271">
        <v>93.85</v>
      </c>
      <c r="R98" s="8">
        <f t="shared" si="17"/>
        <v>6.333559936551092E-2</v>
      </c>
      <c r="S98" s="8"/>
      <c r="T98" s="8"/>
      <c r="U98" s="8"/>
    </row>
    <row r="99" spans="1:21">
      <c r="A99" s="28">
        <v>39448</v>
      </c>
      <c r="B99" s="13">
        <v>82.3</v>
      </c>
      <c r="C99" s="8">
        <f t="shared" si="13"/>
        <v>0.15812729549836058</v>
      </c>
      <c r="D99" s="13"/>
      <c r="E99" s="26">
        <f t="shared" si="18"/>
        <v>63.780055555555549</v>
      </c>
      <c r="F99" s="9">
        <v>97</v>
      </c>
      <c r="H99" s="13">
        <v>119.03</v>
      </c>
      <c r="I99" s="8">
        <f t="shared" si="14"/>
        <v>8.9585939645439705E-2</v>
      </c>
      <c r="K99" s="26">
        <f t="shared" ref="K99:K130" si="19">0.75*B99+0.25*H99</f>
        <v>91.482499999999987</v>
      </c>
      <c r="L99" s="8">
        <f t="shared" si="16"/>
        <v>0.13490479139292244</v>
      </c>
      <c r="N99" s="271">
        <v>8.0739999999999998</v>
      </c>
      <c r="O99" s="8">
        <f t="shared" si="15"/>
        <v>7.8979019109982618E-2</v>
      </c>
      <c r="Q99" s="271">
        <v>92.21</v>
      </c>
      <c r="R99" s="8">
        <f t="shared" si="17"/>
        <v>-1.7474693660095908E-2</v>
      </c>
      <c r="S99" s="8"/>
      <c r="T99" s="8"/>
      <c r="U99" s="8"/>
    </row>
    <row r="100" spans="1:21">
      <c r="A100" s="28">
        <v>39479</v>
      </c>
      <c r="B100" s="13">
        <v>92.08</v>
      </c>
      <c r="C100" s="8">
        <f t="shared" ref="C100:C131" si="20">B100/B99-1</f>
        <v>0.11883353584447143</v>
      </c>
      <c r="D100" s="13"/>
      <c r="E100" s="26">
        <f t="shared" si="18"/>
        <v>66.978888888888889</v>
      </c>
      <c r="F100" s="9">
        <v>98</v>
      </c>
      <c r="H100" s="13">
        <v>117.34</v>
      </c>
      <c r="I100" s="8">
        <f t="shared" ref="I100:I131" si="21">H100/H99-1</f>
        <v>-1.4198101318995238E-2</v>
      </c>
      <c r="K100" s="26">
        <f t="shared" si="19"/>
        <v>98.39500000000001</v>
      </c>
      <c r="L100" s="8">
        <f t="shared" si="16"/>
        <v>7.5560899625611633E-2</v>
      </c>
      <c r="N100" s="271">
        <v>9.3659999999999997</v>
      </c>
      <c r="O100" s="8">
        <f t="shared" ref="O100:O131" si="22">N100/N99-1</f>
        <v>0.16001981669556598</v>
      </c>
      <c r="Q100" s="271">
        <v>100.1</v>
      </c>
      <c r="R100" s="8">
        <f t="shared" si="17"/>
        <v>8.5565556881032512E-2</v>
      </c>
      <c r="S100" s="8"/>
      <c r="T100" s="8"/>
      <c r="U100" s="8"/>
    </row>
    <row r="101" spans="1:21">
      <c r="A101" s="28">
        <v>39508</v>
      </c>
      <c r="B101" s="13">
        <v>91.69</v>
      </c>
      <c r="C101" s="8">
        <f t="shared" si="20"/>
        <v>-4.2354474370113193E-3</v>
      </c>
      <c r="D101" s="13"/>
      <c r="E101" s="26">
        <f t="shared" si="18"/>
        <v>70.287805555555551</v>
      </c>
      <c r="F101" s="9">
        <v>99</v>
      </c>
      <c r="H101" s="13">
        <v>117.82</v>
      </c>
      <c r="I101" s="8">
        <f t="shared" si="21"/>
        <v>4.090676666098414E-3</v>
      </c>
      <c r="K101" s="26">
        <f t="shared" si="19"/>
        <v>98.222499999999997</v>
      </c>
      <c r="L101" s="8">
        <f t="shared" si="16"/>
        <v>-1.7531378626963745E-3</v>
      </c>
      <c r="N101" s="271">
        <v>10.101000000000001</v>
      </c>
      <c r="O101" s="8">
        <f t="shared" si="22"/>
        <v>7.8475336322870071E-2</v>
      </c>
      <c r="Q101" s="271">
        <v>100.3</v>
      </c>
      <c r="R101" s="8">
        <f t="shared" si="17"/>
        <v>1.9980019980019303E-3</v>
      </c>
      <c r="S101" s="8"/>
      <c r="T101" s="8"/>
      <c r="U101" s="8"/>
    </row>
    <row r="102" spans="1:21">
      <c r="A102" s="28">
        <v>39539</v>
      </c>
      <c r="B102" s="13">
        <v>90.39</v>
      </c>
      <c r="C102" s="8">
        <f t="shared" si="20"/>
        <v>-1.4178209183116963E-2</v>
      </c>
      <c r="D102" s="13"/>
      <c r="E102" s="26">
        <f t="shared" si="18"/>
        <v>73.27802777777778</v>
      </c>
      <c r="F102" s="9">
        <v>100</v>
      </c>
      <c r="H102" s="13">
        <v>122.47</v>
      </c>
      <c r="I102" s="8">
        <f t="shared" si="21"/>
        <v>3.9466983534204747E-2</v>
      </c>
      <c r="K102" s="26">
        <f t="shared" si="19"/>
        <v>98.41</v>
      </c>
      <c r="L102" s="8">
        <f t="shared" si="16"/>
        <v>1.9089312530224944E-3</v>
      </c>
      <c r="N102" s="271">
        <v>10.843</v>
      </c>
      <c r="O102" s="8">
        <f t="shared" si="22"/>
        <v>7.3458073458073425E-2</v>
      </c>
      <c r="Q102" s="271">
        <v>111.36</v>
      </c>
      <c r="R102" s="8">
        <f t="shared" si="17"/>
        <v>0.11026919242273192</v>
      </c>
      <c r="S102" s="8"/>
      <c r="T102" s="8"/>
      <c r="U102" s="8"/>
    </row>
    <row r="103" spans="1:21">
      <c r="A103" s="28">
        <v>39569</v>
      </c>
      <c r="B103" s="13">
        <v>98.47</v>
      </c>
      <c r="C103" s="8">
        <f t="shared" si="20"/>
        <v>8.9390419294169687E-2</v>
      </c>
      <c r="D103" s="13"/>
      <c r="E103" s="26">
        <f t="shared" si="18"/>
        <v>76.828722222222225</v>
      </c>
      <c r="F103" s="9">
        <v>101</v>
      </c>
      <c r="H103" s="13">
        <v>136.30000000000001</v>
      </c>
      <c r="I103" s="8">
        <f t="shared" si="21"/>
        <v>0.11292561443618854</v>
      </c>
      <c r="K103" s="26">
        <f t="shared" si="19"/>
        <v>107.92749999999999</v>
      </c>
      <c r="L103" s="8">
        <f t="shared" si="16"/>
        <v>9.6712732445889626E-2</v>
      </c>
      <c r="N103" s="271">
        <v>11.702999999999999</v>
      </c>
      <c r="O103" s="8">
        <f t="shared" si="22"/>
        <v>7.931384303237099E-2</v>
      </c>
      <c r="Q103" s="271">
        <v>127.78</v>
      </c>
      <c r="R103" s="8">
        <f t="shared" si="17"/>
        <v>0.14744971264367823</v>
      </c>
      <c r="S103" s="8"/>
      <c r="T103" s="8"/>
      <c r="U103" s="8"/>
    </row>
    <row r="104" spans="1:21">
      <c r="A104" s="28">
        <v>39600</v>
      </c>
      <c r="B104" s="13">
        <v>104.9</v>
      </c>
      <c r="C104" s="8">
        <f t="shared" si="20"/>
        <v>6.5299075860668188E-2</v>
      </c>
      <c r="D104" s="13"/>
      <c r="E104" s="26">
        <f t="shared" si="18"/>
        <v>80.6701388888889</v>
      </c>
      <c r="F104" s="9">
        <v>102</v>
      </c>
      <c r="H104" s="13">
        <v>147.26</v>
      </c>
      <c r="I104" s="8">
        <f t="shared" si="21"/>
        <v>8.0410858400586704E-2</v>
      </c>
      <c r="K104" s="26">
        <f t="shared" si="19"/>
        <v>115.49000000000001</v>
      </c>
      <c r="L104" s="8">
        <f t="shared" si="16"/>
        <v>7.0070186004493884E-2</v>
      </c>
      <c r="N104" s="271">
        <v>13.353</v>
      </c>
      <c r="O104" s="8">
        <f t="shared" si="22"/>
        <v>0.1409894898743913</v>
      </c>
      <c r="Q104" s="271">
        <v>139.83000000000001</v>
      </c>
      <c r="R104" s="8">
        <f t="shared" si="17"/>
        <v>9.4302707778995298E-2</v>
      </c>
      <c r="S104" s="8"/>
      <c r="T104" s="8"/>
      <c r="U104" s="8"/>
    </row>
    <row r="105" spans="1:21">
      <c r="A105" s="28">
        <v>39630</v>
      </c>
      <c r="B105" s="13">
        <v>117.041</v>
      </c>
      <c r="C105" s="8">
        <f t="shared" si="20"/>
        <v>0.1157387988560532</v>
      </c>
      <c r="D105" s="13"/>
      <c r="E105" s="26">
        <f t="shared" si="18"/>
        <v>85.064361111111111</v>
      </c>
      <c r="F105" s="9">
        <v>103</v>
      </c>
      <c r="H105" s="13">
        <v>158.19300000000001</v>
      </c>
      <c r="I105" s="8">
        <f t="shared" si="21"/>
        <v>7.4242835800624851E-2</v>
      </c>
      <c r="K105" s="26">
        <f t="shared" si="19"/>
        <v>127.32900000000001</v>
      </c>
      <c r="L105" s="8">
        <f t="shared" si="16"/>
        <v>0.10251103991687582</v>
      </c>
      <c r="N105" s="271">
        <v>9.1189999999999998</v>
      </c>
      <c r="O105" s="8">
        <f t="shared" si="22"/>
        <v>-0.31708230360218681</v>
      </c>
      <c r="Q105" s="271">
        <v>123.98</v>
      </c>
      <c r="R105" s="8">
        <f t="shared" si="17"/>
        <v>-0.11335192734034194</v>
      </c>
      <c r="S105" s="8"/>
      <c r="T105" s="8"/>
      <c r="U105" s="8"/>
    </row>
    <row r="106" spans="1:21">
      <c r="A106" s="28">
        <v>39661</v>
      </c>
      <c r="B106" s="13">
        <v>127.676</v>
      </c>
      <c r="C106" s="8">
        <f t="shared" si="20"/>
        <v>9.086559410804762E-2</v>
      </c>
      <c r="D106" s="13"/>
      <c r="E106" s="26">
        <f t="shared" si="18"/>
        <v>90.210833333333312</v>
      </c>
      <c r="F106" s="9">
        <v>104</v>
      </c>
      <c r="H106" s="13">
        <v>166.15600000000001</v>
      </c>
      <c r="I106" s="8">
        <f t="shared" si="21"/>
        <v>5.0337246275119485E-2</v>
      </c>
      <c r="K106" s="26">
        <f t="shared" si="19"/>
        <v>137.29599999999999</v>
      </c>
      <c r="L106" s="8">
        <f t="shared" si="16"/>
        <v>7.8277533005049804E-2</v>
      </c>
      <c r="N106" s="271">
        <v>7.9429999999999996</v>
      </c>
      <c r="O106" s="8">
        <f t="shared" si="22"/>
        <v>-0.12896150893738345</v>
      </c>
      <c r="Q106" s="271">
        <v>114.05</v>
      </c>
      <c r="R106" s="8">
        <f t="shared" si="17"/>
        <v>-8.0093563477980356E-2</v>
      </c>
      <c r="S106" s="8"/>
      <c r="T106" s="8"/>
      <c r="U106" s="8"/>
    </row>
    <row r="107" spans="1:21">
      <c r="A107" s="28">
        <v>39692</v>
      </c>
      <c r="B107" s="13">
        <v>138.715</v>
      </c>
      <c r="C107" s="8">
        <f t="shared" si="20"/>
        <v>8.6461042012594413E-2</v>
      </c>
      <c r="D107" s="13"/>
      <c r="E107" s="26">
        <f t="shared" si="18"/>
        <v>96.044972222222228</v>
      </c>
      <c r="F107" s="9">
        <v>105</v>
      </c>
      <c r="H107" s="13">
        <v>160.46100000000001</v>
      </c>
      <c r="I107" s="8">
        <f t="shared" si="21"/>
        <v>-3.4275018657165535E-2</v>
      </c>
      <c r="K107" s="26">
        <f t="shared" si="19"/>
        <v>144.1515</v>
      </c>
      <c r="L107" s="8">
        <f t="shared" si="16"/>
        <v>4.9932263139494282E-2</v>
      </c>
      <c r="N107" s="271">
        <v>7.4379999999999997</v>
      </c>
      <c r="O107" s="8">
        <f t="shared" si="22"/>
        <v>-6.35779932015611E-2</v>
      </c>
      <c r="Q107" s="271">
        <v>98.17</v>
      </c>
      <c r="R107" s="8">
        <f t="shared" si="17"/>
        <v>-0.13923717667689606</v>
      </c>
      <c r="S107" s="8"/>
      <c r="T107" s="8"/>
      <c r="U107" s="8"/>
    </row>
    <row r="108" spans="1:21">
      <c r="A108" s="28">
        <v>39722</v>
      </c>
      <c r="B108" s="13">
        <v>133.26432019999999</v>
      </c>
      <c r="C108" s="8">
        <f t="shared" si="20"/>
        <v>-3.9294090761633704E-2</v>
      </c>
      <c r="D108" s="13"/>
      <c r="E108" s="26">
        <f t="shared" si="18"/>
        <v>101.43805446111111</v>
      </c>
      <c r="F108" s="9">
        <v>106</v>
      </c>
      <c r="H108" s="13">
        <v>145.29831720000001</v>
      </c>
      <c r="I108" s="8">
        <f t="shared" si="21"/>
        <v>-9.4494505206872637E-2</v>
      </c>
      <c r="K108" s="26">
        <f t="shared" si="19"/>
        <v>136.27281944999999</v>
      </c>
      <c r="L108" s="8">
        <f t="shared" si="16"/>
        <v>-5.4655557174222991E-2</v>
      </c>
      <c r="N108" s="271">
        <v>6.7830000000000004</v>
      </c>
      <c r="O108" s="8">
        <f t="shared" si="22"/>
        <v>-8.8061306802903916E-2</v>
      </c>
      <c r="Q108" s="271">
        <v>65.319999999999993</v>
      </c>
      <c r="R108" s="8">
        <f t="shared" si="17"/>
        <v>-0.33462361210145675</v>
      </c>
      <c r="S108" s="8"/>
      <c r="T108" s="8"/>
      <c r="U108" s="8"/>
    </row>
    <row r="109" spans="1:21">
      <c r="A109" s="28">
        <v>39753</v>
      </c>
      <c r="B109" s="13">
        <v>125.0206293</v>
      </c>
      <c r="C109" s="8">
        <f t="shared" si="20"/>
        <v>-6.185970023805365E-2</v>
      </c>
      <c r="D109" s="13"/>
      <c r="E109" s="26">
        <f t="shared" si="18"/>
        <v>106.05082912499999</v>
      </c>
      <c r="F109" s="9">
        <v>107</v>
      </c>
      <c r="H109" s="13">
        <v>133.40357660000001</v>
      </c>
      <c r="I109" s="8">
        <f t="shared" si="21"/>
        <v>-8.1864269519564714E-2</v>
      </c>
      <c r="K109" s="26">
        <f t="shared" si="19"/>
        <v>127.116366125</v>
      </c>
      <c r="L109" s="8">
        <f t="shared" si="16"/>
        <v>-6.7192073679517517E-2</v>
      </c>
      <c r="N109" s="271">
        <v>6.51</v>
      </c>
      <c r="O109" s="8">
        <f t="shared" si="22"/>
        <v>-4.0247678018575983E-2</v>
      </c>
      <c r="Q109" s="271">
        <v>53.49</v>
      </c>
      <c r="R109" s="8">
        <f t="shared" si="17"/>
        <v>-0.18110838946723806</v>
      </c>
      <c r="S109" s="8"/>
      <c r="T109" s="8"/>
      <c r="U109" s="8"/>
    </row>
    <row r="110" spans="1:21">
      <c r="A110" s="28">
        <v>39783</v>
      </c>
      <c r="B110" s="13">
        <v>101.47071510000001</v>
      </c>
      <c r="C110" s="8">
        <f t="shared" si="20"/>
        <v>-0.18836822636278305</v>
      </c>
      <c r="D110" s="13"/>
      <c r="E110" s="26">
        <f t="shared" ref="E110:E141" si="23">AVERAGE(B99:B110)</f>
        <v>108.58480538333332</v>
      </c>
      <c r="F110" s="9">
        <v>108</v>
      </c>
      <c r="H110" s="13">
        <v>109.2105959</v>
      </c>
      <c r="I110" s="8">
        <f t="shared" si="21"/>
        <v>-0.18135181467091199</v>
      </c>
      <c r="K110" s="26">
        <f t="shared" si="19"/>
        <v>103.4056853</v>
      </c>
      <c r="L110" s="8">
        <f t="shared" si="16"/>
        <v>-0.18652736502618461</v>
      </c>
      <c r="N110" s="271">
        <v>5.6219999999999999</v>
      </c>
      <c r="O110" s="8">
        <f t="shared" si="22"/>
        <v>-0.13640552995391708</v>
      </c>
      <c r="Q110" s="271">
        <v>45.59</v>
      </c>
      <c r="R110" s="8">
        <f t="shared" si="17"/>
        <v>-0.14769115722564963</v>
      </c>
      <c r="S110" s="8"/>
      <c r="T110" s="8"/>
      <c r="U110" s="8"/>
    </row>
    <row r="111" spans="1:21">
      <c r="A111" s="28">
        <v>39814</v>
      </c>
      <c r="B111" s="13">
        <v>71.13</v>
      </c>
      <c r="C111" s="8">
        <f t="shared" si="20"/>
        <v>-0.29900957207307599</v>
      </c>
      <c r="D111" s="13"/>
      <c r="E111" s="26">
        <f t="shared" si="23"/>
        <v>107.65397204999999</v>
      </c>
      <c r="F111" s="9">
        <v>109</v>
      </c>
      <c r="H111" s="13">
        <v>82.508598057924871</v>
      </c>
      <c r="I111" s="8">
        <f t="shared" si="21"/>
        <v>-0.24450006541970648</v>
      </c>
      <c r="K111" s="26">
        <f t="shared" si="19"/>
        <v>73.974649514481214</v>
      </c>
      <c r="L111" s="8">
        <f t="shared" si="16"/>
        <v>-0.28461719198643309</v>
      </c>
      <c r="N111" s="271">
        <v>4.4169999999999998</v>
      </c>
      <c r="O111" s="8">
        <f t="shared" si="22"/>
        <v>-0.21433653504091077</v>
      </c>
      <c r="Q111" s="271">
        <v>45.88</v>
      </c>
      <c r="R111" s="8">
        <f t="shared" si="17"/>
        <v>6.3610440886159303E-3</v>
      </c>
      <c r="S111" s="8"/>
      <c r="T111" s="8"/>
      <c r="U111" s="8"/>
    </row>
    <row r="112" spans="1:21">
      <c r="A112" s="28">
        <v>39845</v>
      </c>
      <c r="B112" s="13">
        <v>49.39</v>
      </c>
      <c r="C112" s="8">
        <f t="shared" si="20"/>
        <v>-0.30563756502179107</v>
      </c>
      <c r="D112" s="13"/>
      <c r="E112" s="26">
        <f t="shared" si="23"/>
        <v>104.09647205</v>
      </c>
      <c r="F112" s="9">
        <v>110</v>
      </c>
      <c r="H112" s="13">
        <v>69.549530754715803</v>
      </c>
      <c r="I112" s="8">
        <f t="shared" si="21"/>
        <v>-0.1570632347202312</v>
      </c>
      <c r="K112" s="26">
        <f t="shared" si="19"/>
        <v>54.429882688678958</v>
      </c>
      <c r="L112" s="8">
        <f t="shared" si="16"/>
        <v>-0.26420898178065977</v>
      </c>
      <c r="N112" s="271">
        <v>4.1980000000000004</v>
      </c>
      <c r="O112" s="8">
        <f t="shared" si="22"/>
        <v>-4.9581163685759488E-2</v>
      </c>
      <c r="Q112" s="271">
        <v>46.35</v>
      </c>
      <c r="R112" s="8">
        <f t="shared" si="17"/>
        <v>1.0244115082824745E-2</v>
      </c>
      <c r="S112" s="8"/>
      <c r="T112" s="8"/>
      <c r="U112" s="8"/>
    </row>
    <row r="113" spans="1:21">
      <c r="A113" s="28">
        <v>39873</v>
      </c>
      <c r="B113" s="13">
        <v>47.58</v>
      </c>
      <c r="C113" s="8">
        <f t="shared" si="20"/>
        <v>-3.6647094553553416E-2</v>
      </c>
      <c r="D113" s="13"/>
      <c r="E113" s="26">
        <f t="shared" si="23"/>
        <v>100.42063871666666</v>
      </c>
      <c r="F113" s="9">
        <v>111</v>
      </c>
      <c r="H113" s="13">
        <v>70.657482414908159</v>
      </c>
      <c r="I113" s="8">
        <f t="shared" si="21"/>
        <v>1.5930397346602287E-2</v>
      </c>
      <c r="K113" s="26">
        <f t="shared" si="19"/>
        <v>53.349370603727039</v>
      </c>
      <c r="L113" s="8">
        <f t="shared" si="16"/>
        <v>-1.9851449820902478E-2</v>
      </c>
      <c r="N113" s="271">
        <v>3.7759999999999998</v>
      </c>
      <c r="O113" s="8">
        <f t="shared" si="22"/>
        <v>-0.10052405907575046</v>
      </c>
      <c r="Q113" s="271">
        <v>49.23</v>
      </c>
      <c r="R113" s="8">
        <f t="shared" si="17"/>
        <v>6.2135922330097015E-2</v>
      </c>
      <c r="S113" s="8"/>
      <c r="T113" s="8"/>
      <c r="U113" s="8"/>
    </row>
    <row r="114" spans="1:21">
      <c r="A114" s="28">
        <v>39904</v>
      </c>
      <c r="B114" s="13">
        <v>46.24</v>
      </c>
      <c r="C114" s="8">
        <f t="shared" si="20"/>
        <v>-2.8163093736864098E-2</v>
      </c>
      <c r="D114" s="13"/>
      <c r="E114" s="26">
        <f t="shared" si="23"/>
        <v>96.741472050000013</v>
      </c>
      <c r="F114" s="9">
        <v>112</v>
      </c>
      <c r="H114" s="13">
        <v>66.650000000000006</v>
      </c>
      <c r="I114" s="8">
        <f t="shared" si="21"/>
        <v>-5.671702809018575E-2</v>
      </c>
      <c r="K114" s="26">
        <f t="shared" si="19"/>
        <v>51.342500000000001</v>
      </c>
      <c r="L114" s="8">
        <f t="shared" si="16"/>
        <v>-3.7617512278332987E-2</v>
      </c>
      <c r="N114" s="271">
        <v>3.3730000000000002</v>
      </c>
      <c r="O114" s="8">
        <f t="shared" si="22"/>
        <v>-0.10672669491525411</v>
      </c>
      <c r="Q114" s="271">
        <v>50.8</v>
      </c>
      <c r="R114" s="8">
        <f t="shared" si="17"/>
        <v>3.1891123298801505E-2</v>
      </c>
      <c r="S114" s="8"/>
      <c r="T114" s="8"/>
      <c r="U114" s="8"/>
    </row>
    <row r="115" spans="1:21">
      <c r="A115" s="28">
        <v>39934</v>
      </c>
      <c r="B115" s="13">
        <v>45.53</v>
      </c>
      <c r="C115" s="8">
        <f t="shared" si="20"/>
        <v>-1.5354671280276788E-2</v>
      </c>
      <c r="D115" s="13"/>
      <c r="E115" s="26">
        <f t="shared" si="23"/>
        <v>92.329805383333337</v>
      </c>
      <c r="F115" s="9">
        <v>113</v>
      </c>
      <c r="H115" s="13">
        <v>66.41</v>
      </c>
      <c r="I115" s="8">
        <f t="shared" si="21"/>
        <v>-3.6009002250564359E-3</v>
      </c>
      <c r="K115" s="26">
        <f t="shared" si="19"/>
        <v>50.75</v>
      </c>
      <c r="L115" s="8">
        <f t="shared" si="16"/>
        <v>-1.1540147051662841E-2</v>
      </c>
      <c r="N115" s="271">
        <v>3.835</v>
      </c>
      <c r="O115" s="8">
        <f t="shared" si="22"/>
        <v>0.13697005632967674</v>
      </c>
      <c r="Q115" s="271">
        <v>65.52</v>
      </c>
      <c r="R115" s="8">
        <f t="shared" si="17"/>
        <v>0.28976377952755894</v>
      </c>
      <c r="S115" s="8"/>
      <c r="T115" s="8"/>
      <c r="U115" s="8"/>
    </row>
    <row r="116" spans="1:21">
      <c r="A116" s="28">
        <v>39965</v>
      </c>
      <c r="B116" s="13">
        <v>47.99</v>
      </c>
      <c r="C116" s="8">
        <f t="shared" si="20"/>
        <v>5.4030309685921374E-2</v>
      </c>
      <c r="D116" s="13"/>
      <c r="E116" s="26">
        <f t="shared" si="23"/>
        <v>87.58730538333333</v>
      </c>
      <c r="F116" s="9">
        <v>114</v>
      </c>
      <c r="H116" s="13">
        <v>70.95</v>
      </c>
      <c r="I116" s="8">
        <f t="shared" si="21"/>
        <v>6.8363198313507123E-2</v>
      </c>
      <c r="K116" s="26">
        <f t="shared" si="19"/>
        <v>53.730000000000004</v>
      </c>
      <c r="L116" s="8">
        <f t="shared" si="16"/>
        <v>5.8719211822660267E-2</v>
      </c>
      <c r="N116" s="271">
        <v>3.835</v>
      </c>
      <c r="O116" s="8">
        <f t="shared" si="22"/>
        <v>0</v>
      </c>
      <c r="Q116" s="271">
        <v>69.3</v>
      </c>
      <c r="R116" s="8">
        <f t="shared" si="17"/>
        <v>5.7692307692307709E-2</v>
      </c>
      <c r="S116" s="8"/>
      <c r="T116" s="8"/>
      <c r="U116" s="8"/>
    </row>
    <row r="117" spans="1:21">
      <c r="A117" s="28">
        <v>39995</v>
      </c>
      <c r="B117" s="13">
        <v>53.41</v>
      </c>
      <c r="C117" s="8">
        <f t="shared" si="20"/>
        <v>0.11294019587414028</v>
      </c>
      <c r="D117" s="13"/>
      <c r="E117" s="26">
        <f t="shared" si="23"/>
        <v>82.284722049999999</v>
      </c>
      <c r="F117" s="9">
        <v>115</v>
      </c>
      <c r="H117" s="13">
        <v>74.04682780103434</v>
      </c>
      <c r="I117" s="8">
        <f t="shared" si="21"/>
        <v>4.3648031022330391E-2</v>
      </c>
      <c r="K117" s="26">
        <f t="shared" si="19"/>
        <v>58.569206950258582</v>
      </c>
      <c r="L117" s="8">
        <f t="shared" si="16"/>
        <v>9.0065269872670273E-2</v>
      </c>
      <c r="N117" s="271">
        <v>3.653</v>
      </c>
      <c r="O117" s="8">
        <f t="shared" si="22"/>
        <v>-4.7457627118644097E-2</v>
      </c>
      <c r="Q117" s="271">
        <v>71.7</v>
      </c>
      <c r="R117" s="8">
        <f t="shared" si="17"/>
        <v>3.4632034632034792E-2</v>
      </c>
      <c r="S117" s="8"/>
      <c r="T117" s="8"/>
      <c r="U117" s="8"/>
    </row>
    <row r="118" spans="1:21">
      <c r="A118" s="28">
        <v>40026</v>
      </c>
      <c r="B118" s="13">
        <v>65.400000000000006</v>
      </c>
      <c r="C118" s="8">
        <f t="shared" si="20"/>
        <v>0.2244897959183676</v>
      </c>
      <c r="D118" s="13"/>
      <c r="E118" s="26">
        <f t="shared" si="23"/>
        <v>77.095055383333332</v>
      </c>
      <c r="F118" s="9">
        <v>116</v>
      </c>
      <c r="H118" s="13">
        <v>81.471771062508083</v>
      </c>
      <c r="I118" s="8">
        <f t="shared" si="21"/>
        <v>0.10027361714163829</v>
      </c>
      <c r="K118" s="26">
        <f t="shared" si="19"/>
        <v>69.417942765627032</v>
      </c>
      <c r="L118" s="8">
        <f t="shared" si="16"/>
        <v>0.18522934456978435</v>
      </c>
      <c r="N118" s="271">
        <v>2.9769999999999999</v>
      </c>
      <c r="O118" s="8">
        <f t="shared" si="22"/>
        <v>-0.18505338078291822</v>
      </c>
      <c r="Q118" s="271">
        <v>69.650000000000006</v>
      </c>
      <c r="R118" s="8">
        <f t="shared" si="17"/>
        <v>-2.8591352859135277E-2</v>
      </c>
      <c r="S118" s="8"/>
      <c r="T118" s="8"/>
      <c r="U118" s="8"/>
    </row>
    <row r="119" spans="1:21">
      <c r="A119" s="28">
        <v>40057</v>
      </c>
      <c r="B119" s="13">
        <v>71.77</v>
      </c>
      <c r="C119" s="8">
        <f t="shared" si="20"/>
        <v>9.7400611620795052E-2</v>
      </c>
      <c r="D119" s="13"/>
      <c r="E119" s="26">
        <f t="shared" si="23"/>
        <v>71.516305383333318</v>
      </c>
      <c r="F119" s="9">
        <v>117</v>
      </c>
      <c r="H119" s="13">
        <v>81.825891299377929</v>
      </c>
      <c r="I119" s="8">
        <f t="shared" si="21"/>
        <v>4.3465390803663073E-3</v>
      </c>
      <c r="K119" s="26">
        <f t="shared" si="19"/>
        <v>74.283972824844483</v>
      </c>
      <c r="L119" s="8">
        <f t="shared" si="16"/>
        <v>7.0097583785310835E-2</v>
      </c>
      <c r="N119" s="271">
        <v>4.8410000000000002</v>
      </c>
      <c r="O119" s="8">
        <f t="shared" si="22"/>
        <v>0.62613369163587529</v>
      </c>
      <c r="Q119" s="271">
        <v>69.069999999999993</v>
      </c>
      <c r="R119" s="8">
        <f t="shared" si="17"/>
        <v>-8.3273510409190843E-3</v>
      </c>
      <c r="S119" s="8"/>
      <c r="T119" s="8"/>
      <c r="U119" s="8"/>
    </row>
    <row r="120" spans="1:21">
      <c r="A120" s="28">
        <v>40087</v>
      </c>
      <c r="B120" s="13">
        <v>75.959999999999994</v>
      </c>
      <c r="C120" s="8">
        <f t="shared" si="20"/>
        <v>5.8380939111049246E-2</v>
      </c>
      <c r="D120" s="13"/>
      <c r="E120" s="26">
        <f t="shared" si="23"/>
        <v>66.740945366666665</v>
      </c>
      <c r="F120" s="9">
        <v>118</v>
      </c>
      <c r="H120" s="13">
        <v>86.82</v>
      </c>
      <c r="I120" s="8">
        <f t="shared" si="21"/>
        <v>6.1033355351425733E-2</v>
      </c>
      <c r="K120" s="26">
        <f t="shared" si="19"/>
        <v>78.674999999999997</v>
      </c>
      <c r="L120" s="8">
        <f t="shared" si="16"/>
        <v>5.9111366936569265E-2</v>
      </c>
      <c r="N120" s="271">
        <v>5.0449999999999999</v>
      </c>
      <c r="O120" s="8">
        <f t="shared" si="22"/>
        <v>4.2140053707911518E-2</v>
      </c>
      <c r="Q120" s="271">
        <v>75.2</v>
      </c>
      <c r="R120" s="8">
        <f t="shared" si="17"/>
        <v>8.8750542927465093E-2</v>
      </c>
      <c r="S120" s="8"/>
      <c r="T120" s="8"/>
      <c r="U120" s="8"/>
    </row>
    <row r="121" spans="1:21">
      <c r="A121" s="28">
        <v>40118</v>
      </c>
      <c r="B121" s="13">
        <v>73.88</v>
      </c>
      <c r="C121" s="8">
        <f t="shared" si="20"/>
        <v>-2.7382833070036861E-2</v>
      </c>
      <c r="D121" s="13"/>
      <c r="E121" s="26">
        <f t="shared" si="23"/>
        <v>62.479226258333334</v>
      </c>
      <c r="F121" s="9">
        <v>119</v>
      </c>
      <c r="H121" s="13">
        <v>86.88</v>
      </c>
      <c r="I121" s="8">
        <f t="shared" si="21"/>
        <v>6.9108500345538282E-4</v>
      </c>
      <c r="K121" s="26">
        <f t="shared" si="19"/>
        <v>77.13</v>
      </c>
      <c r="L121" s="8">
        <f t="shared" si="16"/>
        <v>-1.963775023832226E-2</v>
      </c>
      <c r="N121" s="271">
        <v>4.8479999999999999</v>
      </c>
      <c r="O121" s="8">
        <f t="shared" si="22"/>
        <v>-3.9048562933597597E-2</v>
      </c>
      <c r="Q121" s="271">
        <v>78.47</v>
      </c>
      <c r="R121" s="8">
        <f t="shared" si="17"/>
        <v>4.3484042553191493E-2</v>
      </c>
      <c r="S121" s="8"/>
      <c r="T121" s="8"/>
      <c r="U121" s="8"/>
    </row>
    <row r="122" spans="1:21">
      <c r="A122" s="28">
        <v>40148</v>
      </c>
      <c r="B122" s="13">
        <v>74.12</v>
      </c>
      <c r="C122" s="8">
        <f t="shared" si="20"/>
        <v>3.2485110990796429E-3</v>
      </c>
      <c r="D122" s="13"/>
      <c r="E122" s="26">
        <f t="shared" si="23"/>
        <v>60.199999999999996</v>
      </c>
      <c r="F122" s="9">
        <v>120</v>
      </c>
      <c r="H122" s="13">
        <v>89.56</v>
      </c>
      <c r="I122" s="8">
        <f t="shared" si="21"/>
        <v>3.084714548802947E-2</v>
      </c>
      <c r="K122" s="26">
        <f t="shared" si="19"/>
        <v>77.98</v>
      </c>
      <c r="L122" s="8">
        <f t="shared" si="16"/>
        <v>1.1020355244392599E-2</v>
      </c>
      <c r="N122" s="271">
        <v>5.5720000000000001</v>
      </c>
      <c r="O122" s="8">
        <f t="shared" si="22"/>
        <v>0.1493399339933994</v>
      </c>
      <c r="Q122" s="271">
        <v>77.930000000000007</v>
      </c>
      <c r="R122" s="8">
        <f t="shared" si="17"/>
        <v>-6.8816108066775961E-3</v>
      </c>
      <c r="S122" s="8"/>
      <c r="T122" s="8"/>
      <c r="U122" s="8"/>
    </row>
    <row r="123" spans="1:21">
      <c r="A123" s="28">
        <v>40179</v>
      </c>
      <c r="B123" s="13">
        <v>76.147730980000006</v>
      </c>
      <c r="C123" s="8">
        <f t="shared" si="20"/>
        <v>2.7357406637884552E-2</v>
      </c>
      <c r="D123" s="13"/>
      <c r="E123" s="26">
        <f t="shared" si="23"/>
        <v>60.618144248333323</v>
      </c>
      <c r="F123" s="9">
        <v>121</v>
      </c>
      <c r="H123" s="13">
        <v>95.814829320000001</v>
      </c>
      <c r="I123" s="8">
        <f t="shared" si="21"/>
        <v>6.9839541313086118E-2</v>
      </c>
      <c r="K123" s="26">
        <f t="shared" si="19"/>
        <v>81.064505565000005</v>
      </c>
      <c r="L123" s="8">
        <f t="shared" si="16"/>
        <v>3.9555085470633466E-2</v>
      </c>
      <c r="N123" s="271">
        <v>5.1310000000000002</v>
      </c>
      <c r="O123" s="8">
        <f t="shared" si="22"/>
        <v>-7.9145728643216007E-2</v>
      </c>
      <c r="Q123" s="271">
        <v>71.459999999999994</v>
      </c>
      <c r="R123" s="8">
        <f t="shared" si="17"/>
        <v>-8.3023225972026382E-2</v>
      </c>
      <c r="S123" s="8"/>
      <c r="T123" s="8"/>
      <c r="U123" s="8"/>
    </row>
    <row r="124" spans="1:21">
      <c r="A124" s="28">
        <v>40210</v>
      </c>
      <c r="B124" s="13">
        <v>76.025544049999993</v>
      </c>
      <c r="C124" s="8">
        <f t="shared" si="20"/>
        <v>-1.6046036884815873E-3</v>
      </c>
      <c r="D124" s="13"/>
      <c r="E124" s="26">
        <f t="shared" si="23"/>
        <v>62.837772919166667</v>
      </c>
      <c r="F124" s="9">
        <v>122</v>
      </c>
      <c r="H124" s="13">
        <v>94.022921679999996</v>
      </c>
      <c r="I124" s="8">
        <f t="shared" si="21"/>
        <v>-1.8701777717679113E-2</v>
      </c>
      <c r="K124" s="26">
        <f t="shared" si="19"/>
        <v>80.524888457499998</v>
      </c>
      <c r="L124" s="8">
        <f t="shared" si="16"/>
        <v>-6.6566384848585347E-3</v>
      </c>
      <c r="N124" s="271">
        <v>4.8129999999999997</v>
      </c>
      <c r="O124" s="8">
        <f t="shared" si="22"/>
        <v>-6.1976222958487703E-2</v>
      </c>
      <c r="Q124" s="271">
        <v>77.59</v>
      </c>
      <c r="R124" s="8">
        <f t="shared" si="17"/>
        <v>8.5782255807444807E-2</v>
      </c>
      <c r="S124" s="8"/>
      <c r="T124" s="8"/>
      <c r="U124" s="8"/>
    </row>
    <row r="125" spans="1:21">
      <c r="A125" s="28">
        <v>40238</v>
      </c>
      <c r="B125" s="13">
        <v>84.408891280000006</v>
      </c>
      <c r="C125" s="8">
        <f t="shared" si="20"/>
        <v>0.11027013794845719</v>
      </c>
      <c r="D125" s="13"/>
      <c r="E125" s="26">
        <f t="shared" si="23"/>
        <v>65.906847192499995</v>
      </c>
      <c r="F125" s="9">
        <v>123</v>
      </c>
      <c r="H125" s="13">
        <v>95.167487080000001</v>
      </c>
      <c r="I125" s="8">
        <f t="shared" si="21"/>
        <v>1.217325923879975E-2</v>
      </c>
      <c r="K125" s="26">
        <f t="shared" si="19"/>
        <v>87.098540229999998</v>
      </c>
      <c r="L125" s="8">
        <f t="shared" si="16"/>
        <v>8.163503108693515E-2</v>
      </c>
      <c r="N125" s="271">
        <v>3.8690000000000002</v>
      </c>
      <c r="O125" s="8">
        <f t="shared" si="22"/>
        <v>-0.19613546644504454</v>
      </c>
      <c r="Q125" s="271">
        <v>82.7</v>
      </c>
      <c r="R125" s="8">
        <f t="shared" si="17"/>
        <v>6.5859002448769077E-2</v>
      </c>
      <c r="S125" s="8"/>
      <c r="T125" s="8"/>
      <c r="U125" s="8"/>
    </row>
    <row r="126" spans="1:21">
      <c r="A126" s="28">
        <v>40269</v>
      </c>
      <c r="B126" s="13">
        <v>81.424735859999998</v>
      </c>
      <c r="C126" s="8">
        <f t="shared" si="20"/>
        <v>-3.5353567316753542E-2</v>
      </c>
      <c r="D126" s="13"/>
      <c r="E126" s="26">
        <f t="shared" si="23"/>
        <v>68.838908514166675</v>
      </c>
      <c r="F126" s="9">
        <v>124</v>
      </c>
      <c r="H126" s="13">
        <v>94.80968867</v>
      </c>
      <c r="I126" s="8">
        <f t="shared" si="21"/>
        <v>-3.7596706709217553E-3</v>
      </c>
      <c r="K126" s="26">
        <f t="shared" si="19"/>
        <v>84.770974062500002</v>
      </c>
      <c r="L126" s="8">
        <f t="shared" si="16"/>
        <v>-2.6723365987002978E-2</v>
      </c>
      <c r="N126" s="271">
        <v>3.92</v>
      </c>
      <c r="O126" s="8">
        <f t="shared" si="22"/>
        <v>1.3181700697854737E-2</v>
      </c>
      <c r="Q126" s="271">
        <v>87.44</v>
      </c>
      <c r="R126" s="8">
        <f t="shared" si="17"/>
        <v>5.7315598548972169E-2</v>
      </c>
      <c r="S126" s="8"/>
      <c r="T126" s="8"/>
      <c r="U126" s="8"/>
    </row>
    <row r="127" spans="1:21">
      <c r="A127" s="28">
        <v>40299</v>
      </c>
      <c r="B127" s="13">
        <v>83.132911070000006</v>
      </c>
      <c r="C127" s="8">
        <f t="shared" si="20"/>
        <v>2.0978578462164332E-2</v>
      </c>
      <c r="D127" s="13"/>
      <c r="E127" s="26">
        <f t="shared" si="23"/>
        <v>71.972484436666676</v>
      </c>
      <c r="F127" s="9">
        <v>125</v>
      </c>
      <c r="H127" s="13">
        <v>98.594975020000007</v>
      </c>
      <c r="I127" s="8">
        <f t="shared" si="21"/>
        <v>3.9925100515573853E-2</v>
      </c>
      <c r="K127" s="26">
        <f t="shared" si="19"/>
        <v>86.99842705750001</v>
      </c>
      <c r="L127" s="8">
        <f t="shared" si="16"/>
        <v>2.6276128352114458E-2</v>
      </c>
      <c r="N127" s="271">
        <v>4.3410000000000002</v>
      </c>
      <c r="O127" s="8">
        <f t="shared" si="22"/>
        <v>0.10739795918367356</v>
      </c>
      <c r="Q127" s="271">
        <v>74.650000000000006</v>
      </c>
      <c r="R127" s="8">
        <f t="shared" si="17"/>
        <v>-0.14627172918572728</v>
      </c>
      <c r="S127" s="8"/>
      <c r="T127" s="8"/>
      <c r="U127" s="8"/>
    </row>
    <row r="128" spans="1:21">
      <c r="A128" s="28">
        <v>40330</v>
      </c>
      <c r="B128" s="13">
        <v>87.439233470000005</v>
      </c>
      <c r="C128" s="8">
        <f t="shared" si="20"/>
        <v>5.1800452366860705E-2</v>
      </c>
      <c r="D128" s="13"/>
      <c r="E128" s="26">
        <f t="shared" si="23"/>
        <v>75.259920559166673</v>
      </c>
      <c r="F128" s="9">
        <v>126</v>
      </c>
      <c r="H128" s="13">
        <v>103.23580320000001</v>
      </c>
      <c r="I128" s="8">
        <f t="shared" si="21"/>
        <v>4.7069621743487611E-2</v>
      </c>
      <c r="K128" s="26">
        <f t="shared" si="19"/>
        <v>91.388375902500016</v>
      </c>
      <c r="L128" s="8">
        <f t="shared" si="16"/>
        <v>5.0460094434794156E-2</v>
      </c>
      <c r="N128" s="271">
        <v>4.6159999999999997</v>
      </c>
      <c r="O128" s="8">
        <f t="shared" si="22"/>
        <v>6.3349458650080459E-2</v>
      </c>
      <c r="Q128" s="271">
        <v>75.010000000000005</v>
      </c>
      <c r="R128" s="8">
        <f t="shared" si="17"/>
        <v>4.8225050234427247E-3</v>
      </c>
      <c r="S128" s="8"/>
      <c r="T128" s="8"/>
      <c r="U128" s="8"/>
    </row>
    <row r="129" spans="1:21">
      <c r="A129" s="28">
        <v>40360</v>
      </c>
      <c r="B129" s="13">
        <v>89.559255656339104</v>
      </c>
      <c r="C129" s="8">
        <f t="shared" si="20"/>
        <v>2.4245662984528238E-2</v>
      </c>
      <c r="D129" s="13"/>
      <c r="E129" s="26">
        <f t="shared" si="23"/>
        <v>78.272358530528251</v>
      </c>
      <c r="F129" s="9">
        <v>127</v>
      </c>
      <c r="H129" s="13">
        <v>101.7736081365808</v>
      </c>
      <c r="I129" s="8">
        <f t="shared" si="21"/>
        <v>-1.416364302011075E-2</v>
      </c>
      <c r="K129" s="26">
        <f t="shared" si="19"/>
        <v>92.612843776399529</v>
      </c>
      <c r="L129" s="8">
        <f t="shared" si="16"/>
        <v>1.3398507871568599E-2</v>
      </c>
      <c r="N129" s="271">
        <v>4.923</v>
      </c>
      <c r="O129" s="8">
        <f t="shared" si="22"/>
        <v>6.6507798960138809E-2</v>
      </c>
      <c r="Q129" s="271">
        <v>78.180000000000007</v>
      </c>
      <c r="R129" s="8">
        <f t="shared" si="17"/>
        <v>4.2261031862418363E-2</v>
      </c>
      <c r="S129" s="8"/>
      <c r="T129" s="8"/>
      <c r="U129" s="8"/>
    </row>
    <row r="130" spans="1:21">
      <c r="A130" s="28">
        <v>40391</v>
      </c>
      <c r="B130" s="13">
        <v>87.026847089430518</v>
      </c>
      <c r="C130" s="8">
        <f t="shared" si="20"/>
        <v>-2.8276346742162062E-2</v>
      </c>
      <c r="D130" s="13"/>
      <c r="E130" s="26">
        <f t="shared" si="23"/>
        <v>80.074595787980812</v>
      </c>
      <c r="F130" s="9">
        <v>128</v>
      </c>
      <c r="H130" s="13">
        <v>96.819570926702823</v>
      </c>
      <c r="I130" s="8">
        <f t="shared" si="21"/>
        <v>-4.8677032293378386E-2</v>
      </c>
      <c r="K130" s="26">
        <f t="shared" si="19"/>
        <v>89.475028048748584</v>
      </c>
      <c r="L130" s="8">
        <f t="shared" si="16"/>
        <v>-3.3880999650834132E-2</v>
      </c>
      <c r="N130" s="271">
        <v>3.8159999999999998</v>
      </c>
      <c r="O130" s="8">
        <f t="shared" si="22"/>
        <v>-0.22486288848263258</v>
      </c>
      <c r="Q130" s="271">
        <v>74.64</v>
      </c>
      <c r="R130" s="8">
        <f t="shared" si="17"/>
        <v>-4.5280122793553423E-2</v>
      </c>
      <c r="S130" s="8"/>
      <c r="T130" s="8"/>
      <c r="U130" s="8"/>
    </row>
    <row r="131" spans="1:21">
      <c r="A131" s="28">
        <v>40422</v>
      </c>
      <c r="B131" s="13">
        <v>85.61353613754919</v>
      </c>
      <c r="C131" s="8">
        <f t="shared" si="20"/>
        <v>-1.6239942031095134E-2</v>
      </c>
      <c r="D131" s="13"/>
      <c r="E131" s="26">
        <f t="shared" si="23"/>
        <v>81.228223799443228</v>
      </c>
      <c r="F131" s="9">
        <v>129</v>
      </c>
      <c r="H131" s="13">
        <v>92.872333390704114</v>
      </c>
      <c r="I131" s="8">
        <f t="shared" si="21"/>
        <v>-4.0769004636334927E-2</v>
      </c>
      <c r="K131" s="26">
        <f t="shared" ref="K131:K162" si="24">0.75*B131+0.25*H131</f>
        <v>87.428235450837917</v>
      </c>
      <c r="L131" s="8">
        <f t="shared" si="16"/>
        <v>-2.2875573694098317E-2</v>
      </c>
      <c r="N131" s="271">
        <v>3.8719999999999999</v>
      </c>
      <c r="O131" s="8">
        <f t="shared" si="22"/>
        <v>1.467505241090139E-2</v>
      </c>
      <c r="Q131" s="271">
        <v>82.31</v>
      </c>
      <c r="R131" s="8">
        <f t="shared" si="17"/>
        <v>0.10275991425509123</v>
      </c>
      <c r="S131" s="8"/>
      <c r="T131" s="8"/>
      <c r="U131" s="8"/>
    </row>
    <row r="132" spans="1:21">
      <c r="A132" s="28">
        <v>40452</v>
      </c>
      <c r="B132" s="13">
        <v>87.126676758235249</v>
      </c>
      <c r="C132" s="8">
        <f t="shared" ref="C132:C163" si="25">B132/B131-1</f>
        <v>1.7674081564099886E-2</v>
      </c>
      <c r="D132" s="13"/>
      <c r="E132" s="26">
        <f t="shared" si="23"/>
        <v>82.158780195962848</v>
      </c>
      <c r="F132" s="9">
        <v>130</v>
      </c>
      <c r="H132" s="13">
        <v>99.641152747437403</v>
      </c>
      <c r="I132" s="8">
        <f t="shared" ref="I132:I163" si="26">H132/H131-1</f>
        <v>7.2883054722632901E-2</v>
      </c>
      <c r="K132" s="26">
        <f t="shared" si="24"/>
        <v>90.255295755535784</v>
      </c>
      <c r="L132" s="8">
        <f t="shared" si="16"/>
        <v>3.2335781342488268E-2</v>
      </c>
      <c r="N132" s="271">
        <v>4.0380000000000003</v>
      </c>
      <c r="O132" s="8">
        <f t="shared" ref="O132:O163" si="27">N132/N131-1</f>
        <v>4.287190082644643E-2</v>
      </c>
      <c r="Q132" s="271">
        <v>83.15</v>
      </c>
      <c r="R132" s="8">
        <f t="shared" si="17"/>
        <v>1.0205321346130614E-2</v>
      </c>
      <c r="S132" s="8"/>
      <c r="T132" s="8"/>
      <c r="U132" s="8"/>
    </row>
    <row r="133" spans="1:21">
      <c r="A133" s="28">
        <v>40483</v>
      </c>
      <c r="B133" s="13">
        <v>88.44167475282579</v>
      </c>
      <c r="C133" s="8">
        <f t="shared" si="25"/>
        <v>1.5092943327099206E-2</v>
      </c>
      <c r="D133" s="13"/>
      <c r="E133" s="26">
        <f t="shared" si="23"/>
        <v>83.372253092031656</v>
      </c>
      <c r="F133" s="9">
        <v>131</v>
      </c>
      <c r="H133" s="13">
        <v>101.93027059910327</v>
      </c>
      <c r="I133" s="8">
        <f t="shared" si="26"/>
        <v>2.2973618716236155E-2</v>
      </c>
      <c r="K133" s="26">
        <f t="shared" si="24"/>
        <v>91.813823714395156</v>
      </c>
      <c r="L133" s="8">
        <f t="shared" ref="L133:L182" si="28">K133/K132-1</f>
        <v>1.7267994590375979E-2</v>
      </c>
      <c r="N133" s="271">
        <v>4.18</v>
      </c>
      <c r="O133" s="8">
        <f t="shared" si="27"/>
        <v>3.5165923724616022E-2</v>
      </c>
      <c r="Q133" s="271">
        <v>85.92</v>
      </c>
      <c r="R133" s="8">
        <f t="shared" ref="R133:R194" si="29">Q133/Q132-1</f>
        <v>3.3313289236319932E-2</v>
      </c>
      <c r="S133" s="8"/>
      <c r="T133" s="8"/>
      <c r="U133" s="8"/>
    </row>
    <row r="134" spans="1:21">
      <c r="A134" s="28">
        <v>40513</v>
      </c>
      <c r="B134" s="13">
        <v>90.033731749697239</v>
      </c>
      <c r="C134" s="8">
        <f t="shared" si="25"/>
        <v>1.8001208155780546E-2</v>
      </c>
      <c r="D134" s="13"/>
      <c r="E134" s="26">
        <f t="shared" si="23"/>
        <v>84.698397404506423</v>
      </c>
      <c r="F134" s="9">
        <v>132</v>
      </c>
      <c r="H134" s="13">
        <v>106.2744132</v>
      </c>
      <c r="I134" s="8">
        <f t="shared" si="26"/>
        <v>4.2618768451841538E-2</v>
      </c>
      <c r="K134" s="26">
        <f t="shared" si="24"/>
        <v>94.093902112272929</v>
      </c>
      <c r="L134" s="8">
        <f t="shared" si="28"/>
        <v>2.4833715726407357E-2</v>
      </c>
      <c r="N134" s="271">
        <v>4.4050000000000002</v>
      </c>
      <c r="O134" s="8">
        <f t="shared" si="27"/>
        <v>5.3827751196172446E-2</v>
      </c>
      <c r="Q134" s="271">
        <v>94.75</v>
      </c>
      <c r="R134" s="8">
        <f t="shared" si="29"/>
        <v>0.10277001862197399</v>
      </c>
      <c r="S134" s="8"/>
      <c r="T134" s="8"/>
      <c r="U134" s="8"/>
    </row>
    <row r="135" spans="1:21">
      <c r="A135" s="28">
        <v>40544</v>
      </c>
      <c r="B135" s="13">
        <v>95.025985303941212</v>
      </c>
      <c r="C135" s="8">
        <f t="shared" si="25"/>
        <v>5.5448701916776422E-2</v>
      </c>
      <c r="D135" s="13"/>
      <c r="E135" s="26">
        <f t="shared" si="23"/>
        <v>86.271585264834854</v>
      </c>
      <c r="F135" s="9">
        <v>133</v>
      </c>
      <c r="H135" s="13">
        <v>110.41364511400364</v>
      </c>
      <c r="I135" s="8">
        <f t="shared" si="26"/>
        <v>3.8948527584094395E-2</v>
      </c>
      <c r="K135" s="26">
        <f t="shared" si="24"/>
        <v>98.87290025645683</v>
      </c>
      <c r="L135" s="8">
        <f t="shared" si="28"/>
        <v>5.078966901044879E-2</v>
      </c>
      <c r="N135" s="271">
        <v>4.42</v>
      </c>
      <c r="O135" s="8">
        <f t="shared" si="27"/>
        <v>3.4052213393869213E-3</v>
      </c>
      <c r="Q135" s="271">
        <v>101.01</v>
      </c>
      <c r="R135" s="8">
        <f t="shared" si="29"/>
        <v>6.6068601583113562E-2</v>
      </c>
      <c r="S135" s="8"/>
      <c r="T135" s="8"/>
      <c r="U135" s="8"/>
    </row>
    <row r="136" spans="1:21">
      <c r="A136" s="28">
        <v>40575</v>
      </c>
      <c r="B136" s="13">
        <v>101.5487982389146</v>
      </c>
      <c r="C136" s="8">
        <f t="shared" si="25"/>
        <v>6.8642413063228158E-2</v>
      </c>
      <c r="D136" s="13"/>
      <c r="E136" s="26">
        <f t="shared" si="23"/>
        <v>88.398523113911082</v>
      </c>
      <c r="F136" s="9">
        <v>134</v>
      </c>
      <c r="H136" s="13">
        <v>114.30432872307109</v>
      </c>
      <c r="I136" s="8">
        <f t="shared" si="26"/>
        <v>3.5237344125812253E-2</v>
      </c>
      <c r="K136" s="26">
        <f t="shared" si="24"/>
        <v>104.73768085995371</v>
      </c>
      <c r="L136" s="8">
        <f t="shared" si="28"/>
        <v>5.9316360582978733E-2</v>
      </c>
      <c r="N136" s="271">
        <v>4.0369999999999999</v>
      </c>
      <c r="O136" s="8">
        <f t="shared" si="27"/>
        <v>-8.6651583710407265E-2</v>
      </c>
      <c r="Q136" s="271">
        <v>111.8</v>
      </c>
      <c r="R136" s="8">
        <f t="shared" si="29"/>
        <v>0.10682110682110668</v>
      </c>
      <c r="S136" s="8"/>
      <c r="T136" s="8"/>
      <c r="U136" s="8"/>
    </row>
    <row r="137" spans="1:21">
      <c r="A137" s="28">
        <v>40603</v>
      </c>
      <c r="B137" s="13">
        <v>94.254548813766135</v>
      </c>
      <c r="C137" s="8">
        <f t="shared" si="25"/>
        <v>-7.182999259121936E-2</v>
      </c>
      <c r="D137" s="13"/>
      <c r="E137" s="26">
        <f t="shared" si="23"/>
        <v>89.218994575058261</v>
      </c>
      <c r="F137" s="9">
        <v>135</v>
      </c>
      <c r="H137" s="13">
        <v>117.7272624429057</v>
      </c>
      <c r="I137" s="8">
        <f t="shared" si="26"/>
        <v>2.9945792587850795E-2</v>
      </c>
      <c r="K137" s="26">
        <f t="shared" si="24"/>
        <v>100.12272722105104</v>
      </c>
      <c r="L137" s="8">
        <f t="shared" si="28"/>
        <v>-4.4062018568784223E-2</v>
      </c>
      <c r="N137" s="271">
        <v>4.3890000000000002</v>
      </c>
      <c r="O137" s="8">
        <f t="shared" si="27"/>
        <v>8.7193460490463393E-2</v>
      </c>
      <c r="Q137" s="271">
        <v>117.36</v>
      </c>
      <c r="R137" s="8">
        <f t="shared" si="29"/>
        <v>4.9731663685152139E-2</v>
      </c>
      <c r="S137" s="8"/>
      <c r="T137" s="8"/>
      <c r="U137" s="8"/>
    </row>
    <row r="138" spans="1:21">
      <c r="A138" s="28">
        <v>40634</v>
      </c>
      <c r="B138" s="13">
        <v>113.31151658053901</v>
      </c>
      <c r="C138" s="8">
        <f t="shared" si="25"/>
        <v>0.20218618630732377</v>
      </c>
      <c r="D138" s="13"/>
      <c r="E138" s="26">
        <f t="shared" si="23"/>
        <v>91.876226301769847</v>
      </c>
      <c r="F138" s="9">
        <v>136</v>
      </c>
      <c r="H138" s="13">
        <v>127.33259318223078</v>
      </c>
      <c r="I138" s="8">
        <f t="shared" si="26"/>
        <v>8.1589689083133132E-2</v>
      </c>
      <c r="K138" s="26">
        <f t="shared" si="24"/>
        <v>116.81678573096195</v>
      </c>
      <c r="L138" s="8">
        <f t="shared" si="28"/>
        <v>0.16673595469541858</v>
      </c>
      <c r="N138" s="271">
        <v>4.6980000000000004</v>
      </c>
      <c r="O138" s="8">
        <f t="shared" si="27"/>
        <v>7.040328092959669E-2</v>
      </c>
      <c r="Q138" s="271">
        <v>125.89</v>
      </c>
      <c r="R138" s="8">
        <f t="shared" si="29"/>
        <v>7.2682344921608744E-2</v>
      </c>
      <c r="S138" s="8"/>
      <c r="T138" s="8"/>
      <c r="U138" s="8"/>
    </row>
    <row r="139" spans="1:21">
      <c r="A139" s="28">
        <v>40664</v>
      </c>
      <c r="B139" s="13">
        <v>120.43458754097608</v>
      </c>
      <c r="C139" s="8">
        <f t="shared" si="25"/>
        <v>6.2862727244270555E-2</v>
      </c>
      <c r="D139" s="13"/>
      <c r="E139" s="26">
        <f t="shared" si="23"/>
        <v>94.984699341017858</v>
      </c>
      <c r="F139" s="9">
        <v>137</v>
      </c>
      <c r="H139" s="13">
        <v>138.30308520155182</v>
      </c>
      <c r="I139" s="8">
        <f t="shared" si="26"/>
        <v>8.6156197287372782E-2</v>
      </c>
      <c r="K139" s="26">
        <f t="shared" si="24"/>
        <v>124.90171195612002</v>
      </c>
      <c r="L139" s="8">
        <f t="shared" si="28"/>
        <v>6.9210312324277323E-2</v>
      </c>
      <c r="N139" s="271">
        <v>4.6660000000000004</v>
      </c>
      <c r="O139" s="8">
        <f t="shared" si="27"/>
        <v>-6.8114091102596808E-3</v>
      </c>
      <c r="Q139" s="271">
        <v>116.73</v>
      </c>
      <c r="R139" s="8">
        <f t="shared" si="29"/>
        <v>-7.2761935022638835E-2</v>
      </c>
      <c r="S139" s="8"/>
      <c r="T139" s="8"/>
      <c r="U139" s="8"/>
    </row>
    <row r="140" spans="1:21">
      <c r="A140" s="28">
        <v>40695</v>
      </c>
      <c r="B140" s="13">
        <v>127.26901032620709</v>
      </c>
      <c r="C140" s="8">
        <f t="shared" si="25"/>
        <v>5.6748006737729728E-2</v>
      </c>
      <c r="D140" s="13"/>
      <c r="E140" s="26">
        <f t="shared" si="23"/>
        <v>98.303847412368441</v>
      </c>
      <c r="F140" s="9">
        <v>138</v>
      </c>
      <c r="H140" s="13">
        <v>149.03507177055798</v>
      </c>
      <c r="I140" s="8">
        <f t="shared" si="26"/>
        <v>7.7597593382433994E-2</v>
      </c>
      <c r="K140" s="26">
        <f t="shared" si="24"/>
        <v>132.71052568729482</v>
      </c>
      <c r="L140" s="8">
        <f t="shared" si="28"/>
        <v>6.2519669337423922E-2</v>
      </c>
      <c r="N140" s="271">
        <v>4.3739999999999997</v>
      </c>
      <c r="O140" s="8">
        <f t="shared" si="27"/>
        <v>-6.2580368624089333E-2</v>
      </c>
      <c r="Q140" s="271">
        <v>112.48</v>
      </c>
      <c r="R140" s="8">
        <f t="shared" si="29"/>
        <v>-3.6408806647819758E-2</v>
      </c>
      <c r="S140" s="8"/>
      <c r="T140" s="8"/>
      <c r="U140" s="8"/>
    </row>
    <row r="141" spans="1:21">
      <c r="A141" s="28">
        <v>40725</v>
      </c>
      <c r="B141" s="13">
        <v>133.33559091757243</v>
      </c>
      <c r="C141" s="8">
        <f t="shared" si="25"/>
        <v>4.7667382466602737E-2</v>
      </c>
      <c r="D141" s="13"/>
      <c r="E141" s="26">
        <f t="shared" si="23"/>
        <v>101.95187535080454</v>
      </c>
      <c r="F141" s="9">
        <v>139</v>
      </c>
      <c r="H141" s="13">
        <v>145.86618613717758</v>
      </c>
      <c r="I141" s="8">
        <f t="shared" si="26"/>
        <v>-2.1262683982592678E-2</v>
      </c>
      <c r="K141" s="26">
        <f t="shared" si="24"/>
        <v>136.46823972247373</v>
      </c>
      <c r="L141" s="8">
        <f t="shared" si="28"/>
        <v>2.8315116798144579E-2</v>
      </c>
      <c r="N141" s="271">
        <v>4.1449999999999996</v>
      </c>
      <c r="O141" s="8">
        <f t="shared" si="27"/>
        <v>-5.2354823959762209E-2</v>
      </c>
      <c r="Q141" s="271">
        <v>116.74</v>
      </c>
      <c r="R141" s="8">
        <f t="shared" si="29"/>
        <v>3.7873399715504963E-2</v>
      </c>
      <c r="S141" s="8"/>
      <c r="T141" s="8"/>
      <c r="U141" s="8"/>
    </row>
    <row r="142" spans="1:21">
      <c r="A142" s="28">
        <v>40756</v>
      </c>
      <c r="B142" s="13">
        <v>129.66774467047395</v>
      </c>
      <c r="C142" s="8">
        <f t="shared" si="25"/>
        <v>-2.7508381084581757E-2</v>
      </c>
      <c r="D142" s="13"/>
      <c r="E142" s="26">
        <f t="shared" ref="E142" si="30">AVERAGE(B131:B142)</f>
        <v>105.50528348255817</v>
      </c>
      <c r="F142" s="9">
        <v>140</v>
      </c>
      <c r="H142" s="13">
        <v>129.93843776665668</v>
      </c>
      <c r="I142" s="8">
        <f t="shared" si="26"/>
        <v>-0.1091942470857632</v>
      </c>
      <c r="K142" s="26">
        <f t="shared" si="24"/>
        <v>129.73541794451964</v>
      </c>
      <c r="L142" s="8">
        <f t="shared" si="28"/>
        <v>-4.933618101652204E-2</v>
      </c>
      <c r="N142" s="271">
        <v>4.0540000000000003</v>
      </c>
      <c r="O142" s="8">
        <f t="shared" si="27"/>
        <v>-2.1954161640530545E-2</v>
      </c>
      <c r="Q142" s="271">
        <v>114.85</v>
      </c>
      <c r="R142" s="8">
        <f t="shared" si="29"/>
        <v>-1.6189823539489501E-2</v>
      </c>
      <c r="S142" s="8"/>
      <c r="T142" s="8"/>
      <c r="U142" s="8"/>
    </row>
    <row r="143" spans="1:21">
      <c r="A143" s="28">
        <v>40787</v>
      </c>
      <c r="B143" s="13">
        <v>133.38971831554892</v>
      </c>
      <c r="C143" s="8">
        <f t="shared" si="25"/>
        <v>2.8703928294069314E-2</v>
      </c>
      <c r="D143" s="13"/>
      <c r="E143" s="26">
        <f t="shared" ref="E143:E166" si="31">AVERAGE(B132:B143)</f>
        <v>109.48663199739146</v>
      </c>
      <c r="F143" s="9">
        <v>141</v>
      </c>
      <c r="H143" s="13">
        <v>138.2054046245384</v>
      </c>
      <c r="I143" s="8">
        <f t="shared" si="26"/>
        <v>6.3622181395835531E-2</v>
      </c>
      <c r="K143" s="26">
        <f t="shared" si="24"/>
        <v>134.59363989279629</v>
      </c>
      <c r="L143" s="8">
        <f t="shared" si="28"/>
        <v>3.7447152252241711E-2</v>
      </c>
      <c r="N143" s="271">
        <v>3.6659999999999999</v>
      </c>
      <c r="O143" s="8">
        <f t="shared" si="27"/>
        <v>-9.5707942772570331E-2</v>
      </c>
      <c r="Q143" s="271">
        <v>102.76</v>
      </c>
      <c r="R143" s="8">
        <f t="shared" si="29"/>
        <v>-0.10526774053112742</v>
      </c>
      <c r="S143" s="8"/>
      <c r="T143" s="8"/>
      <c r="U143" s="8"/>
    </row>
    <row r="144" spans="1:21">
      <c r="A144" s="28">
        <v>40817</v>
      </c>
      <c r="B144" s="13">
        <v>132.20516767742612</v>
      </c>
      <c r="C144" s="8">
        <f t="shared" si="25"/>
        <v>-8.8803743877815533E-3</v>
      </c>
      <c r="D144" s="13"/>
      <c r="E144" s="26">
        <f t="shared" si="31"/>
        <v>113.24317290732404</v>
      </c>
      <c r="F144" s="9">
        <v>142</v>
      </c>
      <c r="H144" s="13">
        <v>134.50362118482315</v>
      </c>
      <c r="I144" s="8">
        <f t="shared" si="26"/>
        <v>-2.6784650352653427E-2</v>
      </c>
      <c r="K144" s="26">
        <f t="shared" si="24"/>
        <v>132.77978105427536</v>
      </c>
      <c r="L144" s="8">
        <f t="shared" si="28"/>
        <v>-1.3476556841509502E-2</v>
      </c>
      <c r="N144" s="271">
        <v>3.9340000000000002</v>
      </c>
      <c r="O144" s="8">
        <f t="shared" si="27"/>
        <v>7.3104200763775218E-2</v>
      </c>
      <c r="Q144" s="271">
        <v>109.56</v>
      </c>
      <c r="R144" s="8">
        <f t="shared" si="29"/>
        <v>6.6173608407940732E-2</v>
      </c>
      <c r="S144" s="8"/>
      <c r="T144" s="8"/>
      <c r="U144" s="8"/>
    </row>
    <row r="145" spans="1:21">
      <c r="A145" s="28">
        <v>40848</v>
      </c>
      <c r="B145" s="13">
        <v>132.60043950361944</v>
      </c>
      <c r="C145" s="8">
        <f t="shared" si="25"/>
        <v>2.9898364272549216E-3</v>
      </c>
      <c r="D145" s="13"/>
      <c r="E145" s="26">
        <f t="shared" si="31"/>
        <v>116.92306996989016</v>
      </c>
      <c r="F145" s="9">
        <v>143</v>
      </c>
      <c r="H145" s="13">
        <v>136.46090450717924</v>
      </c>
      <c r="I145" s="8">
        <f t="shared" si="26"/>
        <v>1.4551900574234722E-2</v>
      </c>
      <c r="K145" s="26">
        <f t="shared" si="24"/>
        <v>133.56555575450938</v>
      </c>
      <c r="L145" s="8">
        <f t="shared" si="28"/>
        <v>5.9178791680098985E-3</v>
      </c>
      <c r="N145" s="271">
        <v>3.55</v>
      </c>
      <c r="O145" s="8">
        <f t="shared" si="27"/>
        <v>-9.7610574478901979E-2</v>
      </c>
      <c r="Q145" s="271">
        <v>110.52</v>
      </c>
      <c r="R145" s="8">
        <f t="shared" si="29"/>
        <v>8.7623220153341119E-3</v>
      </c>
      <c r="S145" s="8"/>
      <c r="T145" s="8"/>
      <c r="U145" s="8"/>
    </row>
    <row r="146" spans="1:21">
      <c r="A146" s="28">
        <v>40878</v>
      </c>
      <c r="B146" s="13">
        <v>129.70038675202517</v>
      </c>
      <c r="C146" s="8">
        <f t="shared" si="25"/>
        <v>-2.1870611910868587E-2</v>
      </c>
      <c r="D146" s="13"/>
      <c r="E146" s="26">
        <f t="shared" si="31"/>
        <v>120.22862455341749</v>
      </c>
      <c r="F146" s="9">
        <v>144</v>
      </c>
      <c r="H146" s="13">
        <v>136.84356745410983</v>
      </c>
      <c r="I146" s="8">
        <f t="shared" si="26"/>
        <v>2.8041947128560896E-3</v>
      </c>
      <c r="K146" s="26">
        <f t="shared" si="24"/>
        <v>131.48618192754634</v>
      </c>
      <c r="L146" s="8">
        <f t="shared" si="28"/>
        <v>-1.556818908300639E-2</v>
      </c>
      <c r="N146" s="271">
        <v>2.9889999999999999</v>
      </c>
      <c r="O146" s="8">
        <f t="shared" si="27"/>
        <v>-0.15802816901408445</v>
      </c>
      <c r="Q146" s="271">
        <v>107.38</v>
      </c>
      <c r="R146" s="8">
        <f t="shared" si="29"/>
        <v>-2.841114730365546E-2</v>
      </c>
      <c r="S146" s="8"/>
      <c r="T146" s="8"/>
      <c r="U146" s="8"/>
    </row>
    <row r="147" spans="1:21">
      <c r="A147" s="28">
        <v>40909</v>
      </c>
      <c r="B147" s="13">
        <v>131.98337435956788</v>
      </c>
      <c r="C147" s="8">
        <f t="shared" si="25"/>
        <v>1.7602010793595912E-2</v>
      </c>
      <c r="D147" s="13"/>
      <c r="E147" s="26">
        <f t="shared" si="31"/>
        <v>123.30840697471973</v>
      </c>
      <c r="F147" s="9">
        <v>145</v>
      </c>
      <c r="H147" s="13">
        <v>138.50065706632478</v>
      </c>
      <c r="I147" s="8">
        <f t="shared" si="26"/>
        <v>1.2109371620778964E-2</v>
      </c>
      <c r="K147" s="26">
        <f t="shared" si="24"/>
        <v>133.61269503625709</v>
      </c>
      <c r="L147" s="8">
        <f t="shared" si="28"/>
        <v>1.6172901802582906E-2</v>
      </c>
      <c r="N147" s="271">
        <v>2.5030000000000001</v>
      </c>
      <c r="O147" s="8">
        <f t="shared" si="27"/>
        <v>-0.16259618601538972</v>
      </c>
      <c r="Q147" s="271">
        <v>110.98</v>
      </c>
      <c r="R147" s="8">
        <f t="shared" si="29"/>
        <v>3.3525796237660721E-2</v>
      </c>
      <c r="S147" s="8"/>
      <c r="T147" s="8"/>
      <c r="U147" s="8"/>
    </row>
    <row r="148" spans="1:21">
      <c r="A148" s="28">
        <v>40940</v>
      </c>
      <c r="B148" s="13">
        <v>131.42988783721802</v>
      </c>
      <c r="C148" s="8">
        <f t="shared" si="25"/>
        <v>-4.1936079073260357E-3</v>
      </c>
      <c r="D148" s="13"/>
      <c r="E148" s="26">
        <f t="shared" si="31"/>
        <v>125.79849777457837</v>
      </c>
      <c r="F148" s="9">
        <v>146</v>
      </c>
      <c r="H148" s="13">
        <v>134.18343255327679</v>
      </c>
      <c r="I148" s="8">
        <f t="shared" si="26"/>
        <v>-3.1171148242138402E-2</v>
      </c>
      <c r="K148" s="26">
        <f t="shared" si="24"/>
        <v>132.1182740162327</v>
      </c>
      <c r="L148" s="8">
        <f t="shared" si="28"/>
        <v>-1.1184723275126429E-2</v>
      </c>
      <c r="N148" s="271">
        <v>2.6160000000000001</v>
      </c>
      <c r="O148" s="8">
        <f t="shared" si="27"/>
        <v>4.5145825009988094E-2</v>
      </c>
      <c r="Q148" s="271">
        <v>122.66</v>
      </c>
      <c r="R148" s="8">
        <f t="shared" si="29"/>
        <v>0.10524418814200742</v>
      </c>
      <c r="S148" s="8"/>
      <c r="T148" s="8"/>
      <c r="U148" s="8"/>
    </row>
    <row r="149" spans="1:21">
      <c r="A149" s="28">
        <v>40969</v>
      </c>
      <c r="B149" s="13">
        <v>133.19378374032965</v>
      </c>
      <c r="C149" s="8">
        <f t="shared" si="25"/>
        <v>1.3420812663983206E-2</v>
      </c>
      <c r="D149" s="13"/>
      <c r="E149" s="26">
        <f t="shared" si="31"/>
        <v>129.04343401845867</v>
      </c>
      <c r="F149" s="9">
        <v>147</v>
      </c>
      <c r="H149" s="13">
        <v>138.59186552311385</v>
      </c>
      <c r="I149" s="8">
        <f t="shared" si="26"/>
        <v>3.2853779978289976E-2</v>
      </c>
      <c r="K149" s="26">
        <f t="shared" si="24"/>
        <v>134.54330418602569</v>
      </c>
      <c r="L149" s="8">
        <f t="shared" si="28"/>
        <v>1.8354994324971674E-2</v>
      </c>
      <c r="N149" s="271">
        <v>2.1259999999999999</v>
      </c>
      <c r="O149" s="8">
        <f t="shared" si="27"/>
        <v>-0.18730886850152917</v>
      </c>
      <c r="Q149" s="271">
        <v>122.88</v>
      </c>
      <c r="R149" s="8">
        <f t="shared" si="29"/>
        <v>1.7935757378118034E-3</v>
      </c>
      <c r="S149" s="8"/>
      <c r="T149" s="8"/>
      <c r="U149" s="8"/>
    </row>
    <row r="150" spans="1:21">
      <c r="A150" s="28">
        <v>41000</v>
      </c>
      <c r="B150" s="13">
        <v>138.71427959663376</v>
      </c>
      <c r="C150" s="8">
        <f t="shared" si="25"/>
        <v>4.1447098365090973E-2</v>
      </c>
      <c r="D150" s="13"/>
      <c r="E150" s="26">
        <f t="shared" si="31"/>
        <v>131.16033093646658</v>
      </c>
      <c r="F150" s="9">
        <v>148</v>
      </c>
      <c r="H150" s="13">
        <v>144.70071942446043</v>
      </c>
      <c r="I150" s="8">
        <f t="shared" si="26"/>
        <v>4.4078011925799299E-2</v>
      </c>
      <c r="K150" s="26">
        <f t="shared" si="24"/>
        <v>140.21088955359042</v>
      </c>
      <c r="L150" s="8">
        <f t="shared" si="28"/>
        <v>4.2124618552019877E-2</v>
      </c>
      <c r="N150" s="271">
        <v>2.2850000000000001</v>
      </c>
      <c r="O150" s="8">
        <f t="shared" si="27"/>
        <v>7.4788334901223052E-2</v>
      </c>
      <c r="Q150" s="271">
        <v>119.47</v>
      </c>
      <c r="R150" s="8">
        <f t="shared" si="29"/>
        <v>-2.775065104166663E-2</v>
      </c>
      <c r="S150" s="8"/>
      <c r="T150" s="8"/>
      <c r="U150" s="8"/>
    </row>
    <row r="151" spans="1:21">
      <c r="A151" s="28">
        <v>41030</v>
      </c>
      <c r="B151" s="13">
        <v>143.31578674506773</v>
      </c>
      <c r="C151" s="8">
        <f t="shared" si="25"/>
        <v>3.3172555571168605E-2</v>
      </c>
      <c r="D151" s="13"/>
      <c r="E151" s="26">
        <f t="shared" si="31"/>
        <v>133.06709753680752</v>
      </c>
      <c r="F151" s="9">
        <v>149</v>
      </c>
      <c r="H151" s="13">
        <v>150.70652734317173</v>
      </c>
      <c r="I151" s="8">
        <f t="shared" si="26"/>
        <v>4.1505031506402279E-2</v>
      </c>
      <c r="K151" s="26">
        <f t="shared" si="24"/>
        <v>145.16347189459373</v>
      </c>
      <c r="L151" s="8">
        <f t="shared" si="28"/>
        <v>3.5322380143022913E-2</v>
      </c>
      <c r="N151" s="271">
        <v>2.4220000000000002</v>
      </c>
      <c r="O151" s="8">
        <f t="shared" si="27"/>
        <v>5.9956236323851275E-2</v>
      </c>
      <c r="Q151" s="271">
        <v>101.87</v>
      </c>
      <c r="R151" s="8">
        <f t="shared" si="29"/>
        <v>-0.14731731815518534</v>
      </c>
      <c r="S151" s="8"/>
      <c r="T151" s="8"/>
      <c r="U151" s="8"/>
    </row>
    <row r="152" spans="1:21">
      <c r="A152" s="28">
        <v>41061</v>
      </c>
      <c r="B152" s="13">
        <v>146.00830379435698</v>
      </c>
      <c r="C152" s="8">
        <f t="shared" si="25"/>
        <v>1.8787302574549969E-2</v>
      </c>
      <c r="D152" s="13"/>
      <c r="E152" s="26">
        <f t="shared" si="31"/>
        <v>134.62870532582002</v>
      </c>
      <c r="F152" s="9">
        <v>150</v>
      </c>
      <c r="H152" s="13">
        <v>145.30278229786325</v>
      </c>
      <c r="I152" s="8">
        <f t="shared" si="26"/>
        <v>-3.5856078303786343E-2</v>
      </c>
      <c r="K152" s="26">
        <f t="shared" si="24"/>
        <v>145.83192342023355</v>
      </c>
      <c r="L152" s="8">
        <f t="shared" si="28"/>
        <v>4.6048190837237879E-3</v>
      </c>
      <c r="N152" s="271">
        <v>2.8239999999999998</v>
      </c>
      <c r="O152" s="8">
        <f t="shared" si="27"/>
        <v>0.16597853014037978</v>
      </c>
      <c r="Q152" s="271">
        <v>97.8</v>
      </c>
      <c r="R152" s="8">
        <f t="shared" si="29"/>
        <v>-3.9952881122999995E-2</v>
      </c>
      <c r="S152" s="8"/>
      <c r="T152" s="8"/>
      <c r="U152" s="8"/>
    </row>
    <row r="153" spans="1:21">
      <c r="A153" s="28">
        <v>41091</v>
      </c>
      <c r="B153" s="13">
        <v>146.71292977909818</v>
      </c>
      <c r="C153" s="8">
        <f t="shared" si="25"/>
        <v>4.8259308986535743E-3</v>
      </c>
      <c r="D153" s="13"/>
      <c r="E153" s="26">
        <f t="shared" si="31"/>
        <v>135.7434835642805</v>
      </c>
      <c r="F153" s="9">
        <v>151</v>
      </c>
      <c r="H153" s="13">
        <v>136.36973997441035</v>
      </c>
      <c r="I153" s="8">
        <f t="shared" si="26"/>
        <v>-6.1478811225655794E-2</v>
      </c>
      <c r="K153" s="26">
        <f t="shared" si="24"/>
        <v>144.1271323279262</v>
      </c>
      <c r="L153" s="8">
        <f t="shared" si="28"/>
        <v>-1.1690109081224809E-2</v>
      </c>
      <c r="N153" s="271">
        <v>3.2090000000000001</v>
      </c>
      <c r="O153" s="8">
        <f t="shared" si="27"/>
        <v>0.136331444759207</v>
      </c>
      <c r="Q153" s="271">
        <v>104.92</v>
      </c>
      <c r="R153" s="8">
        <f t="shared" si="29"/>
        <v>7.2801635991819991E-2</v>
      </c>
      <c r="S153" s="8"/>
      <c r="T153" s="8"/>
      <c r="U153" s="8"/>
    </row>
    <row r="154" spans="1:21">
      <c r="A154" s="28">
        <v>41122</v>
      </c>
      <c r="B154" s="13">
        <v>137.93074325086013</v>
      </c>
      <c r="C154" s="8">
        <f t="shared" si="25"/>
        <v>-5.9859662958548721E-2</v>
      </c>
      <c r="D154" s="13"/>
      <c r="E154" s="26">
        <f t="shared" si="31"/>
        <v>136.43206677931266</v>
      </c>
      <c r="F154" s="9">
        <v>152</v>
      </c>
      <c r="H154" s="13">
        <v>131.30018449500287</v>
      </c>
      <c r="I154" s="8">
        <f t="shared" si="26"/>
        <v>-3.7175076232885518E-2</v>
      </c>
      <c r="K154" s="26">
        <f t="shared" si="24"/>
        <v>136.27310356189582</v>
      </c>
      <c r="L154" s="8">
        <f t="shared" si="28"/>
        <v>-5.4493755888797235E-2</v>
      </c>
      <c r="N154" s="271">
        <v>2.7989999999999999</v>
      </c>
      <c r="O154" s="8">
        <f t="shared" si="27"/>
        <v>-0.12776565908382675</v>
      </c>
      <c r="Q154" s="271">
        <v>114.57</v>
      </c>
      <c r="R154" s="8">
        <f t="shared" si="29"/>
        <v>9.1974837971787959E-2</v>
      </c>
      <c r="S154" s="8"/>
      <c r="T154" s="8"/>
      <c r="U154" s="8"/>
    </row>
    <row r="155" spans="1:21">
      <c r="A155" s="28">
        <v>41153</v>
      </c>
      <c r="B155" s="13">
        <v>131.46453177722074</v>
      </c>
      <c r="C155" s="8">
        <f t="shared" si="25"/>
        <v>-4.6880132168062305E-2</v>
      </c>
      <c r="D155" s="13"/>
      <c r="E155" s="26">
        <f t="shared" si="31"/>
        <v>136.27163456778533</v>
      </c>
      <c r="F155" s="9">
        <v>153</v>
      </c>
      <c r="H155" s="13">
        <v>130.50905730901346</v>
      </c>
      <c r="I155" s="8">
        <f t="shared" si="26"/>
        <v>-6.0253318685894452E-3</v>
      </c>
      <c r="K155" s="26">
        <f t="shared" si="24"/>
        <v>131.22566316016892</v>
      </c>
      <c r="L155" s="8">
        <f t="shared" si="28"/>
        <v>-3.7039153507165357E-2</v>
      </c>
      <c r="N155" s="271">
        <v>3.32</v>
      </c>
      <c r="O155" s="8">
        <f t="shared" si="27"/>
        <v>0.18613790639514116</v>
      </c>
      <c r="Q155" s="271">
        <v>112.39</v>
      </c>
      <c r="R155" s="8">
        <f t="shared" si="29"/>
        <v>-1.9027668674172937E-2</v>
      </c>
      <c r="S155" s="8"/>
      <c r="T155" s="8"/>
      <c r="U155" s="8"/>
    </row>
    <row r="156" spans="1:21">
      <c r="A156" s="28">
        <v>41183</v>
      </c>
      <c r="B156" s="13">
        <v>130.91171556617505</v>
      </c>
      <c r="C156" s="8">
        <f t="shared" si="25"/>
        <v>-4.2050597493664688E-3</v>
      </c>
      <c r="D156" s="13"/>
      <c r="E156" s="26">
        <f t="shared" si="31"/>
        <v>136.16384689184773</v>
      </c>
      <c r="F156" s="9">
        <v>154</v>
      </c>
      <c r="H156" s="13">
        <v>138.35309053537037</v>
      </c>
      <c r="I156" s="8">
        <f t="shared" si="26"/>
        <v>6.0103362847715447E-2</v>
      </c>
      <c r="K156" s="26">
        <f t="shared" si="24"/>
        <v>132.77205930847387</v>
      </c>
      <c r="L156" s="8">
        <f t="shared" si="28"/>
        <v>1.1784250969396837E-2</v>
      </c>
      <c r="N156" s="271">
        <v>3.6920000000000002</v>
      </c>
      <c r="O156" s="8">
        <f t="shared" si="27"/>
        <v>0.11204819277108435</v>
      </c>
      <c r="Q156" s="271">
        <v>108.7</v>
      </c>
      <c r="R156" s="8">
        <f t="shared" si="29"/>
        <v>-3.2832102500222393E-2</v>
      </c>
      <c r="S156" s="8"/>
      <c r="T156" s="8"/>
      <c r="U156" s="8"/>
    </row>
    <row r="157" spans="1:21">
      <c r="A157" s="28">
        <v>41214</v>
      </c>
      <c r="B157" s="13">
        <v>125.45795218995028</v>
      </c>
      <c r="C157" s="8">
        <f t="shared" si="25"/>
        <v>-4.1659857199472183E-2</v>
      </c>
      <c r="D157" s="13"/>
      <c r="E157" s="26">
        <f t="shared" si="31"/>
        <v>135.56863961570863</v>
      </c>
      <c r="F157" s="9">
        <v>155</v>
      </c>
      <c r="H157" s="13">
        <v>149.48238061193828</v>
      </c>
      <c r="I157" s="8">
        <f t="shared" si="26"/>
        <v>8.0441210481833725E-2</v>
      </c>
      <c r="K157" s="26">
        <f t="shared" si="24"/>
        <v>131.46405929544727</v>
      </c>
      <c r="L157" s="8">
        <f t="shared" si="28"/>
        <v>-9.851470406041396E-3</v>
      </c>
      <c r="N157" s="271">
        <v>3.5609999999999999</v>
      </c>
      <c r="O157" s="8">
        <f t="shared" si="27"/>
        <v>-3.5482123510292563E-2</v>
      </c>
      <c r="Q157" s="271">
        <v>111.23</v>
      </c>
      <c r="R157" s="8">
        <f t="shared" si="29"/>
        <v>2.3275068997240078E-2</v>
      </c>
      <c r="S157" s="8"/>
      <c r="T157" s="8"/>
      <c r="U157" s="8"/>
    </row>
    <row r="158" spans="1:21">
      <c r="A158" s="28">
        <v>41244</v>
      </c>
      <c r="B158" s="13">
        <v>127.39688275171093</v>
      </c>
      <c r="C158" s="8">
        <f t="shared" si="25"/>
        <v>1.5454823930371564E-2</v>
      </c>
      <c r="D158" s="13"/>
      <c r="E158" s="26">
        <f t="shared" si="31"/>
        <v>135.37668094901579</v>
      </c>
      <c r="F158" s="9">
        <v>156</v>
      </c>
      <c r="H158" s="13">
        <v>149.72084298150483</v>
      </c>
      <c r="I158" s="8">
        <f t="shared" si="26"/>
        <v>1.5952540265304904E-3</v>
      </c>
      <c r="K158" s="26">
        <f t="shared" si="24"/>
        <v>132.97787280915941</v>
      </c>
      <c r="L158" s="8">
        <f t="shared" si="28"/>
        <v>1.1515037051381904E-2</v>
      </c>
      <c r="N158" s="271">
        <v>3.351</v>
      </c>
      <c r="O158" s="8">
        <f t="shared" si="27"/>
        <v>-5.8972198820556043E-2</v>
      </c>
      <c r="Q158" s="271">
        <v>111.11</v>
      </c>
      <c r="R158" s="8">
        <f t="shared" si="29"/>
        <v>-1.0788456351703557E-3</v>
      </c>
      <c r="S158" s="8"/>
      <c r="T158" s="8"/>
      <c r="U158" s="8"/>
    </row>
    <row r="159" spans="1:21">
      <c r="A159" s="28">
        <v>41275</v>
      </c>
      <c r="B159" s="13">
        <v>128.20485409003328</v>
      </c>
      <c r="C159" s="8">
        <f t="shared" si="25"/>
        <v>6.3421594066555009E-3</v>
      </c>
      <c r="D159" s="13"/>
      <c r="E159" s="26">
        <f t="shared" si="31"/>
        <v>135.06180425988788</v>
      </c>
      <c r="F159" s="9">
        <v>157</v>
      </c>
      <c r="H159" s="13">
        <v>143.9121393926408</v>
      </c>
      <c r="I159" s="8">
        <f t="shared" si="26"/>
        <v>-3.8796893426398804E-2</v>
      </c>
      <c r="K159" s="26">
        <f t="shared" si="24"/>
        <v>132.13167541568515</v>
      </c>
      <c r="L159" s="8">
        <f t="shared" si="28"/>
        <v>-6.3634451025447181E-3</v>
      </c>
      <c r="N159" s="271">
        <v>3.339</v>
      </c>
      <c r="O159" s="8">
        <f t="shared" si="27"/>
        <v>-3.5810205908684001E-3</v>
      </c>
      <c r="Q159" s="271">
        <v>115.55</v>
      </c>
      <c r="R159" s="8">
        <f t="shared" si="29"/>
        <v>3.9960399603996111E-2</v>
      </c>
      <c r="S159" s="8"/>
      <c r="T159" s="8"/>
      <c r="U159" s="8"/>
    </row>
    <row r="160" spans="1:21">
      <c r="A160" s="28">
        <v>41306</v>
      </c>
      <c r="B160" s="13">
        <v>125.96281900006475</v>
      </c>
      <c r="C160" s="8">
        <f t="shared" si="25"/>
        <v>-1.7487911092617714E-2</v>
      </c>
      <c r="D160" s="13"/>
      <c r="E160" s="26">
        <f t="shared" si="31"/>
        <v>134.60621519012511</v>
      </c>
      <c r="F160" s="9">
        <v>158</v>
      </c>
      <c r="H160" s="13">
        <v>138.28219843005397</v>
      </c>
      <c r="I160" s="8">
        <f t="shared" si="26"/>
        <v>-3.9120681454303585E-2</v>
      </c>
      <c r="K160" s="26">
        <f t="shared" si="24"/>
        <v>129.04266385756205</v>
      </c>
      <c r="L160" s="8">
        <f t="shared" si="28"/>
        <v>-2.3378281917678656E-2</v>
      </c>
      <c r="N160" s="271">
        <v>3.4860000000000002</v>
      </c>
      <c r="O160" s="8">
        <f t="shared" si="27"/>
        <v>4.4025157232704393E-2</v>
      </c>
      <c r="Q160" s="271">
        <v>111.38</v>
      </c>
      <c r="R160" s="8">
        <f t="shared" si="29"/>
        <v>-3.608827347468635E-2</v>
      </c>
      <c r="S160" s="8"/>
      <c r="T160" s="8"/>
      <c r="U160" s="8"/>
    </row>
    <row r="161" spans="1:21">
      <c r="A161" s="28">
        <v>41334</v>
      </c>
      <c r="B161" s="13">
        <v>125.75190719515645</v>
      </c>
      <c r="C161" s="8">
        <f t="shared" si="25"/>
        <v>-1.6743973069401896E-3</v>
      </c>
      <c r="D161" s="13"/>
      <c r="E161" s="26">
        <f t="shared" si="31"/>
        <v>133.98605881136069</v>
      </c>
      <c r="F161" s="9">
        <v>159</v>
      </c>
      <c r="H161" s="13">
        <v>142.56925128687317</v>
      </c>
      <c r="I161" s="8">
        <f t="shared" si="26"/>
        <v>3.1002203504796544E-2</v>
      </c>
      <c r="K161" s="26">
        <f t="shared" si="24"/>
        <v>129.95624321808563</v>
      </c>
      <c r="L161" s="8">
        <f t="shared" si="28"/>
        <v>7.0796691048784499E-3</v>
      </c>
      <c r="N161" s="271">
        <v>4.024</v>
      </c>
      <c r="O161" s="8">
        <f t="shared" si="27"/>
        <v>0.15433161216293745</v>
      </c>
      <c r="Q161" s="271">
        <v>110.02</v>
      </c>
      <c r="R161" s="8">
        <f t="shared" si="29"/>
        <v>-1.2210450709283505E-2</v>
      </c>
      <c r="S161" s="8"/>
      <c r="T161" s="8"/>
      <c r="U161" s="8"/>
    </row>
    <row r="162" spans="1:21">
      <c r="A162" s="28">
        <v>41365</v>
      </c>
      <c r="B162" s="13">
        <v>129.36055346348991</v>
      </c>
      <c r="C162" s="8">
        <f t="shared" si="25"/>
        <v>2.8696552989316837E-2</v>
      </c>
      <c r="D162" s="13"/>
      <c r="E162" s="26">
        <f t="shared" si="31"/>
        <v>133.20658163359869</v>
      </c>
      <c r="F162" s="9">
        <v>160</v>
      </c>
      <c r="H162" s="13">
        <v>145.23113544394192</v>
      </c>
      <c r="I162" s="8">
        <f t="shared" si="26"/>
        <v>1.8670815291809362E-2</v>
      </c>
      <c r="K162" s="26">
        <f t="shared" si="24"/>
        <v>133.32819895860291</v>
      </c>
      <c r="L162" s="8">
        <f t="shared" si="28"/>
        <v>2.5946854549024234E-2</v>
      </c>
      <c r="N162" s="271">
        <v>4.343</v>
      </c>
      <c r="O162" s="8">
        <f t="shared" si="27"/>
        <v>7.9274353876739534E-2</v>
      </c>
      <c r="Q162" s="271">
        <v>102.37</v>
      </c>
      <c r="R162" s="8">
        <f t="shared" si="29"/>
        <v>-6.9532812215960638E-2</v>
      </c>
      <c r="S162" s="8"/>
      <c r="T162" s="8"/>
      <c r="U162" s="8"/>
    </row>
    <row r="163" spans="1:21">
      <c r="A163" s="28">
        <v>41395</v>
      </c>
      <c r="B163" s="13">
        <v>128.52808672061258</v>
      </c>
      <c r="C163" s="8">
        <f t="shared" si="25"/>
        <v>-6.4352441342351296E-3</v>
      </c>
      <c r="D163" s="13"/>
      <c r="E163" s="26">
        <f t="shared" si="31"/>
        <v>131.97427329822744</v>
      </c>
      <c r="F163" s="9">
        <v>161</v>
      </c>
      <c r="H163" s="13">
        <v>139.70483512517569</v>
      </c>
      <c r="I163" s="8">
        <f t="shared" si="26"/>
        <v>-3.8051760057328354E-2</v>
      </c>
      <c r="K163" s="26">
        <f t="shared" ref="K163:K182" si="32">0.75*B163+0.25*H163</f>
        <v>131.32227382175336</v>
      </c>
      <c r="L163" s="8">
        <f t="shared" si="28"/>
        <v>-1.5045017877068689E-2</v>
      </c>
      <c r="N163" s="271">
        <v>3.984</v>
      </c>
      <c r="O163" s="8">
        <f t="shared" si="27"/>
        <v>-8.2661754547547761E-2</v>
      </c>
      <c r="Q163" s="271">
        <v>100.39</v>
      </c>
      <c r="R163" s="8">
        <f t="shared" si="29"/>
        <v>-1.9341603985542632E-2</v>
      </c>
      <c r="S163" s="8"/>
      <c r="T163" s="8"/>
      <c r="U163" s="8"/>
    </row>
    <row r="164" spans="1:21">
      <c r="A164" s="28">
        <v>41426</v>
      </c>
      <c r="B164" s="13">
        <v>127.4238200617235</v>
      </c>
      <c r="C164" s="8">
        <f t="shared" ref="C164:C182" si="33">B164/B163-1</f>
        <v>-8.5916369492800015E-3</v>
      </c>
      <c r="D164" s="13"/>
      <c r="E164" s="26">
        <f t="shared" si="31"/>
        <v>130.42556632050795</v>
      </c>
      <c r="F164" s="9">
        <v>162</v>
      </c>
      <c r="H164" s="13">
        <v>134.26542280745448</v>
      </c>
      <c r="I164" s="8">
        <f t="shared" ref="I164:I182" si="34">H164/H163-1</f>
        <v>-3.8935032655437296E-2</v>
      </c>
      <c r="K164" s="26">
        <f t="shared" si="32"/>
        <v>129.13422074815625</v>
      </c>
      <c r="L164" s="8">
        <f t="shared" si="28"/>
        <v>-1.6661705664394733E-2</v>
      </c>
      <c r="N164" s="271">
        <v>3.5649999999999999</v>
      </c>
      <c r="O164" s="8">
        <f t="shared" ref="O164:O185" si="35">N164/N163-1</f>
        <v>-0.10517068273092367</v>
      </c>
      <c r="Q164" s="271">
        <v>102.16</v>
      </c>
      <c r="R164" s="8">
        <f t="shared" si="29"/>
        <v>1.7631238171132546E-2</v>
      </c>
      <c r="S164" s="8"/>
      <c r="T164" s="8"/>
      <c r="U164" s="8"/>
    </row>
    <row r="165" spans="1:21">
      <c r="A165" s="28">
        <v>41456</v>
      </c>
      <c r="B165" s="13">
        <v>125.18045062084265</v>
      </c>
      <c r="C165" s="8">
        <f t="shared" si="33"/>
        <v>-1.7605573587373025E-2</v>
      </c>
      <c r="D165" s="13"/>
      <c r="E165" s="26">
        <f t="shared" si="31"/>
        <v>128.63119305732002</v>
      </c>
      <c r="F165" s="9">
        <v>163</v>
      </c>
      <c r="H165" s="13">
        <v>132.1211142091492</v>
      </c>
      <c r="I165" s="8">
        <f t="shared" si="34"/>
        <v>-1.5970668795199594E-2</v>
      </c>
      <c r="K165" s="26">
        <f t="shared" si="32"/>
        <v>126.91561651791929</v>
      </c>
      <c r="L165" s="8">
        <f t="shared" si="28"/>
        <v>-1.7180606483573335E-2</v>
      </c>
      <c r="N165" s="271">
        <v>3.4460000000000002</v>
      </c>
      <c r="O165" s="8">
        <f t="shared" si="35"/>
        <v>-3.3380084151472533E-2</v>
      </c>
      <c r="Q165" s="271">
        <v>107.7</v>
      </c>
      <c r="R165" s="8">
        <f t="shared" si="29"/>
        <v>5.4228660924040772E-2</v>
      </c>
      <c r="S165" s="8"/>
      <c r="T165" s="8"/>
      <c r="U165" s="8"/>
    </row>
    <row r="166" spans="1:21">
      <c r="A166" s="28">
        <v>41487</v>
      </c>
      <c r="B166" s="13">
        <v>130.47970524301505</v>
      </c>
      <c r="C166" s="8">
        <f t="shared" si="33"/>
        <v>4.2332924956655082E-2</v>
      </c>
      <c r="D166" s="13"/>
      <c r="E166" s="26">
        <f t="shared" si="31"/>
        <v>128.01027322333297</v>
      </c>
      <c r="F166" s="9">
        <v>164</v>
      </c>
      <c r="H166" s="13">
        <v>134.0112798264642</v>
      </c>
      <c r="I166" s="8">
        <f t="shared" si="34"/>
        <v>1.4306309999194022E-2</v>
      </c>
      <c r="K166" s="26">
        <f t="shared" si="32"/>
        <v>131.36259888887736</v>
      </c>
      <c r="L166" s="8">
        <f t="shared" si="28"/>
        <v>3.5038890350662211E-2</v>
      </c>
      <c r="N166" s="271">
        <v>3.581</v>
      </c>
      <c r="O166" s="8">
        <f t="shared" si="35"/>
        <v>3.9175856065002845E-2</v>
      </c>
      <c r="Q166" s="271">
        <v>114.01</v>
      </c>
      <c r="R166" s="8">
        <f t="shared" si="29"/>
        <v>5.858867223769737E-2</v>
      </c>
      <c r="S166" s="8"/>
      <c r="T166" s="8"/>
      <c r="U166" s="8"/>
    </row>
    <row r="167" spans="1:21">
      <c r="A167" s="28">
        <v>41518</v>
      </c>
      <c r="B167" s="13">
        <v>119.23287426062241</v>
      </c>
      <c r="C167" s="8">
        <f t="shared" si="33"/>
        <v>-8.6196017698275007E-2</v>
      </c>
      <c r="D167" s="13"/>
      <c r="E167" s="26">
        <f t="shared" ref="E167:E182" si="36">AVERAGE(B156:B167)</f>
        <v>126.99096843028308</v>
      </c>
      <c r="F167" s="9">
        <v>165</v>
      </c>
      <c r="H167" s="13">
        <v>136.07773420393542</v>
      </c>
      <c r="I167" s="8">
        <f t="shared" si="34"/>
        <v>1.5420003302312635E-2</v>
      </c>
      <c r="K167" s="26">
        <f t="shared" si="32"/>
        <v>123.44408924645066</v>
      </c>
      <c r="L167" s="8">
        <f t="shared" si="28"/>
        <v>-6.0279788230477638E-2</v>
      </c>
      <c r="N167" s="271">
        <v>3.56</v>
      </c>
      <c r="O167" s="8">
        <f t="shared" si="35"/>
        <v>-5.8642837196313247E-3</v>
      </c>
      <c r="Q167" s="271">
        <v>108.37</v>
      </c>
      <c r="R167" s="8">
        <f t="shared" si="29"/>
        <v>-4.9469344794316306E-2</v>
      </c>
      <c r="S167" s="8"/>
      <c r="T167" s="8"/>
      <c r="U167" s="8"/>
    </row>
    <row r="168" spans="1:21">
      <c r="A168" s="28">
        <v>41548</v>
      </c>
      <c r="B168" s="13">
        <v>127.75614259645909</v>
      </c>
      <c r="C168" s="8">
        <f t="shared" si="33"/>
        <v>7.1484214304909699E-2</v>
      </c>
      <c r="D168" s="13"/>
      <c r="E168" s="26">
        <f t="shared" si="36"/>
        <v>126.72800401614008</v>
      </c>
      <c r="F168" s="9">
        <v>166</v>
      </c>
      <c r="H168" s="13">
        <v>143.25800223838837</v>
      </c>
      <c r="I168" s="8">
        <f t="shared" si="34"/>
        <v>5.276592880134312E-2</v>
      </c>
      <c r="K168" s="26">
        <f t="shared" si="32"/>
        <v>131.63160750694141</v>
      </c>
      <c r="L168" s="8">
        <f t="shared" si="28"/>
        <v>6.6325721308087449E-2</v>
      </c>
      <c r="N168" s="271">
        <v>3.581</v>
      </c>
      <c r="O168" s="8">
        <f t="shared" si="35"/>
        <v>5.8988764044942688E-3</v>
      </c>
      <c r="Q168" s="271">
        <v>108.84</v>
      </c>
      <c r="R168" s="8">
        <f t="shared" si="29"/>
        <v>4.3369936329242798E-3</v>
      </c>
      <c r="S168" s="8"/>
      <c r="T168" s="8"/>
      <c r="U168" s="8"/>
    </row>
    <row r="169" spans="1:21">
      <c r="A169" s="28">
        <v>41579</v>
      </c>
      <c r="B169" s="13">
        <v>132.59284471252133</v>
      </c>
      <c r="C169" s="8">
        <f t="shared" si="33"/>
        <v>3.7858861560495338E-2</v>
      </c>
      <c r="D169" s="13"/>
      <c r="E169" s="26">
        <f t="shared" si="36"/>
        <v>127.32257839302099</v>
      </c>
      <c r="F169" s="9">
        <v>167</v>
      </c>
      <c r="H169" s="13">
        <v>142.4480220522818</v>
      </c>
      <c r="I169" s="8">
        <f t="shared" si="34"/>
        <v>-5.6539961010954043E-3</v>
      </c>
      <c r="K169" s="26">
        <f t="shared" si="32"/>
        <v>135.05663904746143</v>
      </c>
      <c r="L169" s="8">
        <f t="shared" si="28"/>
        <v>2.601982612982523E-2</v>
      </c>
      <c r="N169" s="271">
        <v>3.9540000000000002</v>
      </c>
      <c r="O169" s="8">
        <f t="shared" si="35"/>
        <v>0.10416084892488131</v>
      </c>
      <c r="Q169" s="271">
        <v>109.69</v>
      </c>
      <c r="R169" s="8">
        <f t="shared" si="29"/>
        <v>7.8096288129363423E-3</v>
      </c>
      <c r="S169" s="8"/>
      <c r="T169" s="8"/>
      <c r="U169" s="8"/>
    </row>
    <row r="170" spans="1:21">
      <c r="A170" s="28">
        <v>41609</v>
      </c>
      <c r="B170" s="13">
        <v>133.48133806151549</v>
      </c>
      <c r="C170" s="8">
        <f t="shared" si="33"/>
        <v>6.7009147508716449E-3</v>
      </c>
      <c r="D170" s="13"/>
      <c r="E170" s="26">
        <f t="shared" si="36"/>
        <v>127.8296163355047</v>
      </c>
      <c r="F170" s="9">
        <v>168</v>
      </c>
      <c r="H170" s="13">
        <v>139.37351517408302</v>
      </c>
      <c r="I170" s="8">
        <f t="shared" si="34"/>
        <v>-2.1583359557427628E-2</v>
      </c>
      <c r="K170" s="26">
        <f t="shared" si="32"/>
        <v>134.95438233965737</v>
      </c>
      <c r="L170" s="8">
        <f t="shared" si="28"/>
        <v>-7.5713943812949491E-4</v>
      </c>
      <c r="N170" s="271">
        <v>4.2300000000000004</v>
      </c>
      <c r="O170" s="8">
        <f t="shared" si="35"/>
        <v>6.980273141122928E-2</v>
      </c>
      <c r="Q170" s="271">
        <v>110.8</v>
      </c>
      <c r="R170" s="8">
        <f t="shared" si="29"/>
        <v>1.0119427477436327E-2</v>
      </c>
      <c r="S170" s="8"/>
      <c r="T170" s="8"/>
      <c r="U170" s="8"/>
    </row>
    <row r="171" spans="1:21">
      <c r="A171" s="28">
        <v>41640</v>
      </c>
      <c r="B171" s="13">
        <v>130.23930039970125</v>
      </c>
      <c r="C171" s="8">
        <f t="shared" si="33"/>
        <v>-2.4288321565372195E-2</v>
      </c>
      <c r="D171" s="13"/>
      <c r="E171" s="26">
        <f t="shared" si="36"/>
        <v>127.99915352797706</v>
      </c>
      <c r="F171" s="9">
        <v>169</v>
      </c>
      <c r="H171" s="13">
        <v>135.92397738136404</v>
      </c>
      <c r="I171" s="8">
        <f t="shared" si="34"/>
        <v>-2.4750310619706894E-2</v>
      </c>
      <c r="K171" s="26">
        <f t="shared" si="32"/>
        <v>131.66046964511693</v>
      </c>
      <c r="L171" s="8">
        <f t="shared" si="28"/>
        <v>-2.4407600830999465E-2</v>
      </c>
      <c r="N171" s="271">
        <v>4.9429999999999996</v>
      </c>
      <c r="O171" s="8">
        <f t="shared" si="35"/>
        <v>0.16855791962174926</v>
      </c>
      <c r="Q171" s="271">
        <v>106.4</v>
      </c>
      <c r="R171" s="8">
        <f t="shared" si="29"/>
        <v>-3.971119133573997E-2</v>
      </c>
      <c r="S171" s="8"/>
      <c r="T171" s="8"/>
      <c r="U171" s="8"/>
    </row>
    <row r="172" spans="1:21">
      <c r="A172" s="28">
        <v>41671</v>
      </c>
      <c r="B172" s="13">
        <v>127.54286890499689</v>
      </c>
      <c r="C172" s="8">
        <f t="shared" si="33"/>
        <v>-2.0703669986164464E-2</v>
      </c>
      <c r="D172" s="13"/>
      <c r="E172" s="26">
        <f t="shared" si="36"/>
        <v>128.13082435338805</v>
      </c>
      <c r="F172" s="9">
        <v>170</v>
      </c>
      <c r="H172" s="13">
        <v>136.80280235462914</v>
      </c>
      <c r="I172" s="8">
        <f t="shared" si="34"/>
        <v>6.4655625166070152E-3</v>
      </c>
      <c r="K172" s="26">
        <f t="shared" si="32"/>
        <v>129.85785226740495</v>
      </c>
      <c r="L172" s="8">
        <f t="shared" si="28"/>
        <v>-1.3691409293699386E-2</v>
      </c>
      <c r="N172" s="271">
        <v>4.609</v>
      </c>
      <c r="O172" s="8">
        <f t="shared" si="35"/>
        <v>-6.7570301436374547E-2</v>
      </c>
      <c r="Q172" s="271">
        <v>109.07</v>
      </c>
      <c r="R172" s="8">
        <f t="shared" si="29"/>
        <v>2.5093984962405891E-2</v>
      </c>
      <c r="S172" s="8"/>
      <c r="T172" s="8"/>
      <c r="U172" s="8"/>
    </row>
    <row r="173" spans="1:21">
      <c r="A173" s="28">
        <v>41699</v>
      </c>
      <c r="B173" s="13">
        <v>129.34756403178707</v>
      </c>
      <c r="C173" s="8">
        <f t="shared" si="33"/>
        <v>1.4149714070917252E-2</v>
      </c>
      <c r="D173" s="13"/>
      <c r="E173" s="26">
        <f t="shared" si="36"/>
        <v>128.43046242310726</v>
      </c>
      <c r="F173" s="9">
        <v>171</v>
      </c>
      <c r="H173" s="13">
        <v>137.54215472938563</v>
      </c>
      <c r="I173" s="8">
        <f t="shared" si="34"/>
        <v>5.4045119108006023E-3</v>
      </c>
      <c r="K173" s="26">
        <f t="shared" si="32"/>
        <v>131.3962117061867</v>
      </c>
      <c r="L173" s="8">
        <f t="shared" si="28"/>
        <v>1.1846487616427925E-2</v>
      </c>
      <c r="N173" s="271">
        <v>4.3710000000000004</v>
      </c>
      <c r="O173" s="8">
        <f t="shared" si="35"/>
        <v>-5.163809937079622E-2</v>
      </c>
      <c r="Q173" s="271">
        <v>107.76</v>
      </c>
      <c r="R173" s="8">
        <f t="shared" si="29"/>
        <v>-1.2010635371779488E-2</v>
      </c>
      <c r="S173" s="8"/>
      <c r="T173" s="8"/>
      <c r="U173" s="8"/>
    </row>
    <row r="174" spans="1:21">
      <c r="A174" s="28">
        <v>41730</v>
      </c>
      <c r="B174" s="13">
        <v>127.77749745470544</v>
      </c>
      <c r="C174" s="8">
        <f t="shared" si="33"/>
        <v>-1.2138354431597831E-2</v>
      </c>
      <c r="D174" s="13"/>
      <c r="E174" s="26">
        <f t="shared" si="36"/>
        <v>128.29854108904189</v>
      </c>
      <c r="F174" s="9">
        <v>172</v>
      </c>
      <c r="H174" s="13">
        <v>137.42497586579648</v>
      </c>
      <c r="I174" s="8">
        <f t="shared" si="34"/>
        <v>-8.5194872669902555E-4</v>
      </c>
      <c r="K174" s="26">
        <f t="shared" si="32"/>
        <v>130.18936705747819</v>
      </c>
      <c r="L174" s="8">
        <f t="shared" si="28"/>
        <v>-9.1847750634327374E-3</v>
      </c>
      <c r="N174" s="271">
        <v>4.8150000000000004</v>
      </c>
      <c r="O174" s="8">
        <f t="shared" si="35"/>
        <v>0.10157858613589577</v>
      </c>
      <c r="Q174" s="271">
        <v>108.07</v>
      </c>
      <c r="R174" s="8">
        <f t="shared" si="29"/>
        <v>2.8767631774311297E-3</v>
      </c>
      <c r="S174" s="8"/>
      <c r="T174" s="8"/>
      <c r="U174" s="8"/>
    </row>
    <row r="175" spans="1:21">
      <c r="A175" s="28">
        <v>41760</v>
      </c>
      <c r="B175" s="13">
        <v>130.791066302573</v>
      </c>
      <c r="C175" s="8">
        <f t="shared" si="33"/>
        <v>2.358450359333264E-2</v>
      </c>
      <c r="D175" s="13"/>
      <c r="E175" s="26">
        <f t="shared" si="36"/>
        <v>128.48712272087192</v>
      </c>
      <c r="F175" s="9">
        <v>173</v>
      </c>
      <c r="H175" s="13">
        <v>136.09537529886921</v>
      </c>
      <c r="I175" s="8">
        <f t="shared" si="34"/>
        <v>-9.67510133111249E-3</v>
      </c>
      <c r="K175" s="26">
        <f t="shared" si="32"/>
        <v>132.11714355164708</v>
      </c>
      <c r="L175" s="8">
        <f t="shared" si="28"/>
        <v>1.4807480347590607E-2</v>
      </c>
      <c r="N175" s="271">
        <v>4.5419999999999998</v>
      </c>
      <c r="O175" s="8">
        <f t="shared" si="35"/>
        <v>-5.6697819314641906E-2</v>
      </c>
      <c r="Q175" s="271">
        <v>109.41</v>
      </c>
      <c r="R175" s="8">
        <f t="shared" si="29"/>
        <v>1.2399370778199303E-2</v>
      </c>
      <c r="S175" s="8"/>
      <c r="T175" s="8"/>
      <c r="U175" s="8"/>
    </row>
    <row r="176" spans="1:21">
      <c r="A176" s="28">
        <v>41791</v>
      </c>
      <c r="B176" s="13">
        <v>129.47172233268734</v>
      </c>
      <c r="C176" s="8">
        <f t="shared" si="33"/>
        <v>-1.00874165734951E-2</v>
      </c>
      <c r="D176" s="13"/>
      <c r="E176" s="26">
        <f t="shared" si="36"/>
        <v>128.65778124345221</v>
      </c>
      <c r="F176" s="9">
        <v>174</v>
      </c>
      <c r="H176" s="13">
        <v>139.34473213265724</v>
      </c>
      <c r="I176" s="8">
        <f t="shared" si="34"/>
        <v>2.3875585975293712E-2</v>
      </c>
      <c r="K176" s="26">
        <f t="shared" si="32"/>
        <v>131.9399747826798</v>
      </c>
      <c r="L176" s="8">
        <f t="shared" si="28"/>
        <v>-1.3409975738539748E-3</v>
      </c>
      <c r="N176" s="271">
        <v>4.4610000000000003</v>
      </c>
      <c r="O176" s="8">
        <f t="shared" si="35"/>
        <v>-1.7833553500660404E-2</v>
      </c>
      <c r="Q176" s="271">
        <v>112.36</v>
      </c>
      <c r="R176" s="8">
        <f t="shared" si="29"/>
        <v>2.6962800475276438E-2</v>
      </c>
      <c r="S176" s="8"/>
      <c r="T176" s="8"/>
      <c r="U176" s="8"/>
    </row>
    <row r="177" spans="1:21">
      <c r="A177" s="28">
        <v>41821</v>
      </c>
      <c r="B177" s="13">
        <v>128.47434360215249</v>
      </c>
      <c r="C177" s="8">
        <f t="shared" si="33"/>
        <v>-7.7034483867605141E-3</v>
      </c>
      <c r="D177" s="13"/>
      <c r="E177" s="26">
        <f t="shared" si="36"/>
        <v>128.93227232522807</v>
      </c>
      <c r="F177" s="9">
        <v>175</v>
      </c>
      <c r="H177" s="13">
        <v>139.43449826704077</v>
      </c>
      <c r="I177" s="8">
        <f t="shared" si="34"/>
        <v>6.4420185111879746E-4</v>
      </c>
      <c r="K177" s="26">
        <f t="shared" si="32"/>
        <v>131.21438226837455</v>
      </c>
      <c r="L177" s="8">
        <f t="shared" si="28"/>
        <v>-5.49941377130303E-3</v>
      </c>
      <c r="N177" s="271">
        <v>3.8410000000000002</v>
      </c>
      <c r="O177" s="8">
        <f t="shared" si="35"/>
        <v>-0.13898229096615111</v>
      </c>
      <c r="Q177" s="271">
        <v>106.02</v>
      </c>
      <c r="R177" s="8">
        <f t="shared" si="29"/>
        <v>-5.6425774296902875E-2</v>
      </c>
      <c r="S177" s="8"/>
      <c r="T177" s="8"/>
      <c r="U177" s="8"/>
    </row>
    <row r="178" spans="1:21">
      <c r="A178" s="28">
        <v>41852</v>
      </c>
      <c r="B178" s="13">
        <v>132.02860919034501</v>
      </c>
      <c r="C178" s="8">
        <f t="shared" si="33"/>
        <v>2.7665178031179849E-2</v>
      </c>
      <c r="D178" s="13"/>
      <c r="E178" s="26">
        <f t="shared" si="36"/>
        <v>129.06134765417224</v>
      </c>
      <c r="F178" s="9">
        <v>176</v>
      </c>
      <c r="H178" s="13">
        <v>139.23330140934172</v>
      </c>
      <c r="I178" s="8">
        <f t="shared" si="34"/>
        <v>-1.4429489129277329E-3</v>
      </c>
      <c r="K178" s="26">
        <f t="shared" si="32"/>
        <v>133.82978224509418</v>
      </c>
      <c r="L178" s="8">
        <f t="shared" si="28"/>
        <v>1.9932266048170888E-2</v>
      </c>
      <c r="N178" s="271">
        <v>4.0650000000000004</v>
      </c>
      <c r="O178" s="8">
        <f t="shared" si="35"/>
        <v>5.8318146316063579E-2</v>
      </c>
      <c r="Q178" s="271">
        <v>103.19</v>
      </c>
      <c r="R178" s="8">
        <f t="shared" si="29"/>
        <v>-2.6693076777966396E-2</v>
      </c>
      <c r="S178" s="8"/>
      <c r="T178" s="8"/>
      <c r="U178" s="8"/>
    </row>
    <row r="179" spans="1:21">
      <c r="A179" s="28">
        <v>41883</v>
      </c>
      <c r="B179" s="13">
        <v>131.11974155909257</v>
      </c>
      <c r="C179" s="8">
        <f t="shared" si="33"/>
        <v>-6.8838688586208008E-3</v>
      </c>
      <c r="D179" s="13"/>
      <c r="E179" s="26">
        <f t="shared" si="36"/>
        <v>130.05191992904471</v>
      </c>
      <c r="F179" s="9">
        <v>177</v>
      </c>
      <c r="H179" s="13">
        <v>138.14075387678807</v>
      </c>
      <c r="I179" s="8">
        <f t="shared" si="34"/>
        <v>-7.8468837662736268E-3</v>
      </c>
      <c r="K179" s="26">
        <f t="shared" si="32"/>
        <v>132.87499463851645</v>
      </c>
      <c r="L179" s="8">
        <f t="shared" si="28"/>
        <v>-7.1343432721808764E-3</v>
      </c>
      <c r="N179" s="271">
        <v>4.1210000000000004</v>
      </c>
      <c r="O179" s="8">
        <f t="shared" si="35"/>
        <v>1.3776137761377649E-2</v>
      </c>
      <c r="Q179" s="271">
        <v>94.67</v>
      </c>
      <c r="R179" s="8">
        <f t="shared" si="29"/>
        <v>-8.2566140129857524E-2</v>
      </c>
      <c r="S179" s="8"/>
      <c r="T179" s="8"/>
      <c r="U179" s="8"/>
    </row>
    <row r="180" spans="1:21">
      <c r="A180" s="28">
        <v>41913</v>
      </c>
      <c r="B180" s="13">
        <v>125.68344822641278</v>
      </c>
      <c r="C180" s="8">
        <f t="shared" si="33"/>
        <v>-4.1460525074554E-2</v>
      </c>
      <c r="D180" s="13"/>
      <c r="E180" s="26">
        <f t="shared" si="36"/>
        <v>129.87919539820754</v>
      </c>
      <c r="F180" s="9">
        <v>178</v>
      </c>
      <c r="H180" s="13">
        <v>134.28312871843994</v>
      </c>
      <c r="I180" s="8">
        <f t="shared" si="34"/>
        <v>-2.7925322904990502E-2</v>
      </c>
      <c r="K180" s="26">
        <f t="shared" si="32"/>
        <v>127.83336834941957</v>
      </c>
      <c r="L180" s="8">
        <f t="shared" si="28"/>
        <v>-3.7942626472441399E-2</v>
      </c>
      <c r="N180" s="271">
        <v>3.8730000000000002</v>
      </c>
      <c r="O180" s="8">
        <f t="shared" si="35"/>
        <v>-6.0179568066003442E-2</v>
      </c>
      <c r="Q180" s="271">
        <v>85.86</v>
      </c>
      <c r="R180" s="8">
        <f t="shared" si="29"/>
        <v>-9.306010351748184E-2</v>
      </c>
      <c r="S180" s="8"/>
      <c r="T180" s="8"/>
      <c r="U180" s="8"/>
    </row>
    <row r="181" spans="1:21">
      <c r="A181" s="28">
        <v>41944</v>
      </c>
      <c r="B181" s="13">
        <v>113.56579363869773</v>
      </c>
      <c r="C181" s="8">
        <f t="shared" si="33"/>
        <v>-9.6414084421726498E-2</v>
      </c>
      <c r="D181" s="13"/>
      <c r="E181" s="26">
        <f t="shared" si="36"/>
        <v>128.29360780872224</v>
      </c>
      <c r="F181" s="9">
        <v>179</v>
      </c>
      <c r="H181" s="13">
        <v>128.4830397398176</v>
      </c>
      <c r="I181" s="8">
        <f t="shared" si="34"/>
        <v>-4.3192983615862546E-2</v>
      </c>
      <c r="K181" s="26">
        <f t="shared" si="32"/>
        <v>117.29510516397769</v>
      </c>
      <c r="L181" s="8">
        <f t="shared" si="28"/>
        <v>-8.2437499077991916E-2</v>
      </c>
      <c r="N181" s="271">
        <v>4.0880000000000001</v>
      </c>
      <c r="O181" s="8">
        <f t="shared" si="35"/>
        <v>5.5512522592305658E-2</v>
      </c>
      <c r="Q181" s="271">
        <v>70.150000000000006</v>
      </c>
      <c r="R181" s="8">
        <f t="shared" si="29"/>
        <v>-0.18297228045655711</v>
      </c>
      <c r="S181" s="8"/>
      <c r="T181" s="8"/>
      <c r="U181" s="8"/>
    </row>
    <row r="182" spans="1:21">
      <c r="A182" s="28">
        <v>41974</v>
      </c>
      <c r="B182" s="13">
        <v>108.22</v>
      </c>
      <c r="C182" s="8">
        <f t="shared" si="33"/>
        <v>-4.7072216619249208E-2</v>
      </c>
      <c r="D182" s="13"/>
      <c r="E182" s="26">
        <f t="shared" si="36"/>
        <v>126.18849630359595</v>
      </c>
      <c r="F182" s="9">
        <v>180</v>
      </c>
      <c r="H182" s="13">
        <v>122.02</v>
      </c>
      <c r="I182" s="8">
        <f t="shared" si="34"/>
        <v>-5.0302668374794579E-2</v>
      </c>
      <c r="K182" s="26">
        <f t="shared" si="32"/>
        <v>111.66999999999999</v>
      </c>
      <c r="L182" s="8">
        <f t="shared" si="28"/>
        <v>-4.7956861934808415E-2</v>
      </c>
      <c r="N182" s="271">
        <v>2.8889999999999998</v>
      </c>
      <c r="O182" s="8">
        <f t="shared" si="35"/>
        <v>-0.29329745596868895</v>
      </c>
      <c r="Q182" s="271">
        <v>57.33</v>
      </c>
      <c r="R182" s="8">
        <f t="shared" si="29"/>
        <v>-0.1827512473271562</v>
      </c>
      <c r="S182" s="8"/>
      <c r="T182" s="8"/>
      <c r="U182" s="8"/>
    </row>
    <row r="183" spans="1:21">
      <c r="A183" s="28">
        <v>42005</v>
      </c>
      <c r="B183" s="17">
        <v>91.674528358842295</v>
      </c>
      <c r="C183" s="8">
        <f t="shared" ref="C183:C194" si="37">B183/B182-1</f>
        <v>-0.15288737424836174</v>
      </c>
      <c r="E183" s="26">
        <f t="shared" ref="E183:E191" si="38">AVERAGE(B172:B183)</f>
        <v>122.97476530019105</v>
      </c>
      <c r="F183" s="9">
        <v>181</v>
      </c>
      <c r="H183" s="17">
        <v>111.14239054324993</v>
      </c>
      <c r="I183" s="8">
        <f t="shared" ref="I183:I194" si="39">H183/H182-1</f>
        <v>-8.9146119134158819E-2</v>
      </c>
      <c r="K183" s="26">
        <f t="shared" ref="K183:K191" si="40">0.75*B183+0.25*H183</f>
        <v>96.541493904944204</v>
      </c>
      <c r="L183" s="8">
        <f t="shared" ref="L183:L191" si="41">K183/K182-1</f>
        <v>-0.13547511502691667</v>
      </c>
      <c r="N183" s="271">
        <v>2.6909999999999998</v>
      </c>
      <c r="O183" s="8">
        <f t="shared" si="35"/>
        <v>-6.8535825545171347E-2</v>
      </c>
      <c r="Q183" s="271">
        <v>52.99</v>
      </c>
      <c r="R183" s="8">
        <f t="shared" si="29"/>
        <v>-7.5702075702075655E-2</v>
      </c>
      <c r="S183" s="8"/>
      <c r="T183" s="8"/>
      <c r="U183" s="8"/>
    </row>
    <row r="184" spans="1:21">
      <c r="A184" s="28">
        <v>42036</v>
      </c>
      <c r="B184" s="17">
        <v>77.116577947441613</v>
      </c>
      <c r="C184" s="8">
        <f t="shared" si="37"/>
        <v>-0.15880038514533057</v>
      </c>
      <c r="E184" s="26">
        <f t="shared" si="38"/>
        <v>118.77257438706145</v>
      </c>
      <c r="F184" s="9">
        <v>182</v>
      </c>
      <c r="H184" s="17">
        <v>94.942330088553916</v>
      </c>
      <c r="I184" s="8">
        <f t="shared" si="39"/>
        <v>-0.14575951061977499</v>
      </c>
      <c r="K184" s="26">
        <f t="shared" si="40"/>
        <v>81.573015982719681</v>
      </c>
      <c r="L184" s="8">
        <f t="shared" si="41"/>
        <v>-0.15504709236178438</v>
      </c>
      <c r="N184" s="271">
        <v>2.734</v>
      </c>
      <c r="O184" s="8">
        <f t="shared" si="35"/>
        <v>1.5979189892233459E-2</v>
      </c>
      <c r="Q184" s="271">
        <v>62.58</v>
      </c>
      <c r="R184" s="8">
        <f t="shared" si="29"/>
        <v>0.1809775429326288</v>
      </c>
      <c r="S184" s="8"/>
      <c r="T184" s="8"/>
      <c r="U184" s="8"/>
    </row>
    <row r="185" spans="1:21">
      <c r="A185" s="28">
        <v>42064</v>
      </c>
      <c r="B185" s="17">
        <v>65.833957172877504</v>
      </c>
      <c r="C185" s="8">
        <f t="shared" si="37"/>
        <v>-0.1463060352892438</v>
      </c>
      <c r="E185" s="26">
        <f t="shared" si="38"/>
        <v>113.47977381548564</v>
      </c>
      <c r="F185" s="9">
        <v>183</v>
      </c>
      <c r="H185" s="17">
        <v>85.528055242102141</v>
      </c>
      <c r="I185" s="8">
        <f t="shared" si="39"/>
        <v>-9.915782388815364E-2</v>
      </c>
      <c r="K185" s="26">
        <f t="shared" si="40"/>
        <v>70.757481690183667</v>
      </c>
      <c r="L185" s="8">
        <f t="shared" si="41"/>
        <v>-0.13258715718966629</v>
      </c>
      <c r="N185" s="271">
        <v>2.64</v>
      </c>
      <c r="O185" s="8">
        <f t="shared" si="35"/>
        <v>-3.4381858083394223E-2</v>
      </c>
      <c r="Q185" s="271">
        <v>55.11</v>
      </c>
      <c r="R185" s="8">
        <f t="shared" si="29"/>
        <v>-0.11936720997123684</v>
      </c>
      <c r="S185" s="8"/>
      <c r="T185" s="8"/>
      <c r="U185" s="8"/>
    </row>
    <row r="186" spans="1:21">
      <c r="A186" s="28">
        <v>42095</v>
      </c>
      <c r="B186" s="17">
        <v>65.317424923448598</v>
      </c>
      <c r="C186" s="8">
        <f t="shared" si="37"/>
        <v>-7.8459851360979105E-3</v>
      </c>
      <c r="E186" s="26">
        <f t="shared" si="38"/>
        <v>108.27476777121426</v>
      </c>
      <c r="F186" s="9">
        <v>184</v>
      </c>
      <c r="H186" s="17">
        <v>86.314817096424065</v>
      </c>
      <c r="I186" s="8">
        <f t="shared" si="39"/>
        <v>9.1988745926101512E-3</v>
      </c>
      <c r="K186" s="26">
        <f t="shared" si="40"/>
        <v>70.566772966692469</v>
      </c>
      <c r="L186" s="8">
        <f t="shared" si="41"/>
        <v>-2.6952446431915966E-3</v>
      </c>
      <c r="N186" s="271">
        <v>2.7509999999999999</v>
      </c>
      <c r="O186" s="273">
        <f t="shared" ref="O186:O194" si="42">N186/N185-1</f>
        <v>4.2045454545454497E-2</v>
      </c>
      <c r="Q186" s="271">
        <v>66.78</v>
      </c>
      <c r="R186" s="8">
        <f t="shared" si="29"/>
        <v>0.21175830157866082</v>
      </c>
      <c r="S186" s="8"/>
      <c r="T186" s="8"/>
      <c r="U186" s="8"/>
    </row>
    <row r="187" spans="1:21">
      <c r="A187" s="28">
        <v>42125</v>
      </c>
      <c r="B187" s="17">
        <v>61.696821381336598</v>
      </c>
      <c r="C187" s="8">
        <f t="shared" si="37"/>
        <v>-5.5430898360664282E-2</v>
      </c>
      <c r="E187" s="26">
        <f t="shared" si="38"/>
        <v>102.51691402777789</v>
      </c>
      <c r="F187" s="9">
        <v>185</v>
      </c>
      <c r="H187" s="17">
        <v>86.670749205110255</v>
      </c>
      <c r="I187" s="8">
        <f t="shared" si="39"/>
        <v>4.12365015254057E-3</v>
      </c>
      <c r="K187" s="26">
        <f t="shared" si="40"/>
        <v>67.940303337280014</v>
      </c>
      <c r="L187" s="8">
        <f t="shared" si="41"/>
        <v>-3.7219636366993103E-2</v>
      </c>
      <c r="N187" s="271">
        <v>2.6419999999999999</v>
      </c>
      <c r="O187" s="273">
        <f t="shared" si="42"/>
        <v>-3.9621955652490048E-2</v>
      </c>
      <c r="Q187" s="271">
        <v>65.56</v>
      </c>
      <c r="R187" s="8">
        <f t="shared" si="29"/>
        <v>-1.8268942797244669E-2</v>
      </c>
      <c r="S187" s="8"/>
      <c r="T187" s="8"/>
      <c r="U187" s="8"/>
    </row>
    <row r="188" spans="1:21">
      <c r="A188" s="28">
        <v>42156</v>
      </c>
      <c r="B188" s="17">
        <v>66.534985711603852</v>
      </c>
      <c r="C188" s="8">
        <f t="shared" si="37"/>
        <v>7.8418372647813817E-2</v>
      </c>
      <c r="E188" s="26">
        <f t="shared" si="38"/>
        <v>97.272185976020921</v>
      </c>
      <c r="F188" s="9">
        <v>186</v>
      </c>
      <c r="H188" s="17">
        <v>88.593915094085077</v>
      </c>
      <c r="I188" s="8">
        <f t="shared" si="39"/>
        <v>2.2189330386697792E-2</v>
      </c>
      <c r="K188" s="26">
        <f t="shared" si="40"/>
        <v>72.049718057224169</v>
      </c>
      <c r="L188" s="8">
        <f t="shared" si="41"/>
        <v>6.0485669302115852E-2</v>
      </c>
      <c r="N188" s="271">
        <v>2.8319999999999999</v>
      </c>
      <c r="O188" s="273">
        <f t="shared" si="42"/>
        <v>7.1915215745647298E-2</v>
      </c>
      <c r="Q188" s="271">
        <v>63.59</v>
      </c>
      <c r="R188" s="8">
        <f t="shared" si="29"/>
        <v>-3.0048810250152491E-2</v>
      </c>
      <c r="S188" s="8"/>
      <c r="T188" s="8"/>
      <c r="U188" s="8"/>
    </row>
    <row r="189" spans="1:21">
      <c r="A189" s="28">
        <v>42186</v>
      </c>
      <c r="B189" s="17">
        <v>75.161116446618522</v>
      </c>
      <c r="C189" s="8">
        <f t="shared" si="37"/>
        <v>0.12964804369846372</v>
      </c>
      <c r="E189" s="26">
        <f t="shared" si="38"/>
        <v>92.829417046393075</v>
      </c>
      <c r="F189" s="9">
        <v>187</v>
      </c>
      <c r="H189" s="17">
        <v>93.742498226666356</v>
      </c>
      <c r="I189" s="8">
        <f t="shared" si="39"/>
        <v>5.8114410308129916E-2</v>
      </c>
      <c r="K189" s="26">
        <f t="shared" si="40"/>
        <v>79.806461891630477</v>
      </c>
      <c r="L189" s="8">
        <f t="shared" si="41"/>
        <v>0.10765821218405947</v>
      </c>
      <c r="N189" s="271">
        <v>2.7160000000000002</v>
      </c>
      <c r="O189" s="273">
        <f t="shared" si="42"/>
        <v>-4.0960451977401058E-2</v>
      </c>
      <c r="Q189" s="271">
        <v>52.21</v>
      </c>
      <c r="R189" s="8">
        <f t="shared" si="29"/>
        <v>-0.17895895581066212</v>
      </c>
      <c r="S189" s="8"/>
      <c r="T189" s="8"/>
      <c r="U189" s="8"/>
    </row>
    <row r="190" spans="1:21">
      <c r="A190" s="28">
        <v>42217</v>
      </c>
      <c r="B190" s="17">
        <v>79.631995358319969</v>
      </c>
      <c r="C190" s="8">
        <f t="shared" si="37"/>
        <v>5.9483934287708262E-2</v>
      </c>
      <c r="E190" s="26">
        <f t="shared" si="38"/>
        <v>88.463032560391014</v>
      </c>
      <c r="F190" s="9">
        <v>188</v>
      </c>
      <c r="H190" s="17">
        <v>91.525856266007068</v>
      </c>
      <c r="I190" s="8">
        <f t="shared" si="39"/>
        <v>-2.3646073046821536E-2</v>
      </c>
      <c r="K190" s="26">
        <f t="shared" si="40"/>
        <v>82.605460585241744</v>
      </c>
      <c r="L190" s="8">
        <f t="shared" si="41"/>
        <v>3.5072331579014682E-2</v>
      </c>
      <c r="N190" s="271">
        <v>2.6890000000000001</v>
      </c>
      <c r="O190" s="273">
        <f t="shared" si="42"/>
        <v>-9.9410898379971302E-3</v>
      </c>
      <c r="Q190" s="271">
        <v>54.15</v>
      </c>
      <c r="R190" s="273">
        <f t="shared" si="29"/>
        <v>3.7157632637425664E-2</v>
      </c>
    </row>
    <row r="191" spans="1:21">
      <c r="A191" s="28">
        <v>42248</v>
      </c>
      <c r="B191" s="17">
        <v>75.241396768744139</v>
      </c>
      <c r="C191" s="8">
        <f t="shared" si="37"/>
        <v>-5.5136111682489664E-2</v>
      </c>
      <c r="E191" s="26">
        <f t="shared" si="38"/>
        <v>83.80650382786196</v>
      </c>
      <c r="F191" s="9">
        <v>189</v>
      </c>
      <c r="H191" s="17">
        <v>84.871090493290666</v>
      </c>
      <c r="I191" s="8">
        <f t="shared" si="39"/>
        <v>-7.2709134273218456E-2</v>
      </c>
      <c r="K191" s="26">
        <f t="shared" si="40"/>
        <v>77.64882019988076</v>
      </c>
      <c r="L191" s="8">
        <f t="shared" si="41"/>
        <v>-6.0003786072303944E-2</v>
      </c>
      <c r="N191" s="271">
        <v>2.524</v>
      </c>
      <c r="O191" s="273">
        <f t="shared" si="42"/>
        <v>-6.1361100780959466E-2</v>
      </c>
      <c r="Q191" s="271">
        <v>48.37</v>
      </c>
      <c r="R191" s="273">
        <f t="shared" si="29"/>
        <v>-0.10674053554939988</v>
      </c>
    </row>
    <row r="192" spans="1:21">
      <c r="A192" s="28">
        <v>42278</v>
      </c>
      <c r="B192" s="17">
        <v>61.404859654906389</v>
      </c>
      <c r="C192" s="273">
        <f t="shared" si="37"/>
        <v>-0.18389527185898225</v>
      </c>
      <c r="E192" s="26">
        <f t="shared" ref="E192:E194" si="43">AVERAGE(B181:B192)</f>
        <v>78.449954780236439</v>
      </c>
      <c r="F192" s="272">
        <v>190</v>
      </c>
      <c r="H192" s="17">
        <v>79.294938112772286</v>
      </c>
      <c r="I192" s="273">
        <f t="shared" si="39"/>
        <v>-6.5701434353069743E-2</v>
      </c>
      <c r="K192" s="26">
        <f t="shared" ref="K192:K194" si="44">0.75*B192+0.25*H192</f>
        <v>65.877379269372867</v>
      </c>
      <c r="L192" s="273">
        <f t="shared" ref="L192:L194" si="45">K192/K191-1</f>
        <v>-0.15159845185292298</v>
      </c>
      <c r="N192" s="271">
        <v>2.3210000000000002</v>
      </c>
      <c r="O192" s="273">
        <f t="shared" si="42"/>
        <v>-8.0427892234548271E-2</v>
      </c>
      <c r="Q192" s="271">
        <v>49.56</v>
      </c>
      <c r="R192" s="273">
        <f t="shared" si="29"/>
        <v>2.460202604920414E-2</v>
      </c>
    </row>
    <row r="193" spans="1:18">
      <c r="A193" s="28">
        <v>42309</v>
      </c>
      <c r="B193" s="17">
        <v>51.085465882177488</v>
      </c>
      <c r="C193" s="273">
        <f t="shared" si="37"/>
        <v>-0.1680550013585832</v>
      </c>
      <c r="E193" s="26">
        <f t="shared" si="43"/>
        <v>73.243260800526414</v>
      </c>
      <c r="F193" s="272">
        <v>191</v>
      </c>
      <c r="H193" s="17">
        <v>76.100498642310541</v>
      </c>
      <c r="I193" s="273">
        <f t="shared" si="39"/>
        <v>-4.0285540874231529E-2</v>
      </c>
      <c r="K193" s="26">
        <f t="shared" si="44"/>
        <v>57.339224072210754</v>
      </c>
      <c r="L193" s="273">
        <f t="shared" si="45"/>
        <v>-0.12960678296338357</v>
      </c>
      <c r="N193" s="271">
        <v>2.2349999999999999</v>
      </c>
      <c r="O193" s="273">
        <f t="shared" si="42"/>
        <v>-3.7052994398966144E-2</v>
      </c>
      <c r="Q193" s="271">
        <v>44.61</v>
      </c>
      <c r="R193" s="273">
        <f t="shared" si="29"/>
        <v>-9.9878934624697435E-2</v>
      </c>
    </row>
    <row r="194" spans="1:18">
      <c r="A194" s="28">
        <v>42339</v>
      </c>
      <c r="B194" s="17">
        <v>52.266687083382585</v>
      </c>
      <c r="C194" s="273">
        <f t="shared" si="37"/>
        <v>2.3122451382345144E-2</v>
      </c>
      <c r="E194" s="26">
        <f t="shared" si="43"/>
        <v>68.580484724141627</v>
      </c>
      <c r="F194" s="272">
        <v>192</v>
      </c>
      <c r="H194" s="17">
        <v>76.99926174705999</v>
      </c>
      <c r="I194" s="273">
        <f t="shared" si="39"/>
        <v>1.1810213083804255E-2</v>
      </c>
      <c r="K194" s="26">
        <f t="shared" si="44"/>
        <v>58.449830749301938</v>
      </c>
      <c r="L194" s="273">
        <f t="shared" si="45"/>
        <v>1.9369056611099777E-2</v>
      </c>
      <c r="N194" s="271">
        <v>2.3370000000000002</v>
      </c>
      <c r="O194" s="273">
        <f t="shared" si="42"/>
        <v>4.5637583892617517E-2</v>
      </c>
      <c r="Q194" s="271">
        <v>37.28</v>
      </c>
      <c r="R194" s="273">
        <f t="shared" si="29"/>
        <v>-0.16431293431965921</v>
      </c>
    </row>
    <row r="195" spans="1:18">
      <c r="B195" s="17"/>
    </row>
  </sheetData>
  <mergeCells count="4">
    <mergeCell ref="W2:AA2"/>
    <mergeCell ref="W3:AA3"/>
    <mergeCell ref="W5:AA5"/>
    <mergeCell ref="V14:Y14"/>
  </mergeCells>
  <pageMargins left="0.7" right="0.7" top="0.75" bottom="0.75" header="0.3" footer="0.3"/>
  <pageSetup orientation="portrait" horizontalDpi="4294967292" vertic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"/>
  <sheetViews>
    <sheetView workbookViewId="0">
      <selection activeCell="D118" sqref="D118"/>
    </sheetView>
  </sheetViews>
  <sheetFormatPr defaultColWidth="8.77734375" defaultRowHeight="14.4"/>
  <cols>
    <col min="1" max="1" width="10.6640625" bestFit="1" customWidth="1"/>
    <col min="2" max="2" width="28.109375" bestFit="1" customWidth="1"/>
    <col min="6" max="6" width="13.33203125" bestFit="1" customWidth="1"/>
    <col min="8" max="8" width="10.44140625" bestFit="1" customWidth="1"/>
    <col min="10" max="10" width="10.44140625" bestFit="1" customWidth="1"/>
    <col min="72" max="74" width="9.6640625" bestFit="1" customWidth="1"/>
  </cols>
  <sheetData>
    <row r="1" spans="1:7">
      <c r="B1" t="s">
        <v>63</v>
      </c>
      <c r="G1" t="s">
        <v>64</v>
      </c>
    </row>
    <row r="2" spans="1:7">
      <c r="A2" t="s">
        <v>6</v>
      </c>
      <c r="B2" t="s">
        <v>111</v>
      </c>
      <c r="D2" t="s">
        <v>112</v>
      </c>
      <c r="G2" s="24" t="s">
        <v>65</v>
      </c>
    </row>
    <row r="3" spans="1:7">
      <c r="A3" s="2">
        <v>38748</v>
      </c>
      <c r="B3" s="17">
        <v>57.081999999999994</v>
      </c>
      <c r="D3" s="13">
        <v>90.007999999999996</v>
      </c>
    </row>
    <row r="4" spans="1:7">
      <c r="A4" s="2">
        <v>38776</v>
      </c>
      <c r="B4" s="17">
        <v>55.318999999999996</v>
      </c>
      <c r="C4" s="8">
        <f>B4/B3-1</f>
        <v>-3.0885392943484802E-2</v>
      </c>
      <c r="D4" s="13">
        <v>86.28083333333332</v>
      </c>
    </row>
    <row r="5" spans="1:7">
      <c r="A5" s="2">
        <v>38807</v>
      </c>
      <c r="B5" s="17">
        <v>57.161333333333339</v>
      </c>
      <c r="C5" s="8">
        <f t="shared" ref="C5:C68" si="0">B5/B4-1</f>
        <v>3.3303807612815595E-2</v>
      </c>
      <c r="D5" s="13">
        <v>87.555999999999997</v>
      </c>
    </row>
    <row r="6" spans="1:7">
      <c r="A6" s="2">
        <v>38837</v>
      </c>
      <c r="B6" s="17">
        <v>58.935000000000002</v>
      </c>
      <c r="C6" s="8">
        <f t="shared" si="0"/>
        <v>3.1029133913367923E-2</v>
      </c>
      <c r="D6" s="13">
        <v>89.617500000000007</v>
      </c>
    </row>
    <row r="7" spans="1:7">
      <c r="A7" s="2">
        <v>38868</v>
      </c>
      <c r="B7" s="17">
        <v>60.218333333333334</v>
      </c>
      <c r="C7" s="8">
        <f t="shared" si="0"/>
        <v>2.1775402279347267E-2</v>
      </c>
      <c r="D7" s="13">
        <v>91.654166666666654</v>
      </c>
    </row>
    <row r="8" spans="1:7">
      <c r="A8" s="2">
        <v>38898</v>
      </c>
      <c r="B8" s="17">
        <v>61.663333333333334</v>
      </c>
      <c r="C8" s="8">
        <f t="shared" si="0"/>
        <v>2.3996014502781549E-2</v>
      </c>
      <c r="D8" s="13">
        <v>98.166999999999987</v>
      </c>
    </row>
    <row r="9" spans="1:7">
      <c r="A9" s="2">
        <v>38929</v>
      </c>
      <c r="B9" s="17">
        <v>64.512999999999991</v>
      </c>
      <c r="C9" s="8">
        <f t="shared" si="0"/>
        <v>4.6213308827504074E-2</v>
      </c>
      <c r="D9" s="13">
        <v>104.54533333333332</v>
      </c>
    </row>
    <row r="10" spans="1:7">
      <c r="A10" s="2">
        <v>38960</v>
      </c>
      <c r="B10" s="17">
        <v>63.005333333333333</v>
      </c>
      <c r="C10" s="8">
        <f t="shared" si="0"/>
        <v>-2.3369966776721873E-2</v>
      </c>
      <c r="D10" s="13">
        <v>104.03449999999999</v>
      </c>
    </row>
    <row r="11" spans="1:7">
      <c r="A11" s="2">
        <v>38990</v>
      </c>
      <c r="B11" s="17">
        <v>62.796333333333337</v>
      </c>
      <c r="C11" s="8">
        <f t="shared" si="0"/>
        <v>-3.3171794980318969E-3</v>
      </c>
      <c r="D11" s="13">
        <v>103.3845</v>
      </c>
    </row>
    <row r="12" spans="1:7">
      <c r="A12" s="2">
        <v>39021</v>
      </c>
      <c r="B12" s="17">
        <v>61.220000000000006</v>
      </c>
      <c r="C12" s="8">
        <f t="shared" si="0"/>
        <v>-2.5102314890996791E-2</v>
      </c>
      <c r="D12" s="13">
        <v>102.70649999999999</v>
      </c>
    </row>
    <row r="13" spans="1:7">
      <c r="A13" s="2">
        <v>39051</v>
      </c>
      <c r="B13" s="17">
        <v>56.190333333333335</v>
      </c>
      <c r="C13" s="8">
        <f t="shared" si="0"/>
        <v>-8.2157247087008667E-2</v>
      </c>
      <c r="D13" s="13">
        <v>97.537833333333325</v>
      </c>
    </row>
    <row r="14" spans="1:7">
      <c r="A14" s="2">
        <v>39082</v>
      </c>
      <c r="B14" s="17">
        <v>53.509666666666668</v>
      </c>
      <c r="C14" s="8">
        <f t="shared" si="0"/>
        <v>-4.7706900949748166E-2</v>
      </c>
      <c r="D14" s="13">
        <v>92.529999999999987</v>
      </c>
    </row>
    <row r="15" spans="1:7">
      <c r="A15" s="2">
        <v>39113</v>
      </c>
      <c r="B15" s="13">
        <v>51.97</v>
      </c>
      <c r="C15" s="8">
        <f t="shared" si="0"/>
        <v>-2.8773617228039838E-2</v>
      </c>
      <c r="D15" s="13">
        <v>90.790333333333351</v>
      </c>
    </row>
    <row r="16" spans="1:7">
      <c r="A16" s="2">
        <v>39141</v>
      </c>
      <c r="B16" s="13">
        <v>53.693999999999996</v>
      </c>
      <c r="C16" s="8">
        <f t="shared" si="0"/>
        <v>3.3172984414084894E-2</v>
      </c>
      <c r="D16" s="13">
        <v>93.126500000000007</v>
      </c>
    </row>
    <row r="17" spans="1:4">
      <c r="A17" s="2">
        <v>39172</v>
      </c>
      <c r="B17" s="13">
        <v>51.983000000000004</v>
      </c>
      <c r="C17" s="8">
        <f t="shared" si="0"/>
        <v>-3.1865757812790885E-2</v>
      </c>
      <c r="D17" s="13">
        <v>90.973333333333315</v>
      </c>
    </row>
    <row r="18" spans="1:4">
      <c r="A18" s="2">
        <v>39202</v>
      </c>
      <c r="B18" s="13">
        <v>54.507333333333328</v>
      </c>
      <c r="C18" s="8">
        <f t="shared" si="0"/>
        <v>4.8560747423837203E-2</v>
      </c>
      <c r="D18" s="13">
        <v>92.374166666666667</v>
      </c>
    </row>
    <row r="19" spans="1:4">
      <c r="A19" s="2">
        <v>39233</v>
      </c>
      <c r="B19" s="13">
        <v>55.861666666666672</v>
      </c>
      <c r="C19" s="8">
        <f t="shared" si="0"/>
        <v>2.4846809603600972E-2</v>
      </c>
      <c r="D19" s="13">
        <v>95.243166666666653</v>
      </c>
    </row>
    <row r="20" spans="1:4">
      <c r="A20" s="2">
        <v>39263</v>
      </c>
      <c r="B20" s="13">
        <v>58.802999999999997</v>
      </c>
      <c r="C20" s="8">
        <f t="shared" si="0"/>
        <v>5.2653877136975114E-2</v>
      </c>
      <c r="D20" s="13">
        <v>97.282666666666671</v>
      </c>
    </row>
    <row r="21" spans="1:4">
      <c r="A21" s="2">
        <v>39294</v>
      </c>
      <c r="B21" s="13">
        <v>64.310333333333332</v>
      </c>
      <c r="C21" s="8">
        <f t="shared" si="0"/>
        <v>9.365735308289258E-2</v>
      </c>
      <c r="D21" s="13">
        <v>99.950333333333333</v>
      </c>
    </row>
    <row r="22" spans="1:4">
      <c r="A22" s="2">
        <v>39325</v>
      </c>
      <c r="B22" s="13">
        <v>65.918333333333337</v>
      </c>
      <c r="C22" s="8">
        <f t="shared" si="0"/>
        <v>2.5003757820153405E-2</v>
      </c>
      <c r="D22" s="13">
        <v>103.20633333333332</v>
      </c>
    </row>
    <row r="23" spans="1:4">
      <c r="A23" s="2">
        <v>39355</v>
      </c>
      <c r="B23" s="13">
        <v>68.705333333333328</v>
      </c>
      <c r="C23" s="8">
        <f t="shared" si="0"/>
        <v>4.2279588379560362E-2</v>
      </c>
      <c r="D23" s="13">
        <v>104.04083333333334</v>
      </c>
    </row>
    <row r="24" spans="1:4">
      <c r="A24" s="2">
        <v>39386</v>
      </c>
      <c r="B24" s="13">
        <v>68.547333333333327</v>
      </c>
      <c r="C24" s="8">
        <f t="shared" si="0"/>
        <v>-2.2996759106522768E-3</v>
      </c>
      <c r="D24" s="13">
        <v>103.128</v>
      </c>
    </row>
    <row r="25" spans="1:4">
      <c r="A25" s="2">
        <v>39416</v>
      </c>
      <c r="B25" s="13">
        <v>69.667333333333332</v>
      </c>
      <c r="C25" s="8">
        <f t="shared" si="0"/>
        <v>1.6339074702638623E-2</v>
      </c>
      <c r="D25" s="13">
        <v>104.56833333333334</v>
      </c>
    </row>
    <row r="26" spans="1:4">
      <c r="A26" s="2">
        <v>39447</v>
      </c>
      <c r="B26" s="13">
        <v>71.063000000000002</v>
      </c>
      <c r="C26" s="8">
        <f t="shared" si="0"/>
        <v>2.0033301116735736E-2</v>
      </c>
      <c r="D26" s="13">
        <v>109.24333333333334</v>
      </c>
    </row>
    <row r="27" spans="1:4">
      <c r="A27" s="2">
        <v>39478</v>
      </c>
      <c r="B27" s="13">
        <v>82.3</v>
      </c>
      <c r="C27" s="8">
        <f t="shared" si="0"/>
        <v>0.15812729549836058</v>
      </c>
      <c r="D27" s="13">
        <v>119.03</v>
      </c>
    </row>
    <row r="28" spans="1:4">
      <c r="A28" s="2">
        <v>39507</v>
      </c>
      <c r="B28" s="13">
        <v>92.08</v>
      </c>
      <c r="C28" s="8">
        <f t="shared" si="0"/>
        <v>0.11883353584447143</v>
      </c>
      <c r="D28" s="13">
        <v>117.34</v>
      </c>
    </row>
    <row r="29" spans="1:4">
      <c r="A29" s="2">
        <v>39538</v>
      </c>
      <c r="B29" s="13">
        <v>91.69</v>
      </c>
      <c r="C29" s="8">
        <f t="shared" si="0"/>
        <v>-4.2354474370113193E-3</v>
      </c>
      <c r="D29" s="13">
        <v>117.82</v>
      </c>
    </row>
    <row r="30" spans="1:4">
      <c r="A30" s="2">
        <v>39568</v>
      </c>
      <c r="B30" s="13">
        <v>90.39</v>
      </c>
      <c r="C30" s="8">
        <f t="shared" si="0"/>
        <v>-1.4178209183116963E-2</v>
      </c>
      <c r="D30" s="13">
        <v>122.47</v>
      </c>
    </row>
    <row r="31" spans="1:4">
      <c r="A31" s="2">
        <v>39599</v>
      </c>
      <c r="B31" s="13">
        <v>98.47</v>
      </c>
      <c r="C31" s="8">
        <f t="shared" si="0"/>
        <v>8.9390419294169687E-2</v>
      </c>
      <c r="D31" s="13">
        <v>136.30000000000001</v>
      </c>
    </row>
    <row r="32" spans="1:4">
      <c r="A32" s="2">
        <v>39629</v>
      </c>
      <c r="B32" s="13">
        <v>104.9</v>
      </c>
      <c r="C32" s="8">
        <f t="shared" si="0"/>
        <v>6.5299075860668188E-2</v>
      </c>
      <c r="D32" s="13">
        <v>147.26</v>
      </c>
    </row>
    <row r="33" spans="1:4">
      <c r="A33" s="2">
        <v>39660</v>
      </c>
      <c r="B33" s="13">
        <v>117.041</v>
      </c>
      <c r="C33" s="8">
        <f t="shared" si="0"/>
        <v>0.1157387988560532</v>
      </c>
      <c r="D33" s="13">
        <v>158.19300000000001</v>
      </c>
    </row>
    <row r="34" spans="1:4">
      <c r="A34" s="2">
        <v>39691</v>
      </c>
      <c r="B34" s="13">
        <v>127.676</v>
      </c>
      <c r="C34" s="8">
        <f t="shared" si="0"/>
        <v>9.086559410804762E-2</v>
      </c>
      <c r="D34" s="13">
        <v>166.15600000000001</v>
      </c>
    </row>
    <row r="35" spans="1:4">
      <c r="A35" s="2">
        <v>39721</v>
      </c>
      <c r="B35" s="13">
        <v>138.715</v>
      </c>
      <c r="C35" s="8">
        <f t="shared" si="0"/>
        <v>8.6461042012594413E-2</v>
      </c>
      <c r="D35" s="13">
        <v>160.46100000000001</v>
      </c>
    </row>
    <row r="36" spans="1:4">
      <c r="A36" s="2">
        <v>39752</v>
      </c>
      <c r="B36" s="13">
        <v>133.26432019999999</v>
      </c>
      <c r="C36" s="8">
        <f t="shared" si="0"/>
        <v>-3.9294090761633704E-2</v>
      </c>
      <c r="D36" s="13">
        <v>145.29831720000001</v>
      </c>
    </row>
    <row r="37" spans="1:4">
      <c r="A37" s="2">
        <v>39782</v>
      </c>
      <c r="B37" s="13">
        <v>125.0206293</v>
      </c>
      <c r="C37" s="8">
        <f t="shared" si="0"/>
        <v>-6.185970023805365E-2</v>
      </c>
      <c r="D37" s="13">
        <v>133.40357660000001</v>
      </c>
    </row>
    <row r="38" spans="1:4">
      <c r="A38" s="2">
        <v>39813</v>
      </c>
      <c r="B38" s="13">
        <v>101.47071510000001</v>
      </c>
      <c r="C38" s="8">
        <f t="shared" si="0"/>
        <v>-0.18836822636278305</v>
      </c>
      <c r="D38" s="13">
        <v>109.2105959</v>
      </c>
    </row>
    <row r="39" spans="1:4">
      <c r="A39" s="2">
        <v>39844</v>
      </c>
      <c r="B39" s="13">
        <v>71.13</v>
      </c>
      <c r="C39" s="8">
        <f t="shared" si="0"/>
        <v>-0.29900957207307599</v>
      </c>
      <c r="D39" s="13">
        <v>82.508598057924871</v>
      </c>
    </row>
    <row r="40" spans="1:4">
      <c r="A40" s="2">
        <v>39872</v>
      </c>
      <c r="B40" s="13">
        <v>49.39</v>
      </c>
      <c r="C40" s="8">
        <f t="shared" si="0"/>
        <v>-0.30563756502179107</v>
      </c>
      <c r="D40" s="13">
        <v>69.549530754715803</v>
      </c>
    </row>
    <row r="41" spans="1:4">
      <c r="A41" s="2">
        <v>39903</v>
      </c>
      <c r="B41" s="13">
        <v>47.58</v>
      </c>
      <c r="C41" s="8">
        <f t="shared" si="0"/>
        <v>-3.6647094553553416E-2</v>
      </c>
      <c r="D41" s="13">
        <v>70.657482414908159</v>
      </c>
    </row>
    <row r="42" spans="1:4">
      <c r="A42" s="2">
        <v>39933</v>
      </c>
      <c r="B42" s="13">
        <v>46.24</v>
      </c>
      <c r="C42" s="8">
        <f t="shared" si="0"/>
        <v>-2.8163093736864098E-2</v>
      </c>
      <c r="D42" s="13">
        <v>66.650000000000006</v>
      </c>
    </row>
    <row r="43" spans="1:4">
      <c r="A43" s="2">
        <v>39964</v>
      </c>
      <c r="B43" s="13">
        <v>45.53</v>
      </c>
      <c r="C43" s="8">
        <f t="shared" si="0"/>
        <v>-1.5354671280276788E-2</v>
      </c>
      <c r="D43" s="13">
        <v>66.41</v>
      </c>
    </row>
    <row r="44" spans="1:4">
      <c r="A44" s="2">
        <v>39994</v>
      </c>
      <c r="B44" s="13">
        <v>47.99</v>
      </c>
      <c r="C44" s="8">
        <f t="shared" si="0"/>
        <v>5.4030309685921374E-2</v>
      </c>
      <c r="D44" s="13">
        <v>70.95</v>
      </c>
    </row>
    <row r="45" spans="1:4">
      <c r="A45" s="2">
        <v>40025</v>
      </c>
      <c r="B45" s="13">
        <v>53.41</v>
      </c>
      <c r="C45" s="8">
        <f t="shared" si="0"/>
        <v>0.11294019587414028</v>
      </c>
      <c r="D45" s="13">
        <v>74.04682780103434</v>
      </c>
    </row>
    <row r="46" spans="1:4">
      <c r="A46" s="2">
        <v>40056</v>
      </c>
      <c r="B46" s="13">
        <v>65.400000000000006</v>
      </c>
      <c r="C46" s="8">
        <f t="shared" si="0"/>
        <v>0.2244897959183676</v>
      </c>
      <c r="D46" s="13">
        <v>81.471771062508083</v>
      </c>
    </row>
    <row r="47" spans="1:4">
      <c r="A47" s="2">
        <v>40086</v>
      </c>
      <c r="B47" s="13">
        <v>71.77</v>
      </c>
      <c r="C47" s="8">
        <f t="shared" si="0"/>
        <v>9.7400611620795052E-2</v>
      </c>
      <c r="D47" s="13">
        <v>81.825891299377929</v>
      </c>
    </row>
    <row r="48" spans="1:4">
      <c r="A48" s="2">
        <v>40117</v>
      </c>
      <c r="B48" s="13">
        <v>75.959999999999994</v>
      </c>
      <c r="C48" s="8">
        <f t="shared" si="0"/>
        <v>5.8380939111049246E-2</v>
      </c>
      <c r="D48" s="13">
        <v>86.82</v>
      </c>
    </row>
    <row r="49" spans="1:4">
      <c r="A49" s="2">
        <v>40147</v>
      </c>
      <c r="B49" s="13">
        <v>73.88</v>
      </c>
      <c r="C49" s="8">
        <f t="shared" si="0"/>
        <v>-2.7382833070036861E-2</v>
      </c>
      <c r="D49" s="13">
        <v>86.88</v>
      </c>
    </row>
    <row r="50" spans="1:4">
      <c r="A50" s="2">
        <v>40178</v>
      </c>
      <c r="B50" s="13">
        <v>74.12</v>
      </c>
      <c r="C50" s="8">
        <f t="shared" si="0"/>
        <v>3.2485110990796429E-3</v>
      </c>
      <c r="D50" s="13">
        <v>89.56</v>
      </c>
    </row>
    <row r="51" spans="1:4">
      <c r="A51" s="2">
        <v>40209</v>
      </c>
      <c r="B51" s="13">
        <v>76.147730980000006</v>
      </c>
      <c r="C51" s="8">
        <f t="shared" si="0"/>
        <v>2.7357406637884552E-2</v>
      </c>
      <c r="D51" s="13">
        <v>95.814829320000001</v>
      </c>
    </row>
    <row r="52" spans="1:4">
      <c r="A52" s="2">
        <v>40237</v>
      </c>
      <c r="B52" s="13">
        <v>76.025544049999993</v>
      </c>
      <c r="C52" s="8">
        <f t="shared" si="0"/>
        <v>-1.6046036884815873E-3</v>
      </c>
      <c r="D52" s="13">
        <v>94.022921679999996</v>
      </c>
    </row>
    <row r="53" spans="1:4">
      <c r="A53" s="2">
        <v>40268</v>
      </c>
      <c r="B53" s="13">
        <v>84.408891280000006</v>
      </c>
      <c r="C53" s="8">
        <f t="shared" si="0"/>
        <v>0.11027013794845719</v>
      </c>
      <c r="D53" s="13">
        <v>95.167487080000001</v>
      </c>
    </row>
    <row r="54" spans="1:4">
      <c r="A54" s="2">
        <v>40298</v>
      </c>
      <c r="B54" s="13">
        <v>81.424735859999998</v>
      </c>
      <c r="C54" s="8">
        <f t="shared" si="0"/>
        <v>-3.5353567316753542E-2</v>
      </c>
      <c r="D54" s="13">
        <v>94.80968867</v>
      </c>
    </row>
    <row r="55" spans="1:4">
      <c r="A55" s="2">
        <v>40329</v>
      </c>
      <c r="B55" s="13">
        <v>83.132911070000006</v>
      </c>
      <c r="C55" s="8">
        <f t="shared" si="0"/>
        <v>2.0978578462164332E-2</v>
      </c>
      <c r="D55" s="13">
        <v>98.594975020000007</v>
      </c>
    </row>
    <row r="56" spans="1:4">
      <c r="A56" s="2">
        <v>40359</v>
      </c>
      <c r="B56" s="13">
        <v>87.439233470000005</v>
      </c>
      <c r="C56" s="8">
        <f t="shared" si="0"/>
        <v>5.1800452366860705E-2</v>
      </c>
      <c r="D56" s="13">
        <v>103.23580320000001</v>
      </c>
    </row>
    <row r="57" spans="1:4">
      <c r="A57" s="2">
        <v>40390</v>
      </c>
      <c r="B57" s="13">
        <v>89.559255656339104</v>
      </c>
      <c r="C57" s="8">
        <f t="shared" si="0"/>
        <v>2.4245662984528238E-2</v>
      </c>
      <c r="D57" s="13">
        <v>101.7736081365808</v>
      </c>
    </row>
    <row r="58" spans="1:4">
      <c r="A58" s="2">
        <v>40421</v>
      </c>
      <c r="B58" s="13">
        <v>87.026847089430518</v>
      </c>
      <c r="C58" s="8">
        <f t="shared" si="0"/>
        <v>-2.8276346742162062E-2</v>
      </c>
      <c r="D58" s="13">
        <v>96.819570926702823</v>
      </c>
    </row>
    <row r="59" spans="1:4">
      <c r="A59" s="2">
        <v>40451</v>
      </c>
      <c r="B59" s="13">
        <v>85.61353613754919</v>
      </c>
      <c r="C59" s="8">
        <f t="shared" si="0"/>
        <v>-1.6239942031095134E-2</v>
      </c>
      <c r="D59" s="13">
        <v>92.872333390704114</v>
      </c>
    </row>
    <row r="60" spans="1:4">
      <c r="A60" s="2">
        <v>40482</v>
      </c>
      <c r="B60" s="13">
        <v>87.126676758235249</v>
      </c>
      <c r="C60" s="8">
        <f t="shared" si="0"/>
        <v>1.7674081564099886E-2</v>
      </c>
      <c r="D60" s="13">
        <v>99.641152747437403</v>
      </c>
    </row>
    <row r="61" spans="1:4">
      <c r="A61" s="2">
        <v>40512</v>
      </c>
      <c r="B61" s="13">
        <v>88.44167475282579</v>
      </c>
      <c r="C61" s="8">
        <f t="shared" si="0"/>
        <v>1.5092943327099206E-2</v>
      </c>
      <c r="D61" s="13">
        <v>101.93027059910327</v>
      </c>
    </row>
    <row r="62" spans="1:4">
      <c r="A62" s="2">
        <v>40543</v>
      </c>
      <c r="B62" s="13">
        <v>90.033731749697239</v>
      </c>
      <c r="C62" s="8">
        <f t="shared" si="0"/>
        <v>1.8001208155780546E-2</v>
      </c>
      <c r="D62" s="13">
        <v>106.2744132</v>
      </c>
    </row>
    <row r="63" spans="1:4">
      <c r="A63" s="2">
        <v>40574</v>
      </c>
      <c r="B63" s="13">
        <v>95.025985303941212</v>
      </c>
      <c r="C63" s="8">
        <f t="shared" si="0"/>
        <v>5.5448701916776422E-2</v>
      </c>
      <c r="D63" s="13">
        <v>110.41364511400364</v>
      </c>
    </row>
    <row r="64" spans="1:4">
      <c r="A64" s="2">
        <v>40602</v>
      </c>
      <c r="B64" s="13">
        <v>101.5487982389146</v>
      </c>
      <c r="C64" s="8">
        <f t="shared" si="0"/>
        <v>6.8642413063228158E-2</v>
      </c>
      <c r="D64" s="13">
        <v>114.30432872307109</v>
      </c>
    </row>
    <row r="65" spans="1:11">
      <c r="A65" s="2">
        <v>40633</v>
      </c>
      <c r="B65" s="13">
        <v>94.254548813766135</v>
      </c>
      <c r="C65" s="8">
        <f t="shared" si="0"/>
        <v>-7.182999259121936E-2</v>
      </c>
      <c r="D65" s="13">
        <v>117.7272624429057</v>
      </c>
    </row>
    <row r="66" spans="1:11">
      <c r="A66" s="2">
        <v>40663</v>
      </c>
      <c r="B66" s="13">
        <v>113.31151658053901</v>
      </c>
      <c r="C66" s="8">
        <f t="shared" si="0"/>
        <v>0.20218618630732377</v>
      </c>
      <c r="D66" s="13">
        <v>127.33259318223078</v>
      </c>
    </row>
    <row r="67" spans="1:11">
      <c r="A67" s="2">
        <v>40694</v>
      </c>
      <c r="B67" s="13">
        <v>120.43458754097608</v>
      </c>
      <c r="C67" s="8">
        <f t="shared" si="0"/>
        <v>6.2862727244270555E-2</v>
      </c>
      <c r="D67" s="13">
        <v>138.30308520155182</v>
      </c>
    </row>
    <row r="68" spans="1:11">
      <c r="A68" s="2">
        <v>40724</v>
      </c>
      <c r="B68" s="13">
        <v>127.26901032620709</v>
      </c>
      <c r="C68" s="8">
        <f t="shared" si="0"/>
        <v>5.6748006737729728E-2</v>
      </c>
      <c r="D68" s="13">
        <v>149.03507177055798</v>
      </c>
    </row>
    <row r="69" spans="1:11">
      <c r="A69" s="2">
        <v>40755</v>
      </c>
      <c r="B69" s="13">
        <v>133.33559091757243</v>
      </c>
      <c r="C69" s="8">
        <f t="shared" ref="C69:C110" si="1">B69/B68-1</f>
        <v>4.7667382466602737E-2</v>
      </c>
      <c r="D69" s="13">
        <v>145.86618613717758</v>
      </c>
    </row>
    <row r="70" spans="1:11">
      <c r="A70" s="2">
        <v>40786</v>
      </c>
      <c r="B70" s="13">
        <v>129.66774467047395</v>
      </c>
      <c r="C70" s="8">
        <f t="shared" si="1"/>
        <v>-2.7508381084581757E-2</v>
      </c>
      <c r="D70" s="13">
        <v>129.93843776665668</v>
      </c>
    </row>
    <row r="71" spans="1:11">
      <c r="A71" s="2">
        <v>40816</v>
      </c>
      <c r="B71" s="13">
        <v>133.38971831554892</v>
      </c>
      <c r="C71" s="8">
        <f t="shared" si="1"/>
        <v>2.8703928294069314E-2</v>
      </c>
      <c r="D71" s="13">
        <v>138.2054046245384</v>
      </c>
    </row>
    <row r="72" spans="1:11">
      <c r="A72" s="2">
        <v>40847</v>
      </c>
      <c r="B72" s="13">
        <v>132.20516767742612</v>
      </c>
      <c r="C72" s="8">
        <f t="shared" si="1"/>
        <v>-8.8803743877815533E-3</v>
      </c>
      <c r="D72" s="13">
        <v>134.50362118482315</v>
      </c>
    </row>
    <row r="73" spans="1:11">
      <c r="A73" s="2">
        <v>40877</v>
      </c>
      <c r="B73" s="13">
        <v>132.60043950361944</v>
      </c>
      <c r="C73" s="8">
        <f t="shared" si="1"/>
        <v>2.9898364272549216E-3</v>
      </c>
      <c r="D73" s="13">
        <v>136.46090450717924</v>
      </c>
    </row>
    <row r="74" spans="1:11">
      <c r="A74" s="2">
        <v>40908</v>
      </c>
      <c r="B74" s="13">
        <v>129.70038675202517</v>
      </c>
      <c r="C74" s="8">
        <f t="shared" si="1"/>
        <v>-2.1870611910868587E-2</v>
      </c>
      <c r="D74" s="13">
        <v>136.84356745410983</v>
      </c>
    </row>
    <row r="75" spans="1:11">
      <c r="A75" s="2">
        <v>40939</v>
      </c>
      <c r="B75" s="13">
        <v>131.98337435956788</v>
      </c>
      <c r="C75" s="8">
        <f t="shared" si="1"/>
        <v>1.7602010793595912E-2</v>
      </c>
      <c r="D75" s="13">
        <v>138.50065706632478</v>
      </c>
    </row>
    <row r="76" spans="1:11">
      <c r="A76" s="2">
        <v>40968</v>
      </c>
      <c r="B76" s="13">
        <v>131.42988783721802</v>
      </c>
      <c r="C76" s="8">
        <f t="shared" si="1"/>
        <v>-4.1936079073260357E-3</v>
      </c>
      <c r="D76" s="13">
        <v>134.18343255327679</v>
      </c>
      <c r="F76" t="s">
        <v>40</v>
      </c>
      <c r="H76" t="s">
        <v>51</v>
      </c>
      <c r="J76" t="s">
        <v>53</v>
      </c>
    </row>
    <row r="77" spans="1:11">
      <c r="A77" s="2">
        <v>40999</v>
      </c>
      <c r="B77" s="13">
        <v>133.19378374032965</v>
      </c>
      <c r="C77" s="8">
        <f t="shared" si="1"/>
        <v>1.3420812663983206E-2</v>
      </c>
      <c r="D77" s="13">
        <v>138.59186552311385</v>
      </c>
      <c r="F77" t="s">
        <v>66</v>
      </c>
      <c r="G77" t="s">
        <v>67</v>
      </c>
      <c r="H77" s="9" t="s">
        <v>66</v>
      </c>
      <c r="I77" s="9" t="s">
        <v>67</v>
      </c>
      <c r="J77" s="9" t="s">
        <v>66</v>
      </c>
      <c r="K77" s="9" t="s">
        <v>67</v>
      </c>
    </row>
    <row r="78" spans="1:11">
      <c r="A78" s="2">
        <v>41029</v>
      </c>
      <c r="B78" s="13">
        <v>138.71427959663376</v>
      </c>
      <c r="C78" s="8">
        <f t="shared" si="1"/>
        <v>4.1447098365090973E-2</v>
      </c>
      <c r="D78" s="13">
        <v>144.70071942446043</v>
      </c>
      <c r="F78" s="25">
        <v>837283</v>
      </c>
      <c r="G78" s="24">
        <v>143.83000000000001</v>
      </c>
      <c r="H78" s="25">
        <f>6019+14337</f>
        <v>20356</v>
      </c>
      <c r="I78" s="24">
        <v>125.37</v>
      </c>
      <c r="J78" s="25">
        <v>52448</v>
      </c>
      <c r="K78" s="24">
        <v>124.65</v>
      </c>
    </row>
    <row r="79" spans="1:11">
      <c r="A79" s="2">
        <v>41060</v>
      </c>
      <c r="B79" s="13">
        <v>143.31578674506773</v>
      </c>
      <c r="C79" s="8">
        <f t="shared" si="1"/>
        <v>3.3172555571168605E-2</v>
      </c>
      <c r="D79" s="13">
        <v>150.70652734317173</v>
      </c>
      <c r="F79" s="25">
        <v>660713</v>
      </c>
      <c r="G79" s="24">
        <v>144.72999999999999</v>
      </c>
      <c r="H79" s="25">
        <f>5600+27373</f>
        <v>32973</v>
      </c>
      <c r="I79" s="24">
        <v>125.28</v>
      </c>
      <c r="J79" s="25">
        <v>45237</v>
      </c>
      <c r="K79" s="24">
        <v>142.61000000000001</v>
      </c>
    </row>
    <row r="80" spans="1:11">
      <c r="A80" s="2">
        <v>41090</v>
      </c>
      <c r="B80" s="13">
        <v>146.00830379435698</v>
      </c>
      <c r="C80" s="8">
        <f t="shared" si="1"/>
        <v>1.8787302574549969E-2</v>
      </c>
      <c r="D80" s="13">
        <v>145.30278229786325</v>
      </c>
      <c r="F80" s="25">
        <v>1040825</v>
      </c>
      <c r="G80" s="24">
        <v>145.55000000000001</v>
      </c>
      <c r="H80" s="25">
        <f>10689.8+30390</f>
        <v>41079.800000000003</v>
      </c>
      <c r="I80" s="24">
        <v>123.11</v>
      </c>
      <c r="J80" s="25">
        <v>47273</v>
      </c>
      <c r="K80" s="24">
        <v>125.35</v>
      </c>
    </row>
    <row r="81" spans="1:20">
      <c r="A81" s="2">
        <v>41121</v>
      </c>
      <c r="B81" s="13">
        <v>146.71292977909818</v>
      </c>
      <c r="C81" s="8">
        <f t="shared" si="1"/>
        <v>4.8259308986535743E-3</v>
      </c>
      <c r="D81" s="13">
        <v>136.36973997441035</v>
      </c>
      <c r="F81" s="25">
        <v>1068027</v>
      </c>
      <c r="G81" s="24">
        <v>137.47</v>
      </c>
      <c r="H81" s="25">
        <f>7047.7+32925</f>
        <v>39972.699999999997</v>
      </c>
      <c r="I81" s="24">
        <v>118.52</v>
      </c>
      <c r="J81" s="25">
        <v>46351</v>
      </c>
      <c r="K81" s="24">
        <v>117.42</v>
      </c>
    </row>
    <row r="82" spans="1:20">
      <c r="A82" s="2">
        <v>41152</v>
      </c>
      <c r="B82" s="13">
        <v>137.93074325086013</v>
      </c>
      <c r="C82" s="8">
        <f t="shared" si="1"/>
        <v>-5.9859662958548721E-2</v>
      </c>
      <c r="D82" s="13">
        <v>131.30018449500287</v>
      </c>
    </row>
    <row r="83" spans="1:20">
      <c r="A83" s="2">
        <v>41182</v>
      </c>
      <c r="B83" s="13">
        <v>131.46453177722074</v>
      </c>
      <c r="C83" s="8">
        <f t="shared" si="1"/>
        <v>-4.6880132168062305E-2</v>
      </c>
      <c r="D83" s="13">
        <v>130.50905730901346</v>
      </c>
    </row>
    <row r="84" spans="1:20">
      <c r="A84" s="2">
        <v>41213</v>
      </c>
      <c r="B84" s="13">
        <v>130.91171556617505</v>
      </c>
      <c r="C84" s="8">
        <f t="shared" si="1"/>
        <v>-4.2050597493664688E-3</v>
      </c>
      <c r="D84" s="13">
        <v>138.35309053537037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</row>
    <row r="85" spans="1:20">
      <c r="A85" s="2">
        <v>41243</v>
      </c>
      <c r="B85" s="13">
        <v>125.45795218995028</v>
      </c>
      <c r="C85" s="8">
        <f t="shared" si="1"/>
        <v>-4.1659857199472183E-2</v>
      </c>
      <c r="D85" s="13">
        <v>149.48238061193828</v>
      </c>
    </row>
    <row r="86" spans="1:20">
      <c r="A86" s="2">
        <v>41274</v>
      </c>
      <c r="B86" s="13">
        <v>127.39688275171093</v>
      </c>
      <c r="C86" s="8">
        <f t="shared" si="1"/>
        <v>1.5454823930371564E-2</v>
      </c>
      <c r="D86" s="13">
        <v>149.72084298150483</v>
      </c>
    </row>
    <row r="87" spans="1:20">
      <c r="A87" s="2">
        <v>41305</v>
      </c>
      <c r="B87" s="13">
        <v>128.20485409003328</v>
      </c>
      <c r="C87" s="8">
        <f t="shared" si="1"/>
        <v>6.3421594066555009E-3</v>
      </c>
      <c r="D87" s="13">
        <v>143.9121393926408</v>
      </c>
    </row>
    <row r="88" spans="1:20">
      <c r="A88" s="2">
        <v>41333</v>
      </c>
      <c r="B88" s="13">
        <v>125.96281900006475</v>
      </c>
      <c r="C88" s="8">
        <f t="shared" si="1"/>
        <v>-1.7487911092617714E-2</v>
      </c>
      <c r="D88" s="13">
        <v>138.28219843005397</v>
      </c>
    </row>
    <row r="89" spans="1:20">
      <c r="A89" s="2">
        <v>41364</v>
      </c>
      <c r="B89" s="13">
        <v>125.75190719515645</v>
      </c>
      <c r="C89" s="8">
        <f t="shared" si="1"/>
        <v>-1.6743973069401896E-3</v>
      </c>
      <c r="D89" s="13">
        <v>142.56925128687317</v>
      </c>
    </row>
    <row r="90" spans="1:20">
      <c r="A90" s="2">
        <v>41394</v>
      </c>
      <c r="B90" s="13">
        <v>129.36055346348991</v>
      </c>
      <c r="C90" s="8">
        <f t="shared" si="1"/>
        <v>2.8696552989316837E-2</v>
      </c>
      <c r="D90" s="13">
        <v>145.23113544394192</v>
      </c>
    </row>
    <row r="91" spans="1:20">
      <c r="A91" s="2">
        <v>41425</v>
      </c>
      <c r="B91" s="13">
        <v>128.52808672061258</v>
      </c>
      <c r="C91" s="8">
        <f t="shared" si="1"/>
        <v>-6.4352441342351296E-3</v>
      </c>
      <c r="D91" s="13">
        <v>139.70483512517569</v>
      </c>
    </row>
    <row r="92" spans="1:20">
      <c r="A92" s="2">
        <v>41455</v>
      </c>
      <c r="B92" s="13">
        <v>127.4238200617235</v>
      </c>
      <c r="C92" s="8">
        <f t="shared" si="1"/>
        <v>-8.5916369492800015E-3</v>
      </c>
      <c r="D92" s="13">
        <v>134.26542280745448</v>
      </c>
    </row>
    <row r="93" spans="1:20">
      <c r="A93" s="2">
        <v>41486</v>
      </c>
      <c r="B93" s="13">
        <v>125.18045062084265</v>
      </c>
      <c r="C93" s="8">
        <f t="shared" si="1"/>
        <v>-1.7605573587373025E-2</v>
      </c>
      <c r="D93" s="13">
        <v>132.1211142091492</v>
      </c>
      <c r="F93" s="25">
        <v>546572</v>
      </c>
      <c r="G93" s="24">
        <v>131.01</v>
      </c>
      <c r="H93" s="25">
        <f>7177.089+25167.533</f>
        <v>32344.621999999999</v>
      </c>
      <c r="I93" s="24">
        <v>134.62</v>
      </c>
      <c r="J93" s="25">
        <v>30682</v>
      </c>
      <c r="K93" s="24">
        <v>110.7069</v>
      </c>
    </row>
    <row r="94" spans="1:20">
      <c r="A94" s="2">
        <v>41517</v>
      </c>
      <c r="B94" s="13">
        <v>130.47970524301505</v>
      </c>
      <c r="C94" s="8">
        <f t="shared" si="1"/>
        <v>4.2332924956655082E-2</v>
      </c>
      <c r="D94" s="13">
        <v>134.0112798264642</v>
      </c>
      <c r="F94" s="25">
        <v>742030</v>
      </c>
      <c r="G94" s="24">
        <v>118.37</v>
      </c>
      <c r="H94" s="25">
        <f>7796.414+30841.688</f>
        <v>38638.101999999999</v>
      </c>
      <c r="I94" s="24">
        <v>137.27969999999999</v>
      </c>
      <c r="J94" s="25">
        <v>24223</v>
      </c>
      <c r="K94" s="24">
        <v>113.1665</v>
      </c>
    </row>
    <row r="95" spans="1:20">
      <c r="A95" s="2">
        <v>41547</v>
      </c>
      <c r="B95" s="13">
        <v>119.23287426062241</v>
      </c>
      <c r="C95" s="8">
        <f t="shared" si="1"/>
        <v>-8.6196017698275007E-2</v>
      </c>
      <c r="D95" s="13">
        <v>136.07773420393542</v>
      </c>
    </row>
    <row r="96" spans="1:20">
      <c r="A96" s="2">
        <v>41578</v>
      </c>
      <c r="B96" s="13">
        <v>127.75614259645909</v>
      </c>
      <c r="C96" s="8">
        <f t="shared" si="1"/>
        <v>7.1484214304909699E-2</v>
      </c>
      <c r="D96" s="13">
        <v>143.25800223838837</v>
      </c>
    </row>
    <row r="97" spans="1:4">
      <c r="A97" s="2">
        <v>41608</v>
      </c>
      <c r="B97" s="13">
        <v>132.59284471252133</v>
      </c>
      <c r="C97" s="8">
        <f t="shared" si="1"/>
        <v>3.7858861560495338E-2</v>
      </c>
      <c r="D97" s="13">
        <v>142.4480220522818</v>
      </c>
    </row>
    <row r="98" spans="1:4">
      <c r="A98" s="2">
        <v>41639</v>
      </c>
      <c r="B98" s="13">
        <v>133.48133806151549</v>
      </c>
      <c r="C98" s="8">
        <f t="shared" si="1"/>
        <v>6.7009147508716449E-3</v>
      </c>
      <c r="D98" s="13">
        <v>139.37351517408302</v>
      </c>
    </row>
    <row r="99" spans="1:4">
      <c r="A99" s="2">
        <v>41670</v>
      </c>
      <c r="B99" s="13">
        <v>130.23930039970125</v>
      </c>
      <c r="C99" s="8">
        <f t="shared" si="1"/>
        <v>-2.4288321565372195E-2</v>
      </c>
      <c r="D99" s="13">
        <v>135.92397738136404</v>
      </c>
    </row>
    <row r="100" spans="1:4">
      <c r="A100" s="2">
        <v>41698</v>
      </c>
      <c r="B100" s="13">
        <v>127.54286890499689</v>
      </c>
      <c r="C100" s="8">
        <f t="shared" si="1"/>
        <v>-2.0703669986164464E-2</v>
      </c>
      <c r="D100" s="13">
        <v>136.80280235462914</v>
      </c>
    </row>
    <row r="101" spans="1:4">
      <c r="A101" s="2">
        <v>41729</v>
      </c>
      <c r="B101" s="13">
        <v>129.34756403178707</v>
      </c>
      <c r="C101" s="8">
        <f t="shared" si="1"/>
        <v>1.4149714070917252E-2</v>
      </c>
      <c r="D101" s="13">
        <v>137.54215472938563</v>
      </c>
    </row>
    <row r="102" spans="1:4">
      <c r="A102" s="2">
        <v>41759</v>
      </c>
      <c r="B102" s="13">
        <v>127.77749745470544</v>
      </c>
      <c r="C102" s="8">
        <f t="shared" si="1"/>
        <v>-1.2138354431597831E-2</v>
      </c>
      <c r="D102" s="13">
        <v>137.42497586579648</v>
      </c>
    </row>
    <row r="103" spans="1:4">
      <c r="A103" s="2">
        <v>41790</v>
      </c>
      <c r="B103" s="13">
        <v>130.791066302573</v>
      </c>
      <c r="C103" s="8">
        <f t="shared" si="1"/>
        <v>2.358450359333264E-2</v>
      </c>
      <c r="D103" s="13">
        <v>136.09537529886921</v>
      </c>
    </row>
    <row r="104" spans="1:4">
      <c r="A104" s="2">
        <v>41820</v>
      </c>
      <c r="B104" s="13">
        <v>129.47172233268734</v>
      </c>
      <c r="C104" s="8">
        <f t="shared" si="1"/>
        <v>-1.00874165734951E-2</v>
      </c>
      <c r="D104" s="13">
        <v>139.34473213265724</v>
      </c>
    </row>
    <row r="105" spans="1:4">
      <c r="A105" s="2">
        <v>41851</v>
      </c>
      <c r="B105" s="13">
        <v>128.47434360215249</v>
      </c>
      <c r="C105" s="8">
        <f t="shared" si="1"/>
        <v>-7.7034483867605141E-3</v>
      </c>
      <c r="D105" s="13">
        <v>139.43449826704077</v>
      </c>
    </row>
    <row r="106" spans="1:4">
      <c r="A106" s="2">
        <v>41882</v>
      </c>
      <c r="B106" s="13">
        <v>132.02860919034501</v>
      </c>
      <c r="C106" s="8">
        <f t="shared" si="1"/>
        <v>2.7665178031179849E-2</v>
      </c>
      <c r="D106" s="13">
        <v>139.23330140934172</v>
      </c>
    </row>
    <row r="107" spans="1:4">
      <c r="A107" s="2">
        <v>41912</v>
      </c>
      <c r="B107" s="13">
        <v>131.11974155909257</v>
      </c>
      <c r="C107" s="8">
        <f t="shared" si="1"/>
        <v>-6.8838688586208008E-3</v>
      </c>
      <c r="D107" s="13">
        <v>138.14075387678807</v>
      </c>
    </row>
    <row r="108" spans="1:4">
      <c r="A108" s="2">
        <v>41943</v>
      </c>
      <c r="B108" s="13">
        <v>125.68344822641278</v>
      </c>
      <c r="C108" s="8">
        <f t="shared" si="1"/>
        <v>-4.1460525074554E-2</v>
      </c>
      <c r="D108" s="13">
        <v>134.28312871843994</v>
      </c>
    </row>
    <row r="109" spans="1:4">
      <c r="A109" s="2">
        <v>41973</v>
      </c>
      <c r="B109" s="13">
        <v>113.56579363869773</v>
      </c>
      <c r="C109" s="8">
        <f t="shared" si="1"/>
        <v>-9.6414084421726498E-2</v>
      </c>
      <c r="D109" s="13">
        <v>128.4830397398176</v>
      </c>
    </row>
    <row r="110" spans="1:4">
      <c r="A110" s="2">
        <v>42004</v>
      </c>
      <c r="B110" s="13">
        <v>108.22202639309045</v>
      </c>
      <c r="C110" s="8">
        <f t="shared" si="1"/>
        <v>-4.7054373279053818E-2</v>
      </c>
      <c r="D110" s="13">
        <v>122.01890063568685</v>
      </c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67"/>
  <sheetViews>
    <sheetView topLeftCell="BP1" workbookViewId="0">
      <selection activeCell="BZ29" sqref="BZ29"/>
    </sheetView>
  </sheetViews>
  <sheetFormatPr defaultColWidth="8.77734375" defaultRowHeight="14.4"/>
  <cols>
    <col min="1" max="1" width="15.77734375" style="9" bestFit="1" customWidth="1"/>
    <col min="2" max="2" width="16.33203125" style="9" customWidth="1"/>
    <col min="3" max="3" width="51.109375" style="9" bestFit="1" customWidth="1"/>
    <col min="4" max="4" width="7.109375" style="9" customWidth="1"/>
    <col min="5" max="5" width="18" style="9" customWidth="1"/>
    <col min="6" max="6" width="11" style="9" customWidth="1"/>
    <col min="7" max="12" width="11.109375" style="9" bestFit="1" customWidth="1"/>
    <col min="13" max="13" width="11" style="9" customWidth="1"/>
    <col min="14" max="14" width="10" style="9" customWidth="1"/>
    <col min="15" max="16" width="11" style="9" customWidth="1"/>
    <col min="17" max="76" width="10.109375" style="9" bestFit="1" customWidth="1"/>
    <col min="77" max="77" width="9" style="9" customWidth="1"/>
  </cols>
  <sheetData>
    <row r="2" spans="1:77">
      <c r="E2" s="22" t="s">
        <v>62</v>
      </c>
    </row>
    <row r="3" spans="1:77">
      <c r="E3" s="24" t="s">
        <v>109</v>
      </c>
    </row>
    <row r="4" spans="1:77">
      <c r="A4" s="9" t="s">
        <v>35</v>
      </c>
      <c r="B4" s="9" t="s">
        <v>36</v>
      </c>
      <c r="C4" s="9" t="s">
        <v>37</v>
      </c>
      <c r="D4" s="9" t="s">
        <v>38</v>
      </c>
      <c r="E4" s="10">
        <v>36556</v>
      </c>
      <c r="F4" s="10">
        <v>36584</v>
      </c>
      <c r="G4" s="10">
        <v>36616</v>
      </c>
      <c r="H4" s="10">
        <v>36646</v>
      </c>
      <c r="I4" s="10">
        <v>36677</v>
      </c>
      <c r="J4" s="10">
        <v>36707</v>
      </c>
      <c r="K4" s="10">
        <v>36738</v>
      </c>
      <c r="L4" s="10">
        <v>36769</v>
      </c>
      <c r="M4" s="10">
        <v>36799</v>
      </c>
      <c r="N4" s="10">
        <v>36830</v>
      </c>
      <c r="O4" s="10">
        <v>36860</v>
      </c>
      <c r="P4" s="10">
        <v>36891</v>
      </c>
      <c r="Q4" s="10">
        <v>36922</v>
      </c>
      <c r="R4" s="10">
        <v>36950</v>
      </c>
      <c r="S4" s="10">
        <v>36981</v>
      </c>
      <c r="T4" s="10">
        <v>37011</v>
      </c>
      <c r="U4" s="10">
        <v>37042</v>
      </c>
      <c r="V4" s="10">
        <v>37072</v>
      </c>
      <c r="W4" s="10">
        <v>37103</v>
      </c>
      <c r="X4" s="10">
        <v>37134</v>
      </c>
      <c r="Y4" s="10">
        <v>37164</v>
      </c>
      <c r="Z4" s="10">
        <v>37195</v>
      </c>
      <c r="AA4" s="10">
        <v>37225</v>
      </c>
      <c r="AB4" s="10">
        <v>37256</v>
      </c>
      <c r="AC4" s="10">
        <v>37287</v>
      </c>
      <c r="AD4" s="10">
        <v>37315</v>
      </c>
      <c r="AE4" s="10">
        <v>37346</v>
      </c>
      <c r="AF4" s="10">
        <v>37376</v>
      </c>
      <c r="AG4" s="10">
        <v>37407</v>
      </c>
      <c r="AH4" s="10">
        <v>37437</v>
      </c>
      <c r="AI4" s="10">
        <v>37468</v>
      </c>
      <c r="AJ4" s="10">
        <v>37499</v>
      </c>
      <c r="AK4" s="10">
        <v>37529</v>
      </c>
      <c r="AL4" s="10">
        <v>37560</v>
      </c>
      <c r="AM4" s="10">
        <v>37590</v>
      </c>
      <c r="AN4" s="10">
        <v>37621</v>
      </c>
      <c r="AO4" s="10">
        <v>37652</v>
      </c>
      <c r="AP4" s="10">
        <v>37680</v>
      </c>
      <c r="AQ4" s="10">
        <v>37711</v>
      </c>
      <c r="AR4" s="10">
        <v>37741</v>
      </c>
      <c r="AS4" s="10">
        <v>37772</v>
      </c>
      <c r="AT4" s="10">
        <v>37802</v>
      </c>
      <c r="AU4" s="10">
        <v>37833</v>
      </c>
      <c r="AV4" s="10">
        <v>37864</v>
      </c>
      <c r="AW4" s="10">
        <v>37894</v>
      </c>
      <c r="AX4" s="10">
        <v>37925</v>
      </c>
      <c r="AY4" s="10">
        <v>37955</v>
      </c>
      <c r="AZ4" s="10">
        <v>37986</v>
      </c>
      <c r="BA4" s="10">
        <v>38017</v>
      </c>
      <c r="BB4" s="10">
        <v>38045</v>
      </c>
      <c r="BC4" s="10">
        <v>38077</v>
      </c>
      <c r="BD4" s="10">
        <v>38107</v>
      </c>
      <c r="BE4" s="10">
        <v>38138</v>
      </c>
      <c r="BF4" s="10">
        <v>38168</v>
      </c>
      <c r="BG4" s="10">
        <v>38199</v>
      </c>
      <c r="BH4" s="10">
        <v>38230</v>
      </c>
      <c r="BI4" s="10">
        <v>38260</v>
      </c>
      <c r="BJ4" s="10">
        <v>38291</v>
      </c>
      <c r="BK4" s="10">
        <v>38321</v>
      </c>
      <c r="BL4" s="10">
        <v>38352</v>
      </c>
      <c r="BM4" s="10">
        <v>38383</v>
      </c>
      <c r="BN4" s="10">
        <v>38411</v>
      </c>
      <c r="BO4" s="10">
        <v>38442</v>
      </c>
      <c r="BP4" s="10">
        <v>38472</v>
      </c>
      <c r="BQ4" s="10">
        <v>38503</v>
      </c>
      <c r="BR4" s="10">
        <v>38533</v>
      </c>
      <c r="BS4" s="10">
        <v>38564</v>
      </c>
      <c r="BT4" s="10">
        <v>38595</v>
      </c>
      <c r="BU4" s="10">
        <v>38625</v>
      </c>
      <c r="BV4" s="10">
        <v>38656</v>
      </c>
      <c r="BW4" s="10">
        <v>38686</v>
      </c>
      <c r="BX4" s="10">
        <v>38717</v>
      </c>
    </row>
    <row r="5" spans="1:77" s="9" customFormat="1">
      <c r="A5" s="9" t="s">
        <v>39</v>
      </c>
      <c r="B5" s="9" t="s">
        <v>110</v>
      </c>
      <c r="E5" s="27">
        <f>(E6*E8+E16*E17+E22*E23)/(E6+E16+E22)</f>
        <v>26.78684310655423</v>
      </c>
      <c r="F5" s="27">
        <f t="shared" ref="F5:BQ5" si="0">(F6*F8+F16*F17+F22*F23)/(F6+F16+F22)</f>
        <v>27.188341938685443</v>
      </c>
      <c r="G5" s="27">
        <f t="shared" si="0"/>
        <v>26.879662601240824</v>
      </c>
      <c r="H5" s="27">
        <f t="shared" si="0"/>
        <v>28.456268204145893</v>
      </c>
      <c r="I5" s="27">
        <f t="shared" si="0"/>
        <v>29.870344565794241</v>
      </c>
      <c r="J5" s="27">
        <f t="shared" si="0"/>
        <v>31.198317110875056</v>
      </c>
      <c r="K5" s="27">
        <f t="shared" si="0"/>
        <v>32.240900124814281</v>
      </c>
      <c r="L5" s="27">
        <f t="shared" si="0"/>
        <v>33.279713271359469</v>
      </c>
      <c r="M5" s="27">
        <f t="shared" si="0"/>
        <v>32.540021554362312</v>
      </c>
      <c r="N5" s="27">
        <f t="shared" si="0"/>
        <v>31.919011275460797</v>
      </c>
      <c r="O5" s="27">
        <f t="shared" si="0"/>
        <v>34.87560119355097</v>
      </c>
      <c r="P5" s="27">
        <f t="shared" si="0"/>
        <v>35.143255363300995</v>
      </c>
      <c r="Q5" s="27">
        <f t="shared" si="0"/>
        <v>34.531267970151013</v>
      </c>
      <c r="R5" s="27">
        <f t="shared" si="0"/>
        <v>31.606412121395522</v>
      </c>
      <c r="S5" s="27">
        <f t="shared" si="0"/>
        <v>28.627897204981132</v>
      </c>
      <c r="T5" s="27">
        <f t="shared" si="0"/>
        <v>29.436463293561335</v>
      </c>
      <c r="U5" s="27">
        <f t="shared" si="0"/>
        <v>29.652947445437412</v>
      </c>
      <c r="V5" s="27">
        <f t="shared" si="0"/>
        <v>30.747833066054408</v>
      </c>
      <c r="W5" s="27">
        <f t="shared" si="0"/>
        <v>33.286875526407194</v>
      </c>
      <c r="X5" s="27">
        <f t="shared" si="0"/>
        <v>34.275661604862471</v>
      </c>
      <c r="Y5" s="27">
        <f t="shared" si="0"/>
        <v>33.788642797805387</v>
      </c>
      <c r="Z5" s="27">
        <f t="shared" si="0"/>
        <v>31.337860598496654</v>
      </c>
      <c r="AA5" s="27">
        <f t="shared" si="0"/>
        <v>29.11541838658658</v>
      </c>
      <c r="AB5" s="27">
        <f t="shared" si="0"/>
        <v>27.788151899195267</v>
      </c>
      <c r="AC5" s="27">
        <f t="shared" si="0"/>
        <v>24.281130524430097</v>
      </c>
      <c r="AD5" s="27">
        <f t="shared" si="0"/>
        <v>21.87060239607543</v>
      </c>
      <c r="AE5" s="27">
        <f t="shared" si="0"/>
        <v>22.398435854824953</v>
      </c>
      <c r="AF5" s="27">
        <f t="shared" si="0"/>
        <v>23.201720937750267</v>
      </c>
      <c r="AG5" s="27">
        <f t="shared" si="0"/>
        <v>25.270001528713721</v>
      </c>
      <c r="AH5" s="27">
        <f t="shared" si="0"/>
        <v>29.101656437590993</v>
      </c>
      <c r="AI5" s="27">
        <f t="shared" si="0"/>
        <v>28.663672287406044</v>
      </c>
      <c r="AJ5" s="27">
        <f t="shared" si="0"/>
        <v>29.82126897679742</v>
      </c>
      <c r="AK5" s="27">
        <f t="shared" si="0"/>
        <v>30.387593311492516</v>
      </c>
      <c r="AL5" s="27">
        <f t="shared" si="0"/>
        <v>30.896494206754021</v>
      </c>
      <c r="AM5" s="27">
        <f t="shared" si="0"/>
        <v>32.213056846447593</v>
      </c>
      <c r="AN5" s="27">
        <f t="shared" si="0"/>
        <v>33.571778615777404</v>
      </c>
      <c r="AO5" s="27">
        <f t="shared" si="0"/>
        <v>33.389223722689131</v>
      </c>
      <c r="AP5" s="27">
        <f t="shared" si="0"/>
        <v>34.538752224314422</v>
      </c>
      <c r="AQ5" s="27">
        <f t="shared" si="0"/>
        <v>36.218883149520636</v>
      </c>
      <c r="AR5" s="27">
        <f t="shared" si="0"/>
        <v>37.583555645502273</v>
      </c>
      <c r="AS5" s="27">
        <f t="shared" si="0"/>
        <v>37.253692644277244</v>
      </c>
      <c r="AT5" s="27">
        <f t="shared" si="0"/>
        <v>36.188821419636312</v>
      </c>
      <c r="AU5" s="27">
        <f t="shared" si="0"/>
        <v>34.472741724541535</v>
      </c>
      <c r="AV5" s="27">
        <f t="shared" si="0"/>
        <v>34.518416766663591</v>
      </c>
      <c r="AW5" s="27">
        <f t="shared" si="0"/>
        <v>34.817786838697259</v>
      </c>
      <c r="AX5" s="27">
        <f t="shared" si="0"/>
        <v>33.822456790214275</v>
      </c>
      <c r="AY5" s="27">
        <f t="shared" si="0"/>
        <v>32.004682867712901</v>
      </c>
      <c r="AZ5" s="27">
        <f t="shared" si="0"/>
        <v>32.607570315788585</v>
      </c>
      <c r="BA5" s="27">
        <f t="shared" si="0"/>
        <v>35.617530792563031</v>
      </c>
      <c r="BB5" s="27">
        <f t="shared" si="0"/>
        <v>36.564115491414555</v>
      </c>
      <c r="BC5" s="27">
        <f t="shared" si="0"/>
        <v>35.350263306299318</v>
      </c>
      <c r="BD5" s="27">
        <f t="shared" si="0"/>
        <v>36.476797398807413</v>
      </c>
      <c r="BE5" s="27">
        <f t="shared" si="0"/>
        <v>37.413786866524255</v>
      </c>
      <c r="BF5" s="27">
        <f t="shared" si="0"/>
        <v>38.178207644442296</v>
      </c>
      <c r="BG5" s="27">
        <f t="shared" si="0"/>
        <v>37.595747824740904</v>
      </c>
      <c r="BH5" s="27">
        <f t="shared" si="0"/>
        <v>38.193624895472468</v>
      </c>
      <c r="BI5" s="27">
        <f t="shared" si="0"/>
        <v>39.509374624425959</v>
      </c>
      <c r="BJ5" s="27">
        <f t="shared" si="0"/>
        <v>43.362454630375417</v>
      </c>
      <c r="BK5" s="27">
        <f t="shared" si="0"/>
        <v>45.479894667430976</v>
      </c>
      <c r="BL5" s="27">
        <f t="shared" si="0"/>
        <v>49.020519036895799</v>
      </c>
      <c r="BM5" s="27">
        <f t="shared" si="0"/>
        <v>45.004455339338413</v>
      </c>
      <c r="BN5" s="27">
        <f t="shared" si="0"/>
        <v>39.288308318792765</v>
      </c>
      <c r="BO5" s="27">
        <f t="shared" si="0"/>
        <v>37.391755713509461</v>
      </c>
      <c r="BP5" s="27">
        <f t="shared" si="0"/>
        <v>41.638402373986295</v>
      </c>
      <c r="BQ5" s="27">
        <f t="shared" si="0"/>
        <v>46.421994385080538</v>
      </c>
      <c r="BR5" s="27">
        <f t="shared" ref="BR5:BX5" si="1">(BR6*BR8+BR16*BR17+BR22*BR23)/(BR6+BR16+BR22)</f>
        <v>52.600153720765512</v>
      </c>
      <c r="BS5" s="27">
        <f t="shared" si="1"/>
        <v>54.323968949933104</v>
      </c>
      <c r="BT5" s="27">
        <f t="shared" si="1"/>
        <v>53.712884742603912</v>
      </c>
      <c r="BU5" s="27">
        <f t="shared" si="1"/>
        <v>56.878153775790707</v>
      </c>
      <c r="BV5" s="27">
        <f t="shared" si="1"/>
        <v>59.422485032633929</v>
      </c>
      <c r="BW5" s="27">
        <f t="shared" si="1"/>
        <v>61.619331573599645</v>
      </c>
      <c r="BX5" s="27">
        <f t="shared" si="1"/>
        <v>62.326448671223268</v>
      </c>
    </row>
    <row r="6" spans="1:77">
      <c r="A6" s="11" t="s">
        <v>39</v>
      </c>
      <c r="B6" s="11" t="s">
        <v>40</v>
      </c>
      <c r="C6" s="9" t="s">
        <v>41</v>
      </c>
      <c r="D6" s="9" t="s">
        <v>42</v>
      </c>
      <c r="E6" s="12">
        <v>544145</v>
      </c>
      <c r="F6" s="12">
        <v>529101</v>
      </c>
      <c r="G6" s="12">
        <v>668942</v>
      </c>
      <c r="H6" s="12">
        <v>639309</v>
      </c>
      <c r="I6" s="12">
        <v>701912</v>
      </c>
      <c r="J6" s="12">
        <v>597533</v>
      </c>
      <c r="K6" s="12">
        <v>649546</v>
      </c>
      <c r="L6" s="12">
        <v>656108</v>
      </c>
      <c r="M6" s="12">
        <v>635023</v>
      </c>
      <c r="N6" s="12">
        <v>640445</v>
      </c>
      <c r="O6" s="12">
        <v>590329</v>
      </c>
      <c r="P6" s="12">
        <v>597382</v>
      </c>
      <c r="Q6" s="12">
        <v>592393</v>
      </c>
      <c r="R6" s="12">
        <v>512634</v>
      </c>
      <c r="S6" s="12">
        <v>671821</v>
      </c>
      <c r="T6" s="12">
        <v>608595</v>
      </c>
      <c r="U6" s="12">
        <v>627680</v>
      </c>
      <c r="V6" s="12">
        <v>590252</v>
      </c>
      <c r="W6" s="12">
        <v>642681</v>
      </c>
      <c r="X6" s="12">
        <v>663054</v>
      </c>
      <c r="Y6" s="12">
        <v>648869</v>
      </c>
      <c r="Z6" s="12">
        <v>649472</v>
      </c>
      <c r="AA6" s="12">
        <v>597695</v>
      </c>
      <c r="AB6" s="12">
        <v>614510</v>
      </c>
      <c r="AC6" s="12">
        <v>569756</v>
      </c>
      <c r="AD6" s="12">
        <v>507025</v>
      </c>
      <c r="AE6" s="12">
        <v>626717</v>
      </c>
      <c r="AF6" s="12">
        <v>740048</v>
      </c>
      <c r="AG6" s="12">
        <v>657889</v>
      </c>
      <c r="AH6" s="12">
        <v>614785</v>
      </c>
      <c r="AI6" s="12">
        <v>639443</v>
      </c>
      <c r="AJ6" s="12">
        <v>695479</v>
      </c>
      <c r="AK6" s="12">
        <v>651037</v>
      </c>
      <c r="AL6" s="12">
        <v>707431</v>
      </c>
      <c r="AM6" s="12">
        <v>608074</v>
      </c>
      <c r="AN6" s="12">
        <v>606309</v>
      </c>
      <c r="AO6" s="12">
        <v>568126</v>
      </c>
      <c r="AP6" s="12">
        <v>514959</v>
      </c>
      <c r="AQ6" s="12">
        <v>691083</v>
      </c>
      <c r="AR6" s="12">
        <v>652163</v>
      </c>
      <c r="AS6" s="12">
        <v>624643</v>
      </c>
      <c r="AT6" s="12">
        <v>624532</v>
      </c>
      <c r="AU6" s="12">
        <v>665703</v>
      </c>
      <c r="AV6" s="12">
        <v>686590</v>
      </c>
      <c r="AW6" s="12">
        <v>686038</v>
      </c>
      <c r="AX6" s="12">
        <v>705008</v>
      </c>
      <c r="AY6" s="12">
        <v>621098</v>
      </c>
      <c r="AZ6" s="12">
        <v>615456</v>
      </c>
      <c r="BA6" s="12">
        <v>633262</v>
      </c>
      <c r="BB6" s="12">
        <v>584604</v>
      </c>
      <c r="BC6" s="12">
        <v>632118</v>
      </c>
      <c r="BD6" s="12">
        <v>644935</v>
      </c>
      <c r="BE6" s="12">
        <v>741176</v>
      </c>
      <c r="BF6" s="12">
        <v>664837</v>
      </c>
      <c r="BG6" s="12">
        <v>706670</v>
      </c>
      <c r="BH6" s="12">
        <v>730212</v>
      </c>
      <c r="BI6" s="12">
        <v>704375</v>
      </c>
      <c r="BJ6" s="12">
        <v>726077</v>
      </c>
      <c r="BK6" s="12">
        <v>698234</v>
      </c>
      <c r="BL6" s="12">
        <v>669347</v>
      </c>
      <c r="BM6" s="12">
        <v>612912</v>
      </c>
      <c r="BN6" s="12">
        <v>521898</v>
      </c>
      <c r="BO6" s="12">
        <v>571157</v>
      </c>
      <c r="BP6" s="12">
        <v>684717</v>
      </c>
      <c r="BQ6" s="12">
        <v>679782</v>
      </c>
      <c r="BR6" s="12">
        <v>652593</v>
      </c>
      <c r="BS6" s="12">
        <v>695790</v>
      </c>
      <c r="BT6" s="12">
        <v>754626</v>
      </c>
      <c r="BU6" s="12">
        <v>724902</v>
      </c>
      <c r="BV6" s="12">
        <v>691957</v>
      </c>
      <c r="BW6" s="12">
        <v>636701</v>
      </c>
      <c r="BX6" s="12">
        <v>648495</v>
      </c>
    </row>
    <row r="7" spans="1:77">
      <c r="A7" s="19"/>
      <c r="B7" s="19"/>
      <c r="C7" s="19" t="s">
        <v>43</v>
      </c>
      <c r="D7" s="19" t="s">
        <v>44</v>
      </c>
      <c r="E7" s="20">
        <v>4.2906000000000004</v>
      </c>
      <c r="F7" s="20">
        <v>4.3602999999999996</v>
      </c>
      <c r="G7" s="20">
        <v>4.3418999999999999</v>
      </c>
      <c r="H7" s="20">
        <v>4.6152999999999995</v>
      </c>
      <c r="I7" s="20">
        <v>4.8093000000000004</v>
      </c>
      <c r="J7" s="20">
        <v>5.0761000000000003</v>
      </c>
      <c r="K7" s="20">
        <v>5.2938999999999998</v>
      </c>
      <c r="L7" s="20">
        <v>5.4312000000000005</v>
      </c>
      <c r="M7" s="20">
        <v>5.2883000000000004</v>
      </c>
      <c r="N7" s="20">
        <v>5.2301000000000002</v>
      </c>
      <c r="O7" s="20">
        <v>5.7639999999999993</v>
      </c>
      <c r="P7" s="20">
        <v>5.7550999999999997</v>
      </c>
      <c r="Q7" s="20">
        <v>5.6512000000000002</v>
      </c>
      <c r="R7" s="20">
        <v>5.2384000000000004</v>
      </c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19"/>
    </row>
    <row r="8" spans="1:77">
      <c r="A8" s="19"/>
      <c r="B8" s="19"/>
      <c r="C8" s="19" t="s">
        <v>5</v>
      </c>
      <c r="D8" s="19" t="s">
        <v>44</v>
      </c>
      <c r="E8" s="23">
        <f t="shared" ref="E8:F8" si="2">E7*6.2</f>
        <v>26.601720000000004</v>
      </c>
      <c r="F8" s="23">
        <f t="shared" si="2"/>
        <v>27.033859999999997</v>
      </c>
      <c r="G8" s="23">
        <f>G7*6.2</f>
        <v>26.919779999999999</v>
      </c>
      <c r="H8" s="23">
        <f t="shared" ref="H8:R8" si="3">H7*6.2</f>
        <v>28.614859999999997</v>
      </c>
      <c r="I8" s="23">
        <f t="shared" si="3"/>
        <v>29.817660000000004</v>
      </c>
      <c r="J8" s="23">
        <f t="shared" si="3"/>
        <v>31.471820000000001</v>
      </c>
      <c r="K8" s="23">
        <f t="shared" si="3"/>
        <v>32.822180000000003</v>
      </c>
      <c r="L8" s="23">
        <f t="shared" si="3"/>
        <v>33.673440000000006</v>
      </c>
      <c r="M8" s="23">
        <f t="shared" si="3"/>
        <v>32.787460000000003</v>
      </c>
      <c r="N8" s="23">
        <f t="shared" si="3"/>
        <v>32.42662</v>
      </c>
      <c r="O8" s="23">
        <f t="shared" si="3"/>
        <v>35.736799999999995</v>
      </c>
      <c r="P8" s="23">
        <f t="shared" si="3"/>
        <v>35.681620000000002</v>
      </c>
      <c r="Q8" s="23">
        <f t="shared" si="3"/>
        <v>35.037440000000004</v>
      </c>
      <c r="R8" s="23">
        <f t="shared" si="3"/>
        <v>32.478080000000006</v>
      </c>
      <c r="S8" s="20">
        <v>29.082000000000001</v>
      </c>
      <c r="T8" s="20">
        <v>29.936</v>
      </c>
      <c r="U8" s="20">
        <v>29.948</v>
      </c>
      <c r="V8" s="20">
        <v>31.329000000000001</v>
      </c>
      <c r="W8" s="20">
        <v>34.023000000000003</v>
      </c>
      <c r="X8" s="20">
        <v>35.328000000000003</v>
      </c>
      <c r="Y8" s="20">
        <v>34.844999999999999</v>
      </c>
      <c r="Z8" s="20">
        <v>32.100999999999999</v>
      </c>
      <c r="AA8" s="20">
        <v>29.425000000000001</v>
      </c>
      <c r="AB8" s="20">
        <v>28.02</v>
      </c>
      <c r="AC8" s="20">
        <v>24.413</v>
      </c>
      <c r="AD8" s="20">
        <v>22.082000000000001</v>
      </c>
      <c r="AE8" s="20">
        <v>22.503</v>
      </c>
      <c r="AF8" s="20">
        <v>23.431999999999999</v>
      </c>
      <c r="AG8" s="20">
        <v>25.696999999999999</v>
      </c>
      <c r="AH8" s="20">
        <v>29.381</v>
      </c>
      <c r="AI8" s="20">
        <v>28.800999999999998</v>
      </c>
      <c r="AJ8" s="20">
        <v>29.933</v>
      </c>
      <c r="AK8" s="20">
        <v>30.577000000000002</v>
      </c>
      <c r="AL8" s="20">
        <v>31.114999999999998</v>
      </c>
      <c r="AM8" s="20">
        <v>32.433</v>
      </c>
      <c r="AN8" s="20">
        <v>33.664999999999999</v>
      </c>
      <c r="AO8" s="20">
        <v>34.134999999999998</v>
      </c>
      <c r="AP8" s="20">
        <v>35.863999999999997</v>
      </c>
      <c r="AQ8" s="20">
        <v>37.298000000000002</v>
      </c>
      <c r="AR8" s="20">
        <v>38.195999999999998</v>
      </c>
      <c r="AS8" s="20">
        <v>38.383000000000003</v>
      </c>
      <c r="AT8" s="20">
        <v>36.893999999999998</v>
      </c>
      <c r="AU8" s="20">
        <v>35.265999999999998</v>
      </c>
      <c r="AV8" s="20">
        <v>35.302999999999997</v>
      </c>
      <c r="AW8" s="20">
        <v>34.981999999999999</v>
      </c>
      <c r="AX8" s="20">
        <v>34.076999999999998</v>
      </c>
      <c r="AY8" s="20">
        <v>32.048000000000002</v>
      </c>
      <c r="AZ8" s="20">
        <v>32.881</v>
      </c>
      <c r="BA8" s="20">
        <v>36.488</v>
      </c>
      <c r="BB8" s="20">
        <v>37.521999999999998</v>
      </c>
      <c r="BC8" s="20">
        <v>35.965000000000003</v>
      </c>
      <c r="BD8" s="20">
        <v>37.241</v>
      </c>
      <c r="BE8" s="20">
        <v>38.368000000000002</v>
      </c>
      <c r="BF8" s="20">
        <v>38.856999999999999</v>
      </c>
      <c r="BG8" s="20">
        <v>38.298000000000002</v>
      </c>
      <c r="BH8" s="20">
        <v>38.804000000000002</v>
      </c>
      <c r="BI8" s="20">
        <v>39.901000000000003</v>
      </c>
      <c r="BJ8" s="20">
        <v>44.375</v>
      </c>
      <c r="BK8" s="20">
        <v>46.945</v>
      </c>
      <c r="BL8" s="20">
        <v>50.14</v>
      </c>
      <c r="BM8" s="20">
        <v>45.552</v>
      </c>
      <c r="BN8" s="20">
        <v>39.734000000000002</v>
      </c>
      <c r="BO8" s="20">
        <v>37.777999999999999</v>
      </c>
      <c r="BP8" s="20">
        <v>42.432000000000002</v>
      </c>
      <c r="BQ8" s="20">
        <v>47.308999999999997</v>
      </c>
      <c r="BR8" s="20">
        <v>54.161999999999999</v>
      </c>
      <c r="BS8" s="20">
        <v>55.048999999999999</v>
      </c>
      <c r="BT8" s="20">
        <v>54.466000000000001</v>
      </c>
      <c r="BU8" s="20">
        <v>58.183999999999997</v>
      </c>
      <c r="BV8" s="20">
        <v>60.84</v>
      </c>
      <c r="BW8" s="20">
        <v>62.798000000000002</v>
      </c>
      <c r="BX8" s="20">
        <v>63.302999999999997</v>
      </c>
      <c r="BY8" s="19"/>
    </row>
    <row r="9" spans="1:77">
      <c r="C9" s="9" t="s">
        <v>45</v>
      </c>
      <c r="D9" s="9" t="s">
        <v>44</v>
      </c>
      <c r="E9" s="12">
        <v>14629768</v>
      </c>
      <c r="F9" s="12">
        <v>14480750</v>
      </c>
      <c r="G9" s="12">
        <v>18257363</v>
      </c>
      <c r="H9" s="12">
        <v>18626259</v>
      </c>
      <c r="I9" s="12">
        <v>21198603</v>
      </c>
      <c r="J9" s="12">
        <v>19076574</v>
      </c>
      <c r="K9" s="12">
        <v>21655398</v>
      </c>
      <c r="L9" s="12">
        <v>22394253</v>
      </c>
      <c r="M9" s="12">
        <v>21076447</v>
      </c>
      <c r="N9" s="12">
        <v>21114473</v>
      </c>
      <c r="O9" s="12">
        <v>21429256</v>
      </c>
      <c r="P9" s="12">
        <v>21585738</v>
      </c>
      <c r="Q9" s="12">
        <v>20995400</v>
      </c>
      <c r="R9" s="12">
        <v>16875225</v>
      </c>
      <c r="S9" s="12">
        <v>19537784</v>
      </c>
      <c r="T9" s="12">
        <v>18218689</v>
      </c>
      <c r="U9" s="12">
        <v>18797452</v>
      </c>
      <c r="V9" s="12">
        <v>18491726</v>
      </c>
      <c r="W9" s="12">
        <v>21865845</v>
      </c>
      <c r="X9" s="12">
        <v>23424190</v>
      </c>
      <c r="Y9" s="12">
        <v>22610080</v>
      </c>
      <c r="Z9" s="12">
        <v>20848481</v>
      </c>
      <c r="AA9" s="12">
        <v>17587169</v>
      </c>
      <c r="AB9" s="12">
        <v>17218571</v>
      </c>
      <c r="AC9" s="12">
        <v>13909589</v>
      </c>
      <c r="AD9" s="12">
        <v>11196026</v>
      </c>
      <c r="AE9" s="12">
        <v>14102900</v>
      </c>
      <c r="AF9" s="12">
        <v>17340453</v>
      </c>
      <c r="AG9" s="12">
        <v>16905804</v>
      </c>
      <c r="AH9" s="12">
        <v>18062749</v>
      </c>
      <c r="AI9" s="12">
        <v>18416676</v>
      </c>
      <c r="AJ9" s="12">
        <v>20817782</v>
      </c>
      <c r="AK9" s="12">
        <v>19906739</v>
      </c>
      <c r="AL9" s="12">
        <v>22011651</v>
      </c>
      <c r="AM9" s="12">
        <v>19721439</v>
      </c>
      <c r="AN9" s="12">
        <v>20411200</v>
      </c>
      <c r="AO9" s="12">
        <v>19392969</v>
      </c>
      <c r="AP9" s="12">
        <v>18468441</v>
      </c>
      <c r="AQ9" s="12">
        <v>25776315</v>
      </c>
      <c r="AR9" s="12">
        <v>24910214</v>
      </c>
      <c r="AS9" s="12">
        <v>23975890</v>
      </c>
      <c r="AT9" s="12">
        <v>23041181</v>
      </c>
      <c r="AU9" s="12">
        <v>23476374</v>
      </c>
      <c r="AV9" s="12">
        <v>24238390</v>
      </c>
      <c r="AW9" s="12">
        <v>23998999</v>
      </c>
      <c r="AX9" s="12">
        <v>24024276</v>
      </c>
      <c r="AY9" s="12">
        <v>19904816</v>
      </c>
      <c r="AZ9" s="12">
        <v>20237026</v>
      </c>
      <c r="BA9" s="12">
        <v>23106405</v>
      </c>
      <c r="BB9" s="12">
        <v>21935655</v>
      </c>
      <c r="BC9" s="12">
        <v>22733882</v>
      </c>
      <c r="BD9" s="12">
        <v>24037564</v>
      </c>
      <c r="BE9" s="12">
        <v>28437689</v>
      </c>
      <c r="BF9" s="12">
        <v>25833738</v>
      </c>
      <c r="BG9" s="12">
        <v>27064283</v>
      </c>
      <c r="BH9" s="12">
        <v>28334944</v>
      </c>
      <c r="BI9" s="12">
        <v>28105113</v>
      </c>
      <c r="BJ9" s="12">
        <v>32219895</v>
      </c>
      <c r="BK9" s="12">
        <v>32778671</v>
      </c>
      <c r="BL9" s="12">
        <v>33560935</v>
      </c>
      <c r="BM9" s="12">
        <v>27919597</v>
      </c>
      <c r="BN9" s="12">
        <v>20737075</v>
      </c>
      <c r="BO9" s="12">
        <v>21576904</v>
      </c>
      <c r="BP9" s="12">
        <v>29054130</v>
      </c>
      <c r="BQ9" s="12">
        <v>32159764</v>
      </c>
      <c r="BR9" s="12">
        <v>35346042</v>
      </c>
      <c r="BS9" s="12">
        <v>38302195</v>
      </c>
      <c r="BT9" s="12">
        <v>41101826</v>
      </c>
      <c r="BU9" s="12">
        <v>42177438</v>
      </c>
      <c r="BV9" s="12">
        <v>42098465</v>
      </c>
      <c r="BW9" s="12">
        <v>39983552</v>
      </c>
      <c r="BX9" s="12">
        <v>41051478</v>
      </c>
    </row>
    <row r="10" spans="1:77">
      <c r="C10" s="9" t="s">
        <v>46</v>
      </c>
      <c r="D10" s="9" t="s">
        <v>44</v>
      </c>
      <c r="E10" s="14">
        <v>4.53E-2</v>
      </c>
      <c r="F10" s="14">
        <v>4.5599999999999995E-2</v>
      </c>
      <c r="G10" s="14">
        <v>4.4999999999999998E-2</v>
      </c>
      <c r="H10" s="14">
        <v>4.7899999999999998E-2</v>
      </c>
      <c r="I10" s="14">
        <v>5.0099999999999999E-2</v>
      </c>
      <c r="J10" s="14">
        <v>5.3499999999999999E-2</v>
      </c>
      <c r="K10" s="14">
        <v>5.5500000000000001E-2</v>
      </c>
      <c r="L10" s="14">
        <v>5.7099999999999998E-2</v>
      </c>
      <c r="M10" s="14">
        <v>5.57E-2</v>
      </c>
      <c r="N10" s="14">
        <v>5.4900000000000004E-2</v>
      </c>
      <c r="O10" s="14">
        <v>6.0299999999999999E-2</v>
      </c>
      <c r="P10" s="14">
        <v>5.9400000000000001E-2</v>
      </c>
      <c r="Q10" s="14">
        <v>5.8499999999999996E-2</v>
      </c>
      <c r="R10" s="14">
        <v>5.4100000000000002E-2</v>
      </c>
      <c r="S10" s="14">
        <v>4.7899999999999998E-2</v>
      </c>
      <c r="T10" s="14">
        <v>4.9099999999999998E-2</v>
      </c>
      <c r="U10" s="14">
        <v>4.9299999999999997E-2</v>
      </c>
      <c r="V10" s="14">
        <v>5.1400000000000001E-2</v>
      </c>
      <c r="W10" s="14">
        <v>5.6099999999999997E-2</v>
      </c>
      <c r="X10" s="14">
        <v>5.8900000000000001E-2</v>
      </c>
      <c r="Y10" s="14">
        <v>5.8299999999999998E-2</v>
      </c>
      <c r="Z10" s="14">
        <v>5.3400000000000003E-2</v>
      </c>
      <c r="AA10" s="14">
        <v>4.9099999999999998E-2</v>
      </c>
      <c r="AB10" s="14">
        <v>4.6699999999999998E-2</v>
      </c>
      <c r="AC10" s="14">
        <v>4.07E-2</v>
      </c>
      <c r="AD10" s="14">
        <v>3.6600000000000001E-2</v>
      </c>
      <c r="AE10" s="14">
        <v>3.7400000000000003E-2</v>
      </c>
      <c r="AF10" s="14">
        <v>3.8199999999999998E-2</v>
      </c>
      <c r="AG10" s="14">
        <v>4.2200000000000001E-2</v>
      </c>
      <c r="AH10" s="14">
        <v>4.87E-2</v>
      </c>
      <c r="AI10" s="14">
        <v>4.7899999999999998E-2</v>
      </c>
      <c r="AJ10" s="14">
        <v>4.9599999999999998E-2</v>
      </c>
      <c r="AK10" s="14">
        <v>5.0099999999999999E-2</v>
      </c>
      <c r="AL10" s="14">
        <v>5.0799999999999998E-2</v>
      </c>
      <c r="AM10" s="14">
        <v>5.2900000000000003E-2</v>
      </c>
      <c r="AN10" s="14">
        <v>5.5199999999999999E-2</v>
      </c>
      <c r="AO10" s="14">
        <v>5.5599999999999997E-2</v>
      </c>
      <c r="AP10" s="14">
        <v>5.8700000000000002E-2</v>
      </c>
      <c r="AQ10" s="14">
        <v>6.1100000000000002E-2</v>
      </c>
      <c r="AR10" s="14">
        <v>6.2899999999999998E-2</v>
      </c>
      <c r="AS10" s="14">
        <v>6.3600000000000004E-2</v>
      </c>
      <c r="AT10" s="14">
        <v>6.08E-2</v>
      </c>
      <c r="AU10" s="14">
        <v>5.7700000000000001E-2</v>
      </c>
      <c r="AV10" s="14">
        <v>5.8099999999999999E-2</v>
      </c>
      <c r="AW10" s="14">
        <v>5.7700000000000001E-2</v>
      </c>
      <c r="AX10" s="14">
        <v>5.6399999999999999E-2</v>
      </c>
      <c r="AY10" s="14">
        <v>5.2900000000000003E-2</v>
      </c>
      <c r="AZ10" s="14">
        <v>5.4600000000000003E-2</v>
      </c>
      <c r="BA10" s="14">
        <v>6.0900000000000003E-2</v>
      </c>
      <c r="BB10" s="14">
        <v>6.2199999999999998E-2</v>
      </c>
      <c r="BC10" s="14">
        <v>5.9799999999999999E-2</v>
      </c>
      <c r="BD10" s="14">
        <v>6.2E-2</v>
      </c>
      <c r="BE10" s="14">
        <v>6.4299999999999996E-2</v>
      </c>
      <c r="BF10" s="14">
        <v>6.5299999999999997E-2</v>
      </c>
      <c r="BG10" s="14">
        <v>6.3899999999999998E-2</v>
      </c>
      <c r="BH10" s="14">
        <v>6.4000000000000001E-2</v>
      </c>
      <c r="BI10" s="14">
        <v>6.6100000000000006E-2</v>
      </c>
      <c r="BJ10" s="14">
        <v>7.4399999999999994E-2</v>
      </c>
      <c r="BK10" s="14">
        <v>7.8600000000000003E-2</v>
      </c>
      <c r="BL10" s="14">
        <v>8.3500000000000005E-2</v>
      </c>
      <c r="BM10" s="14">
        <v>7.6300000000000007E-2</v>
      </c>
      <c r="BN10" s="14">
        <v>6.5299999999999997E-2</v>
      </c>
      <c r="BO10" s="14">
        <v>6.2600000000000003E-2</v>
      </c>
      <c r="BP10" s="14">
        <v>7.0300000000000001E-2</v>
      </c>
      <c r="BQ10" s="14">
        <v>7.9299999999999995E-2</v>
      </c>
      <c r="BR10" s="14">
        <v>9.11E-2</v>
      </c>
      <c r="BS10" s="14">
        <v>9.3200000000000005E-2</v>
      </c>
      <c r="BT10" s="14">
        <v>9.2999999999999999E-2</v>
      </c>
      <c r="BU10" s="14">
        <v>9.8400000000000001E-2</v>
      </c>
      <c r="BV10" s="14">
        <v>0.1022</v>
      </c>
      <c r="BW10" s="14">
        <v>0.1066</v>
      </c>
      <c r="BX10" s="14">
        <v>0.10680000000000001</v>
      </c>
    </row>
    <row r="11" spans="1:77">
      <c r="C11" s="9" t="s">
        <v>47</v>
      </c>
      <c r="D11" s="9" t="s">
        <v>44</v>
      </c>
      <c r="E11" s="13">
        <v>4.2393999999999998</v>
      </c>
      <c r="F11" s="13">
        <v>4.2104999999999997</v>
      </c>
      <c r="G11" s="13">
        <v>4.4523000000000001</v>
      </c>
      <c r="H11" s="13">
        <v>4.6498999999999997</v>
      </c>
      <c r="I11" s="13">
        <v>4.9143999999999997</v>
      </c>
      <c r="J11" s="13">
        <v>5.2183000000000002</v>
      </c>
      <c r="K11" s="13">
        <v>5.3471000000000002</v>
      </c>
      <c r="L11" s="13">
        <v>5.1490999999999998</v>
      </c>
      <c r="M11" s="13">
        <v>5.0297000000000001</v>
      </c>
      <c r="N11" s="13">
        <v>5.5415000000000001</v>
      </c>
      <c r="O11" s="13">
        <v>5.7026000000000003</v>
      </c>
      <c r="P11" s="13">
        <v>5.4899000000000004</v>
      </c>
      <c r="Q11" s="13">
        <v>5.0195999999999996</v>
      </c>
      <c r="R11" s="13">
        <v>4.4413999999999998</v>
      </c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</row>
    <row r="12" spans="1:77">
      <c r="C12" s="9" t="s">
        <v>48</v>
      </c>
      <c r="D12" s="9" t="s">
        <v>44</v>
      </c>
      <c r="E12" s="13">
        <v>4.2607999999999997</v>
      </c>
      <c r="F12" s="13">
        <v>4.2637999999999998</v>
      </c>
      <c r="G12" s="13">
        <v>4.5004</v>
      </c>
      <c r="H12" s="13">
        <v>4.7752999999999997</v>
      </c>
      <c r="I12" s="13">
        <v>4.9874000000000001</v>
      </c>
      <c r="J12" s="13">
        <v>5.2042999999999999</v>
      </c>
      <c r="K12" s="13">
        <v>5.3689999999999998</v>
      </c>
      <c r="L12" s="13">
        <v>5.1884000000000006</v>
      </c>
      <c r="M12" s="13">
        <v>5.0770999999999997</v>
      </c>
      <c r="N12" s="13">
        <v>5.5411999999999999</v>
      </c>
      <c r="O12" s="13">
        <v>5.7188999999999997</v>
      </c>
      <c r="P12" s="13">
        <v>5.5522</v>
      </c>
      <c r="Q12" s="13">
        <v>5.0590999999999999</v>
      </c>
      <c r="R12" s="13">
        <v>4.4505999999999997</v>
      </c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</row>
    <row r="13" spans="1:77">
      <c r="C13" s="9" t="s">
        <v>49</v>
      </c>
      <c r="D13" s="9" t="s">
        <v>44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>
        <v>28.2</v>
      </c>
      <c r="T13" s="13">
        <v>28.19</v>
      </c>
      <c r="U13" s="13">
        <v>29.76</v>
      </c>
      <c r="V13" s="13">
        <v>33.04</v>
      </c>
      <c r="W13" s="13">
        <v>34.049999999999997</v>
      </c>
      <c r="X13" s="13">
        <v>33.869999999999997</v>
      </c>
      <c r="Y13" s="13">
        <v>30.26</v>
      </c>
      <c r="Z13" s="13">
        <v>27.25</v>
      </c>
      <c r="AA13" s="13">
        <v>26.22</v>
      </c>
      <c r="AB13" s="13">
        <v>21.45</v>
      </c>
      <c r="AC13" s="13">
        <v>19.89</v>
      </c>
      <c r="AD13" s="13">
        <v>20.97</v>
      </c>
      <c r="AE13" s="13">
        <v>21.76</v>
      </c>
      <c r="AF13" s="13">
        <v>23.95</v>
      </c>
      <c r="AG13" s="13">
        <v>27.15</v>
      </c>
      <c r="AH13" s="13">
        <v>27.66</v>
      </c>
      <c r="AI13" s="13">
        <v>28.27</v>
      </c>
      <c r="AJ13" s="13">
        <v>29.08</v>
      </c>
      <c r="AK13" s="13">
        <v>29.45</v>
      </c>
      <c r="AL13" s="13">
        <v>31.52</v>
      </c>
      <c r="AM13" s="13">
        <v>33.130000000000003</v>
      </c>
      <c r="AN13" s="13">
        <v>31.94</v>
      </c>
      <c r="AO13" s="13">
        <v>34.18</v>
      </c>
      <c r="AP13" s="13">
        <v>35.619999999999997</v>
      </c>
      <c r="AQ13" s="13">
        <v>35.979999999999997</v>
      </c>
      <c r="AR13" s="13">
        <v>36.85</v>
      </c>
      <c r="AS13" s="13">
        <v>33.97</v>
      </c>
      <c r="AT13" s="13">
        <v>33.51</v>
      </c>
      <c r="AU13" s="13">
        <v>32.71</v>
      </c>
      <c r="AV13" s="13">
        <v>32.549999999999997</v>
      </c>
      <c r="AW13" s="13">
        <v>31.81</v>
      </c>
      <c r="AX13" s="13">
        <v>31.4</v>
      </c>
      <c r="AY13" s="13">
        <v>32.67</v>
      </c>
      <c r="AZ13" s="13">
        <v>34.36</v>
      </c>
      <c r="BA13" s="13">
        <v>35.5</v>
      </c>
      <c r="BB13" s="13">
        <v>33.33</v>
      </c>
      <c r="BC13" s="13">
        <v>34.619999999999997</v>
      </c>
      <c r="BD13" s="13">
        <v>37.44</v>
      </c>
      <c r="BE13" s="13">
        <v>34.74</v>
      </c>
      <c r="BF13" s="13">
        <v>37.19</v>
      </c>
      <c r="BG13" s="13">
        <v>36.78</v>
      </c>
      <c r="BH13" s="13">
        <v>37.729999999999997</v>
      </c>
      <c r="BI13" s="13">
        <v>43.11</v>
      </c>
      <c r="BJ13" s="13">
        <v>45.25</v>
      </c>
      <c r="BK13" s="13">
        <v>48.72</v>
      </c>
      <c r="BL13" s="13">
        <v>45.67</v>
      </c>
      <c r="BM13" s="13">
        <v>34.299999999999997</v>
      </c>
      <c r="BN13" s="13">
        <v>34.299999999999997</v>
      </c>
      <c r="BO13" s="13">
        <v>40.4</v>
      </c>
      <c r="BP13" s="13">
        <v>48.29</v>
      </c>
      <c r="BQ13" s="13">
        <v>53.42</v>
      </c>
      <c r="BR13" s="13">
        <v>53.26</v>
      </c>
      <c r="BS13" s="13">
        <v>51.87</v>
      </c>
      <c r="BT13" s="13">
        <v>57.74</v>
      </c>
      <c r="BU13" s="13">
        <v>59.26</v>
      </c>
      <c r="BV13" s="13">
        <v>62.1</v>
      </c>
      <c r="BW13" s="13">
        <v>60.9</v>
      </c>
      <c r="BX13" s="13">
        <v>57.06</v>
      </c>
    </row>
    <row r="14" spans="1:77">
      <c r="C14" s="9" t="s">
        <v>50</v>
      </c>
      <c r="D14" s="9" t="s">
        <v>44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>
        <v>27.34</v>
      </c>
      <c r="T14" s="13">
        <v>28.75</v>
      </c>
      <c r="U14" s="13">
        <v>30.6</v>
      </c>
      <c r="V14" s="13">
        <v>33.590000000000003</v>
      </c>
      <c r="W14" s="13">
        <v>34.29</v>
      </c>
      <c r="X14" s="13">
        <v>33.69</v>
      </c>
      <c r="Y14" s="13">
        <v>30.29</v>
      </c>
      <c r="Z14" s="13">
        <v>27.61</v>
      </c>
      <c r="AA14" s="13">
        <v>26.13</v>
      </c>
      <c r="AB14" s="13">
        <v>21.63</v>
      </c>
      <c r="AC14" s="13">
        <v>20.34</v>
      </c>
      <c r="AD14" s="13">
        <v>21.32</v>
      </c>
      <c r="AE14" s="13">
        <v>22.21</v>
      </c>
      <c r="AF14" s="13">
        <v>24.29</v>
      </c>
      <c r="AG14" s="13">
        <v>27.59</v>
      </c>
      <c r="AH14" s="13">
        <v>27.87</v>
      </c>
      <c r="AI14" s="13">
        <v>28.65</v>
      </c>
      <c r="AJ14" s="13">
        <v>29.39</v>
      </c>
      <c r="AK14" s="13">
        <v>29.68</v>
      </c>
      <c r="AL14" s="13">
        <v>31.99</v>
      </c>
      <c r="AM14" s="13">
        <v>33.93</v>
      </c>
      <c r="AN14" s="13">
        <v>32.619999999999997</v>
      </c>
      <c r="AO14" s="13">
        <v>35.22</v>
      </c>
      <c r="AP14" s="13">
        <v>36.29</v>
      </c>
      <c r="AQ14" s="13">
        <v>37.22</v>
      </c>
      <c r="AR14" s="13">
        <v>38.22</v>
      </c>
      <c r="AS14" s="13">
        <v>34.950000000000003</v>
      </c>
      <c r="AT14" s="13">
        <v>34.340000000000003</v>
      </c>
      <c r="AU14" s="13">
        <v>32.729999999999997</v>
      </c>
      <c r="AV14" s="13">
        <v>32.82</v>
      </c>
      <c r="AW14" s="13">
        <v>32.29</v>
      </c>
      <c r="AX14" s="13">
        <v>32.049999999999997</v>
      </c>
      <c r="AY14" s="13">
        <v>32.78</v>
      </c>
      <c r="AZ14" s="13">
        <v>35.03</v>
      </c>
      <c r="BA14" s="13">
        <v>36.75</v>
      </c>
      <c r="BB14" s="13">
        <v>33.61</v>
      </c>
      <c r="BC14" s="13">
        <v>35.22</v>
      </c>
      <c r="BD14" s="13">
        <v>37.799999999999997</v>
      </c>
      <c r="BE14" s="13">
        <v>34.700000000000003</v>
      </c>
      <c r="BF14" s="13">
        <v>37.97</v>
      </c>
      <c r="BG14" s="13">
        <v>37.56</v>
      </c>
      <c r="BH14" s="13">
        <v>38.159999999999997</v>
      </c>
      <c r="BI14" s="13">
        <v>43.94</v>
      </c>
      <c r="BJ14" s="13">
        <v>45.61</v>
      </c>
      <c r="BK14" s="13">
        <v>49.21</v>
      </c>
      <c r="BL14" s="13">
        <v>45.59</v>
      </c>
      <c r="BM14" s="13">
        <v>34.25</v>
      </c>
      <c r="BN14" s="13">
        <v>35.58</v>
      </c>
      <c r="BO14" s="13">
        <v>40.9</v>
      </c>
      <c r="BP14" s="13">
        <v>49.15</v>
      </c>
      <c r="BQ14" s="13">
        <v>54.24</v>
      </c>
      <c r="BR14" s="13">
        <v>53.22</v>
      </c>
      <c r="BS14" s="13">
        <v>52.15</v>
      </c>
      <c r="BT14" s="13">
        <v>57.63</v>
      </c>
      <c r="BU14" s="13">
        <v>58.97</v>
      </c>
      <c r="BV14" s="13">
        <v>61.55</v>
      </c>
      <c r="BW14" s="13">
        <v>60.75</v>
      </c>
      <c r="BX14" s="13">
        <v>56.63</v>
      </c>
    </row>
    <row r="15" spans="1:77"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</row>
    <row r="16" spans="1:77">
      <c r="B16" s="11" t="s">
        <v>51</v>
      </c>
      <c r="C16" s="9" t="s">
        <v>41</v>
      </c>
      <c r="D16" s="9" t="s">
        <v>42</v>
      </c>
      <c r="E16" s="12">
        <v>37805.300000000003</v>
      </c>
      <c r="F16" s="12">
        <v>38258.120000000003</v>
      </c>
      <c r="G16" s="12">
        <v>43737.68</v>
      </c>
      <c r="H16" s="12">
        <v>39064.89</v>
      </c>
      <c r="I16" s="12">
        <v>49804.69</v>
      </c>
      <c r="J16" s="12">
        <v>49842.17</v>
      </c>
      <c r="K16" s="12">
        <v>50675.15</v>
      </c>
      <c r="L16" s="12">
        <v>48622.51</v>
      </c>
      <c r="M16" s="12">
        <v>39321.1</v>
      </c>
      <c r="N16" s="12">
        <v>34761.24</v>
      </c>
      <c r="O16" s="12">
        <v>41896.879999999997</v>
      </c>
      <c r="P16" s="12">
        <v>52313.1</v>
      </c>
      <c r="Q16" s="12">
        <v>53113</v>
      </c>
      <c r="R16" s="12">
        <v>47940</v>
      </c>
      <c r="S16" s="12">
        <v>53682</v>
      </c>
      <c r="T16" s="12">
        <v>45683</v>
      </c>
      <c r="U16" s="12">
        <v>40729</v>
      </c>
      <c r="V16" s="12">
        <v>31396</v>
      </c>
      <c r="W16" s="12">
        <v>32948</v>
      </c>
      <c r="X16" s="12">
        <v>36250</v>
      </c>
      <c r="Y16" s="12">
        <v>42307</v>
      </c>
      <c r="Z16" s="12">
        <v>44682</v>
      </c>
      <c r="AA16" s="12">
        <v>38196</v>
      </c>
      <c r="AB16" s="12">
        <v>40566</v>
      </c>
      <c r="AC16" s="12">
        <v>46804</v>
      </c>
      <c r="AD16" s="12">
        <v>37324</v>
      </c>
      <c r="AE16" s="12">
        <v>44203</v>
      </c>
      <c r="AF16" s="12">
        <v>42356</v>
      </c>
      <c r="AG16" s="12">
        <v>47481</v>
      </c>
      <c r="AH16" s="12">
        <v>45828</v>
      </c>
      <c r="AI16" s="12">
        <v>44771</v>
      </c>
      <c r="AJ16" s="12">
        <v>43236</v>
      </c>
      <c r="AK16" s="12">
        <v>43418</v>
      </c>
      <c r="AL16" s="12">
        <v>45336</v>
      </c>
      <c r="AM16" s="12">
        <v>41350</v>
      </c>
      <c r="AN16" s="12">
        <v>45314</v>
      </c>
      <c r="AO16" s="12">
        <v>47465</v>
      </c>
      <c r="AP16" s="12">
        <v>43370</v>
      </c>
      <c r="AQ16" s="12">
        <v>42503</v>
      </c>
      <c r="AR16" s="12">
        <v>44352</v>
      </c>
      <c r="AS16" s="12">
        <v>46809</v>
      </c>
      <c r="AT16" s="12">
        <v>43638</v>
      </c>
      <c r="AU16" s="12">
        <v>31900</v>
      </c>
      <c r="AV16" s="12">
        <v>47627</v>
      </c>
      <c r="AW16" s="12">
        <v>44317</v>
      </c>
      <c r="AX16" s="12">
        <v>44761</v>
      </c>
      <c r="AY16" s="12">
        <v>37505</v>
      </c>
      <c r="AZ16" s="12">
        <v>41931</v>
      </c>
      <c r="BA16" s="12">
        <v>47077</v>
      </c>
      <c r="BB16" s="12">
        <v>39518</v>
      </c>
      <c r="BC16" s="12">
        <v>45633</v>
      </c>
      <c r="BD16" s="12">
        <v>45234</v>
      </c>
      <c r="BE16" s="12">
        <v>51378</v>
      </c>
      <c r="BF16" s="12">
        <v>33529</v>
      </c>
      <c r="BG16" s="12">
        <v>40709</v>
      </c>
      <c r="BH16" s="12">
        <v>46667</v>
      </c>
      <c r="BI16" s="12">
        <v>41111</v>
      </c>
      <c r="BJ16" s="12">
        <v>49205</v>
      </c>
      <c r="BK16" s="12">
        <v>44116</v>
      </c>
      <c r="BL16" s="12">
        <v>40440</v>
      </c>
      <c r="BM16" s="12">
        <v>49265</v>
      </c>
      <c r="BN16" s="12">
        <v>41347</v>
      </c>
      <c r="BO16" s="12">
        <v>43945</v>
      </c>
      <c r="BP16" s="12">
        <v>42738</v>
      </c>
      <c r="BQ16" s="12">
        <v>39065</v>
      </c>
      <c r="BR16" s="12">
        <v>46813</v>
      </c>
      <c r="BS16" s="12">
        <v>48488</v>
      </c>
      <c r="BT16" s="12">
        <v>47676</v>
      </c>
      <c r="BU16" s="12">
        <v>42680</v>
      </c>
      <c r="BV16" s="12">
        <v>37491</v>
      </c>
      <c r="BW16" s="12">
        <v>37039</v>
      </c>
      <c r="BX16" s="12">
        <v>42744</v>
      </c>
    </row>
    <row r="17" spans="1:77">
      <c r="A17" s="19"/>
      <c r="B17" s="19"/>
      <c r="C17" s="19" t="s">
        <v>5</v>
      </c>
      <c r="D17" s="19" t="s">
        <v>44</v>
      </c>
      <c r="E17" s="20">
        <v>26.0764</v>
      </c>
      <c r="F17" s="20">
        <v>26.035299999999999</v>
      </c>
      <c r="G17" s="20">
        <v>25.929200000000002</v>
      </c>
      <c r="H17" s="20">
        <v>26.496099999999998</v>
      </c>
      <c r="I17" s="20">
        <v>29.395399999999999</v>
      </c>
      <c r="J17" s="20">
        <v>28.603899999999999</v>
      </c>
      <c r="K17" s="20">
        <v>27.8964</v>
      </c>
      <c r="L17" s="20">
        <v>30.030799999999999</v>
      </c>
      <c r="M17" s="20">
        <v>29.4924</v>
      </c>
      <c r="N17" s="20">
        <v>28.224</v>
      </c>
      <c r="O17" s="20">
        <v>28.918600000000001</v>
      </c>
      <c r="P17" s="20">
        <v>30.9023</v>
      </c>
      <c r="Q17" s="20">
        <v>31.710999999999999</v>
      </c>
      <c r="R17" s="20">
        <v>25.221</v>
      </c>
      <c r="S17" s="20">
        <v>26.379000000000001</v>
      </c>
      <c r="T17" s="20">
        <v>25.459</v>
      </c>
      <c r="U17" s="20">
        <v>26.388999999999999</v>
      </c>
      <c r="V17" s="20">
        <v>25.27</v>
      </c>
      <c r="W17" s="20">
        <v>27.122</v>
      </c>
      <c r="X17" s="20">
        <v>26.189</v>
      </c>
      <c r="Y17" s="20">
        <v>25.437999999999999</v>
      </c>
      <c r="Z17" s="20">
        <v>25.053000000000001</v>
      </c>
      <c r="AA17" s="20">
        <v>26.401</v>
      </c>
      <c r="AB17" s="20">
        <v>25.635000000000002</v>
      </c>
      <c r="AC17" s="20">
        <v>21.794</v>
      </c>
      <c r="AD17" s="20">
        <v>19.774000000000001</v>
      </c>
      <c r="AE17" s="20">
        <v>20.696000000000002</v>
      </c>
      <c r="AF17" s="20">
        <v>20.222999999999999</v>
      </c>
      <c r="AG17" s="20">
        <v>21.971</v>
      </c>
      <c r="AH17" s="20">
        <v>25.928999999999998</v>
      </c>
      <c r="AI17" s="20">
        <v>26.863</v>
      </c>
      <c r="AJ17" s="20">
        <v>27.347000000000001</v>
      </c>
      <c r="AK17" s="20">
        <v>28.558</v>
      </c>
      <c r="AL17" s="20">
        <v>28.5</v>
      </c>
      <c r="AM17" s="20">
        <v>29.923999999999999</v>
      </c>
      <c r="AN17" s="20">
        <v>31.655000000000001</v>
      </c>
      <c r="AO17" s="20">
        <v>28.914000000000001</v>
      </c>
      <c r="AP17" s="20">
        <v>26.844000000000001</v>
      </c>
      <c r="AQ17" s="20">
        <v>28.702000000000002</v>
      </c>
      <c r="AR17" s="20">
        <v>31.731000000000002</v>
      </c>
      <c r="AS17" s="20">
        <v>27.58</v>
      </c>
      <c r="AT17" s="20">
        <v>29.951000000000001</v>
      </c>
      <c r="AU17" s="20">
        <v>25.895</v>
      </c>
      <c r="AV17" s="20">
        <v>27.645</v>
      </c>
      <c r="AW17" s="20">
        <v>33.229999999999997</v>
      </c>
      <c r="AX17" s="20">
        <v>31.337</v>
      </c>
      <c r="AY17" s="20">
        <v>30.46</v>
      </c>
      <c r="AZ17" s="20">
        <v>29.678000000000001</v>
      </c>
      <c r="BA17" s="20">
        <v>28.905999999999999</v>
      </c>
      <c r="BB17" s="20">
        <v>28.353000000000002</v>
      </c>
      <c r="BC17" s="20">
        <v>30.724</v>
      </c>
      <c r="BD17" s="20">
        <v>30.297999999999998</v>
      </c>
      <c r="BE17" s="20">
        <v>29.306000000000001</v>
      </c>
      <c r="BF17" s="20">
        <v>31.341999999999999</v>
      </c>
      <c r="BG17" s="20">
        <v>31.626999999999999</v>
      </c>
      <c r="BH17" s="20">
        <v>33.56</v>
      </c>
      <c r="BI17" s="20">
        <v>34.494</v>
      </c>
      <c r="BJ17" s="20">
        <v>34.621000000000002</v>
      </c>
      <c r="BK17" s="20">
        <v>34.500999999999998</v>
      </c>
      <c r="BL17" s="20">
        <v>39.529000000000003</v>
      </c>
      <c r="BM17" s="20">
        <v>40.625</v>
      </c>
      <c r="BN17" s="20">
        <v>34.765000000000001</v>
      </c>
      <c r="BO17" s="20">
        <v>33.723999999999997</v>
      </c>
      <c r="BP17" s="20">
        <v>35.845999999999997</v>
      </c>
      <c r="BQ17" s="20">
        <v>39.027000000000001</v>
      </c>
      <c r="BR17" s="20">
        <v>42.636000000000003</v>
      </c>
      <c r="BS17" s="20">
        <v>47.279000000000003</v>
      </c>
      <c r="BT17" s="20">
        <v>45.442</v>
      </c>
      <c r="BU17" s="20">
        <v>45.673000000000002</v>
      </c>
      <c r="BV17" s="20">
        <v>45.68</v>
      </c>
      <c r="BW17" s="20">
        <v>50.512972812440943</v>
      </c>
      <c r="BX17" s="20">
        <v>54.459000000000003</v>
      </c>
      <c r="BY17" s="19"/>
    </row>
    <row r="18" spans="1:77">
      <c r="C18" s="9" t="s">
        <v>45</v>
      </c>
      <c r="D18" s="9" t="s">
        <v>44</v>
      </c>
      <c r="E18" s="12">
        <v>985825.92</v>
      </c>
      <c r="F18" s="12">
        <v>996059.83</v>
      </c>
      <c r="G18" s="12">
        <v>1134083.25</v>
      </c>
      <c r="H18" s="12">
        <v>1035066.24</v>
      </c>
      <c r="I18" s="12">
        <v>1464027.93</v>
      </c>
      <c r="J18" s="12">
        <v>1425681.58</v>
      </c>
      <c r="K18" s="12">
        <v>1413652.24</v>
      </c>
      <c r="L18" s="12">
        <v>1460171.35</v>
      </c>
      <c r="M18" s="12">
        <v>1159674.17</v>
      </c>
      <c r="N18" s="12">
        <v>981101.53</v>
      </c>
      <c r="O18" s="12">
        <v>1211598.54</v>
      </c>
      <c r="P18" s="12">
        <v>1616594.48</v>
      </c>
      <c r="Q18" s="12">
        <v>1684251</v>
      </c>
      <c r="R18" s="12">
        <v>1209105</v>
      </c>
      <c r="S18" s="12">
        <v>1416075</v>
      </c>
      <c r="T18" s="12">
        <v>1163035</v>
      </c>
      <c r="U18" s="12">
        <v>1074786</v>
      </c>
      <c r="V18" s="12">
        <v>793403</v>
      </c>
      <c r="W18" s="12">
        <v>893620</v>
      </c>
      <c r="X18" s="12">
        <v>949358</v>
      </c>
      <c r="Y18" s="12">
        <v>1076226</v>
      </c>
      <c r="Z18" s="12">
        <v>1119407</v>
      </c>
      <c r="AA18" s="12">
        <v>1008410</v>
      </c>
      <c r="AB18" s="12">
        <v>1039914</v>
      </c>
      <c r="AC18" s="12">
        <v>1020027</v>
      </c>
      <c r="AD18" s="12">
        <v>738041</v>
      </c>
      <c r="AE18" s="12">
        <v>914813</v>
      </c>
      <c r="AF18" s="12">
        <v>856554</v>
      </c>
      <c r="AG18" s="12">
        <v>1043193</v>
      </c>
      <c r="AH18" s="12">
        <v>1188275</v>
      </c>
      <c r="AI18" s="12">
        <v>1202670</v>
      </c>
      <c r="AJ18" s="12">
        <v>1182364</v>
      </c>
      <c r="AK18" s="12">
        <v>1239937</v>
      </c>
      <c r="AL18" s="12">
        <v>1292067</v>
      </c>
      <c r="AM18" s="12">
        <v>1237381</v>
      </c>
      <c r="AN18" s="12">
        <v>1434427</v>
      </c>
      <c r="AO18" s="12">
        <v>1372387</v>
      </c>
      <c r="AP18" s="12">
        <v>1164233</v>
      </c>
      <c r="AQ18" s="12">
        <v>129940</v>
      </c>
      <c r="AR18" s="12">
        <v>1407345</v>
      </c>
      <c r="AS18" s="12">
        <v>1290995</v>
      </c>
      <c r="AT18" s="12">
        <v>1307012</v>
      </c>
      <c r="AU18" s="12">
        <v>826042</v>
      </c>
      <c r="AV18" s="12">
        <v>1316649</v>
      </c>
      <c r="AW18" s="12">
        <v>1472666</v>
      </c>
      <c r="AX18" s="12">
        <v>1402688</v>
      </c>
      <c r="AY18" s="12">
        <v>1142417</v>
      </c>
      <c r="AZ18" s="12">
        <v>1244441</v>
      </c>
      <c r="BA18" s="12">
        <v>1360792</v>
      </c>
      <c r="BB18" s="12">
        <v>1120458</v>
      </c>
      <c r="BC18" s="12">
        <v>1402049</v>
      </c>
      <c r="BD18" s="12">
        <v>1370487</v>
      </c>
      <c r="BE18" s="12">
        <v>1505714</v>
      </c>
      <c r="BF18" s="12">
        <v>1050847</v>
      </c>
      <c r="BG18" s="12">
        <v>1287485</v>
      </c>
      <c r="BH18" s="12">
        <v>1566143</v>
      </c>
      <c r="BI18" s="12">
        <v>1418051</v>
      </c>
      <c r="BJ18" s="12">
        <v>1703505</v>
      </c>
      <c r="BK18" s="12">
        <v>1522052</v>
      </c>
      <c r="BL18" s="12">
        <v>1598535</v>
      </c>
      <c r="BM18" s="12">
        <v>2001378</v>
      </c>
      <c r="BN18" s="12">
        <v>1437425</v>
      </c>
      <c r="BO18" s="12">
        <v>1482023</v>
      </c>
      <c r="BP18" s="12">
        <v>1531989</v>
      </c>
      <c r="BQ18" s="12">
        <v>1524560</v>
      </c>
      <c r="BR18" s="12">
        <v>1995922</v>
      </c>
      <c r="BS18" s="12">
        <v>2292443</v>
      </c>
      <c r="BT18" s="12">
        <v>2166500</v>
      </c>
      <c r="BU18" s="12">
        <v>1949337</v>
      </c>
      <c r="BV18" s="12">
        <v>1712615</v>
      </c>
      <c r="BW18" s="12">
        <v>1870950</v>
      </c>
      <c r="BX18" s="12">
        <v>2327825</v>
      </c>
    </row>
    <row r="19" spans="1:77">
      <c r="C19" s="9" t="s">
        <v>46</v>
      </c>
      <c r="D19" s="9" t="s">
        <v>44</v>
      </c>
      <c r="E19" s="15">
        <v>5.5062E-2</v>
      </c>
      <c r="F19" s="15">
        <v>5.4427000000000003E-2</v>
      </c>
      <c r="G19" s="15">
        <v>5.4850999999999997E-2</v>
      </c>
      <c r="H19" s="15">
        <v>5.6120999999999997E-2</v>
      </c>
      <c r="I19" s="15">
        <v>6.2690999999999997E-2</v>
      </c>
      <c r="J19" s="15">
        <v>6.0977000000000003E-2</v>
      </c>
      <c r="K19" s="15">
        <v>5.9124999999999997E-2</v>
      </c>
      <c r="L19" s="15">
        <v>6.3768000000000005E-2</v>
      </c>
      <c r="M19" s="15">
        <v>6.3214999999999993E-2</v>
      </c>
      <c r="N19" s="15">
        <v>6.3074000000000005E-2</v>
      </c>
      <c r="O19" s="15">
        <v>6.2290999999999999E-2</v>
      </c>
      <c r="P19" s="15">
        <v>6.6247E-2</v>
      </c>
      <c r="Q19" s="15">
        <v>6.8900000000000003E-2</v>
      </c>
      <c r="R19" s="15">
        <v>5.4899999999999997E-2</v>
      </c>
      <c r="S19" s="15">
        <v>5.8599999999999999E-2</v>
      </c>
      <c r="T19" s="15">
        <v>5.57E-2</v>
      </c>
      <c r="U19" s="15">
        <v>5.8400000000000001E-2</v>
      </c>
      <c r="V19" s="15">
        <v>5.57E-2</v>
      </c>
      <c r="W19" s="15">
        <v>5.9400000000000001E-2</v>
      </c>
      <c r="X19" s="15">
        <v>6.1400000000000003E-2</v>
      </c>
      <c r="Y19" s="15">
        <v>5.1499999999999997E-2</v>
      </c>
      <c r="Z19" s="15">
        <v>5.2600000000000001E-2</v>
      </c>
      <c r="AA19" s="15">
        <v>5.7000000000000002E-2</v>
      </c>
      <c r="AB19" s="15">
        <v>5.5199999999999999E-2</v>
      </c>
      <c r="AC19" s="15">
        <v>4.5999999999999999E-2</v>
      </c>
      <c r="AD19" s="15">
        <v>4.1000000000000002E-2</v>
      </c>
      <c r="AE19" s="15">
        <v>4.3299999999999998E-2</v>
      </c>
      <c r="AF19" s="15">
        <v>4.2500000000000003E-2</v>
      </c>
      <c r="AG19" s="15">
        <v>4.6600000000000003E-2</v>
      </c>
      <c r="AH19" s="15">
        <v>5.5100000000000003E-2</v>
      </c>
      <c r="AI19" s="15">
        <v>5.6300000000000003E-2</v>
      </c>
      <c r="AJ19" s="15">
        <v>5.9200000000000003E-2</v>
      </c>
      <c r="AK19" s="15">
        <v>6.0600000000000001E-2</v>
      </c>
      <c r="AL19" s="15">
        <v>6.1699999999999998E-2</v>
      </c>
      <c r="AM19" s="15">
        <v>6.3500000000000001E-2</v>
      </c>
      <c r="AN19" s="15">
        <v>6.83E-2</v>
      </c>
      <c r="AO19" s="15">
        <v>6.2700000000000006E-2</v>
      </c>
      <c r="AP19" s="15">
        <v>5.7599999999999998E-2</v>
      </c>
      <c r="AQ19" s="15">
        <v>6.1100000000000002E-2</v>
      </c>
      <c r="AR19" s="15">
        <v>6.88E-2</v>
      </c>
      <c r="AS19" s="15">
        <v>6.08E-2</v>
      </c>
      <c r="AT19" s="15">
        <v>6.6600000000000006E-2</v>
      </c>
      <c r="AU19" s="15">
        <v>5.74E-2</v>
      </c>
      <c r="AV19" s="15">
        <v>5.9900000000000002E-2</v>
      </c>
      <c r="AW19" s="15">
        <v>7.17E-2</v>
      </c>
      <c r="AX19" s="15">
        <v>6.7599999999999993E-2</v>
      </c>
      <c r="AY19" s="15">
        <v>6.7599999999999993E-2</v>
      </c>
      <c r="AZ19" s="15">
        <v>6.5500000000000003E-2</v>
      </c>
      <c r="BA19" s="15">
        <v>6.2899999999999998E-2</v>
      </c>
      <c r="BB19" s="15">
        <v>6.0600000000000001E-2</v>
      </c>
      <c r="BC19" s="15">
        <v>6.5699999999999995E-2</v>
      </c>
      <c r="BD19" s="15">
        <v>6.6199999999999995E-2</v>
      </c>
      <c r="BE19" s="15">
        <v>6.5000000000000002E-2</v>
      </c>
      <c r="BF19" s="15">
        <v>6.9599999999999995E-2</v>
      </c>
      <c r="BG19" s="15">
        <v>6.9800000000000001E-2</v>
      </c>
      <c r="BH19" s="15">
        <v>7.3400000000000007E-2</v>
      </c>
      <c r="BI19" s="15">
        <v>7.4999999999999997E-2</v>
      </c>
      <c r="BJ19" s="15">
        <v>7.5399999999999995E-2</v>
      </c>
      <c r="BK19" s="15">
        <v>7.6799999999999993E-2</v>
      </c>
      <c r="BL19" s="15">
        <v>8.9899999999999994E-2</v>
      </c>
      <c r="BM19" s="15">
        <v>8.9800000000000005E-2</v>
      </c>
      <c r="BN19" s="15">
        <v>7.6399999999999996E-2</v>
      </c>
      <c r="BO19" s="15">
        <v>7.4300000000000005E-2</v>
      </c>
      <c r="BP19" s="15">
        <v>8.0100000000000005E-2</v>
      </c>
      <c r="BQ19" s="15">
        <v>8.5800000000000001E-2</v>
      </c>
      <c r="BR19" s="15">
        <v>9.2799999999999994E-2</v>
      </c>
      <c r="BS19" s="15">
        <v>0.1042</v>
      </c>
      <c r="BT19" s="15">
        <v>0.10100000000000001</v>
      </c>
      <c r="BU19" s="15">
        <v>9.9500000000000005E-2</v>
      </c>
      <c r="BV19" s="15">
        <v>0.1024</v>
      </c>
      <c r="BW19" s="16">
        <v>0.11771586117336467</v>
      </c>
      <c r="BX19" s="15">
        <v>0.1171</v>
      </c>
    </row>
    <row r="20" spans="1:77">
      <c r="C20" s="9" t="s">
        <v>52</v>
      </c>
      <c r="D20" s="9" t="s">
        <v>44</v>
      </c>
      <c r="E20" s="13">
        <v>26.0245</v>
      </c>
      <c r="F20" s="13">
        <v>25.864699999999999</v>
      </c>
      <c r="G20" s="13">
        <v>26.444600000000001</v>
      </c>
      <c r="H20" s="13">
        <v>29.3691</v>
      </c>
      <c r="I20" s="13">
        <v>28.589300000000001</v>
      </c>
      <c r="J20" s="13">
        <v>27.865100000000002</v>
      </c>
      <c r="K20" s="13">
        <v>30.003599999999999</v>
      </c>
      <c r="L20" s="13">
        <v>29.460699999999999</v>
      </c>
      <c r="M20" s="13">
        <v>28.177299999999999</v>
      </c>
      <c r="N20" s="13">
        <v>28.907800000000002</v>
      </c>
      <c r="O20" s="13">
        <v>30.883700000000001</v>
      </c>
      <c r="P20" s="13">
        <v>31.678100000000001</v>
      </c>
      <c r="Q20" s="13">
        <v>25.21</v>
      </c>
      <c r="R20" s="13">
        <v>26.34</v>
      </c>
      <c r="S20" s="13">
        <v>25.42</v>
      </c>
      <c r="T20" s="13">
        <v>26.36</v>
      </c>
      <c r="U20" s="13">
        <v>25.22</v>
      </c>
      <c r="V20" s="13">
        <v>27.1</v>
      </c>
      <c r="W20" s="13">
        <v>26.17</v>
      </c>
      <c r="X20" s="13">
        <v>25.4</v>
      </c>
      <c r="Y20" s="13">
        <v>25.01</v>
      </c>
      <c r="Z20" s="13">
        <v>26.33</v>
      </c>
      <c r="AA20" s="13">
        <v>25.59</v>
      </c>
      <c r="AB20" s="13">
        <v>21.76</v>
      </c>
      <c r="AC20" s="13">
        <v>19.71</v>
      </c>
      <c r="AD20" s="13">
        <v>20.65</v>
      </c>
      <c r="AE20" s="13">
        <v>20.18</v>
      </c>
      <c r="AF20" s="13">
        <v>21.91</v>
      </c>
      <c r="AG20" s="13">
        <v>25.85</v>
      </c>
      <c r="AH20" s="13">
        <v>26.85</v>
      </c>
      <c r="AI20" s="13">
        <v>27.3</v>
      </c>
      <c r="AJ20" s="13">
        <v>28.53</v>
      </c>
      <c r="AK20" s="13">
        <v>28.45</v>
      </c>
      <c r="AL20" s="13">
        <v>29.88</v>
      </c>
      <c r="AM20" s="13">
        <v>31.58</v>
      </c>
      <c r="AN20" s="13">
        <v>28.86</v>
      </c>
      <c r="AO20" s="13">
        <v>26.78</v>
      </c>
      <c r="AP20" s="13">
        <v>28.64</v>
      </c>
      <c r="AQ20" s="13">
        <v>31.62</v>
      </c>
      <c r="AR20" s="13">
        <v>27.53</v>
      </c>
      <c r="AS20" s="13">
        <v>29.89</v>
      </c>
      <c r="AT20" s="13">
        <v>25.76</v>
      </c>
      <c r="AU20" s="13">
        <v>24.57</v>
      </c>
      <c r="AV20" s="13">
        <v>33.19</v>
      </c>
      <c r="AW20" s="13">
        <v>31.3</v>
      </c>
      <c r="AX20" s="13">
        <v>30.37</v>
      </c>
      <c r="AY20" s="13">
        <v>29.62</v>
      </c>
      <c r="AZ20" s="13">
        <v>28.85</v>
      </c>
      <c r="BA20" s="13">
        <v>28.32</v>
      </c>
      <c r="BB20" s="13">
        <v>30.64</v>
      </c>
      <c r="BC20" s="13">
        <v>30.26</v>
      </c>
      <c r="BD20" s="13">
        <v>29.29</v>
      </c>
      <c r="BE20" s="13">
        <v>31.28</v>
      </c>
      <c r="BF20" s="13">
        <v>31.57</v>
      </c>
      <c r="BG20" s="13">
        <v>33.54</v>
      </c>
      <c r="BH20" s="13">
        <v>34.46</v>
      </c>
      <c r="BI20" s="13">
        <v>34.590000000000003</v>
      </c>
      <c r="BJ20" s="13">
        <v>34.39</v>
      </c>
      <c r="BK20" s="13">
        <v>39.5</v>
      </c>
      <c r="BL20" s="13">
        <v>40.6</v>
      </c>
      <c r="BM20" s="13">
        <v>34.700000000000003</v>
      </c>
      <c r="BN20" s="13">
        <v>33.68</v>
      </c>
      <c r="BO20" s="13">
        <v>35.79</v>
      </c>
      <c r="BP20" s="13">
        <v>38.979999999999997</v>
      </c>
      <c r="BQ20" s="13">
        <v>42.56</v>
      </c>
      <c r="BR20" s="13">
        <v>47.22</v>
      </c>
      <c r="BS20" s="13">
        <v>45.43</v>
      </c>
      <c r="BT20" s="13">
        <v>45.62</v>
      </c>
      <c r="BU20" s="13">
        <v>45.65</v>
      </c>
      <c r="BV20" s="13">
        <v>50.44</v>
      </c>
      <c r="BW20" s="13">
        <v>54.41</v>
      </c>
      <c r="BX20" s="13">
        <v>54.39</v>
      </c>
    </row>
    <row r="21" spans="1:77"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</row>
    <row r="22" spans="1:77">
      <c r="B22" s="11" t="s">
        <v>53</v>
      </c>
      <c r="C22" s="9" t="s">
        <v>41</v>
      </c>
      <c r="D22" s="9" t="s">
        <v>42</v>
      </c>
      <c r="E22" s="12">
        <v>73576</v>
      </c>
      <c r="F22" s="12">
        <v>70875</v>
      </c>
      <c r="G22" s="12">
        <v>79076</v>
      </c>
      <c r="H22" s="12">
        <v>68124</v>
      </c>
      <c r="I22" s="12">
        <v>57766</v>
      </c>
      <c r="J22" s="12">
        <v>68188</v>
      </c>
      <c r="K22" s="12">
        <v>74570</v>
      </c>
      <c r="L22" s="12">
        <v>69130</v>
      </c>
      <c r="M22" s="12">
        <v>68300</v>
      </c>
      <c r="N22" s="12">
        <v>75548</v>
      </c>
      <c r="O22" s="12">
        <v>73098</v>
      </c>
      <c r="P22" s="12">
        <v>73767</v>
      </c>
      <c r="Q22" s="12">
        <v>65808</v>
      </c>
      <c r="R22" s="12">
        <v>60701</v>
      </c>
      <c r="S22" s="12">
        <v>64438</v>
      </c>
      <c r="T22" s="12">
        <v>55434</v>
      </c>
      <c r="U22" s="12">
        <v>45725</v>
      </c>
      <c r="V22" s="12">
        <v>63030</v>
      </c>
      <c r="W22" s="12">
        <v>61443</v>
      </c>
      <c r="X22" s="12">
        <v>64587</v>
      </c>
      <c r="Y22" s="12">
        <v>57568</v>
      </c>
      <c r="Z22" s="12">
        <v>44597</v>
      </c>
      <c r="AA22" s="12">
        <v>55178</v>
      </c>
      <c r="AB22" s="12">
        <v>58700</v>
      </c>
      <c r="AC22" s="12">
        <v>60003</v>
      </c>
      <c r="AD22" s="12">
        <v>61475</v>
      </c>
      <c r="AE22" s="12">
        <v>72238</v>
      </c>
      <c r="AF22" s="12">
        <v>40459</v>
      </c>
      <c r="AG22" s="12">
        <v>49513</v>
      </c>
      <c r="AH22" s="12">
        <v>63369</v>
      </c>
      <c r="AI22" s="12">
        <v>48074</v>
      </c>
      <c r="AJ22" s="12">
        <v>51197</v>
      </c>
      <c r="AK22" s="12">
        <v>64369</v>
      </c>
      <c r="AL22" s="12">
        <v>65945</v>
      </c>
      <c r="AM22" s="12">
        <v>52115</v>
      </c>
      <c r="AN22" s="12">
        <v>63970</v>
      </c>
      <c r="AO22" s="12">
        <v>67974</v>
      </c>
      <c r="AP22" s="12">
        <v>59839</v>
      </c>
      <c r="AQ22" s="12">
        <v>64237</v>
      </c>
      <c r="AR22" s="12">
        <v>50841</v>
      </c>
      <c r="AS22" s="12">
        <v>42278</v>
      </c>
      <c r="AT22" s="12">
        <v>43308</v>
      </c>
      <c r="AU22" s="12">
        <v>49123</v>
      </c>
      <c r="AV22" s="12">
        <v>45807</v>
      </c>
      <c r="AW22" s="12">
        <v>59582</v>
      </c>
      <c r="AX22" s="12">
        <v>65868</v>
      </c>
      <c r="AY22" s="12">
        <v>46084</v>
      </c>
      <c r="AZ22" s="12">
        <v>52930</v>
      </c>
      <c r="BA22" s="12">
        <v>46947</v>
      </c>
      <c r="BB22" s="12">
        <v>40317</v>
      </c>
      <c r="BC22" s="12">
        <v>50344</v>
      </c>
      <c r="BD22" s="12">
        <v>45878</v>
      </c>
      <c r="BE22" s="12">
        <v>46310</v>
      </c>
      <c r="BF22" s="12">
        <v>46672</v>
      </c>
      <c r="BG22" s="12">
        <v>53675</v>
      </c>
      <c r="BH22" s="12">
        <v>43479</v>
      </c>
      <c r="BI22" s="12">
        <v>44305</v>
      </c>
      <c r="BJ22" s="12">
        <v>64002</v>
      </c>
      <c r="BK22" s="12">
        <v>58371</v>
      </c>
      <c r="BL22" s="12">
        <v>49134</v>
      </c>
      <c r="BM22" s="12">
        <v>54438</v>
      </c>
      <c r="BN22" s="12">
        <v>66029</v>
      </c>
      <c r="BO22" s="12">
        <v>65828</v>
      </c>
      <c r="BP22" s="12">
        <v>63451</v>
      </c>
      <c r="BQ22" s="12">
        <v>56409</v>
      </c>
      <c r="BR22" s="12">
        <v>64375</v>
      </c>
      <c r="BS22" s="12">
        <v>47862</v>
      </c>
      <c r="BT22" s="12">
        <v>41184</v>
      </c>
      <c r="BU22" s="12">
        <v>59993</v>
      </c>
      <c r="BV22" s="12">
        <v>70793</v>
      </c>
      <c r="BW22" s="12">
        <v>60462</v>
      </c>
      <c r="BX22" s="12">
        <v>70439</v>
      </c>
    </row>
    <row r="23" spans="1:77">
      <c r="A23" s="19"/>
      <c r="B23" s="19"/>
      <c r="C23" s="19" t="s">
        <v>5</v>
      </c>
      <c r="D23" s="19" t="s">
        <v>44</v>
      </c>
      <c r="E23" s="21">
        <v>28.521000000000001</v>
      </c>
      <c r="F23" s="21">
        <v>28.963999999999999</v>
      </c>
      <c r="G23" s="21">
        <v>27.065999999999999</v>
      </c>
      <c r="H23" s="21">
        <v>28.091999999999999</v>
      </c>
      <c r="I23" s="21">
        <v>30.92</v>
      </c>
      <c r="J23" s="21">
        <v>30.698</v>
      </c>
      <c r="K23" s="21">
        <v>30.13</v>
      </c>
      <c r="L23" s="21">
        <v>31.827999999999999</v>
      </c>
      <c r="M23" s="21">
        <v>31.994</v>
      </c>
      <c r="N23" s="21">
        <v>29.315999999999999</v>
      </c>
      <c r="O23" s="21">
        <v>31.335000000000001</v>
      </c>
      <c r="P23" s="21">
        <v>33.790999999999997</v>
      </c>
      <c r="Q23" s="21">
        <v>32.250999999999998</v>
      </c>
      <c r="R23" s="21">
        <v>29.288</v>
      </c>
      <c r="S23" s="21">
        <v>25.766999999999999</v>
      </c>
      <c r="T23" s="21">
        <v>27.23</v>
      </c>
      <c r="U23" s="21">
        <v>28.51</v>
      </c>
      <c r="V23" s="21">
        <v>28.033999999999999</v>
      </c>
      <c r="W23" s="21">
        <v>28.893000000000001</v>
      </c>
      <c r="X23" s="21">
        <v>28.010999999999999</v>
      </c>
      <c r="Y23" s="21">
        <v>28.018999999999998</v>
      </c>
      <c r="Z23" s="21">
        <v>26.521000000000001</v>
      </c>
      <c r="AA23" s="21">
        <v>27.640999999999998</v>
      </c>
      <c r="AB23" s="21">
        <v>26.849</v>
      </c>
      <c r="AC23" s="21">
        <v>24.969000000000001</v>
      </c>
      <c r="AD23" s="21">
        <v>21.4</v>
      </c>
      <c r="AE23" s="21">
        <v>22.533000000000001</v>
      </c>
      <c r="AF23" s="21">
        <v>22.108000000000001</v>
      </c>
      <c r="AG23" s="21">
        <v>22.76</v>
      </c>
      <c r="AH23" s="21">
        <v>28.686</v>
      </c>
      <c r="AI23" s="21">
        <v>28.513999999999999</v>
      </c>
      <c r="AJ23" s="21">
        <v>30.393000000000001</v>
      </c>
      <c r="AK23" s="21">
        <v>29.706</v>
      </c>
      <c r="AL23" s="21">
        <v>30.2</v>
      </c>
      <c r="AM23" s="21">
        <v>31.463000000000001</v>
      </c>
      <c r="AN23" s="21">
        <v>34.045999999999999</v>
      </c>
      <c r="AO23" s="21">
        <v>30.280999999999999</v>
      </c>
      <c r="AP23" s="21">
        <v>28.710999999999999</v>
      </c>
      <c r="AQ23" s="21">
        <v>29.582999999999998</v>
      </c>
      <c r="AR23" s="21">
        <v>34.832999999999998</v>
      </c>
      <c r="AS23" s="21">
        <v>31.279</v>
      </c>
      <c r="AT23" s="21">
        <v>32.305</v>
      </c>
      <c r="AU23" s="21">
        <v>29.292999999999999</v>
      </c>
      <c r="AV23" s="21">
        <v>29.905000000000001</v>
      </c>
      <c r="AW23" s="21">
        <v>34.107999999999997</v>
      </c>
      <c r="AX23" s="21">
        <v>32.786999999999999</v>
      </c>
      <c r="AY23" s="21">
        <v>32.677999999999997</v>
      </c>
      <c r="AZ23" s="21">
        <v>31.748999999999999</v>
      </c>
      <c r="BA23" s="21">
        <v>30.606000000000002</v>
      </c>
      <c r="BB23" s="21">
        <v>30.722999999999999</v>
      </c>
      <c r="BC23" s="21">
        <v>31.824999999999999</v>
      </c>
      <c r="BD23" s="21">
        <v>31.826000000000001</v>
      </c>
      <c r="BE23" s="21">
        <v>31.137</v>
      </c>
      <c r="BF23" s="21">
        <v>33.42</v>
      </c>
      <c r="BG23" s="21">
        <v>32.877000000000002</v>
      </c>
      <c r="BH23" s="21">
        <v>32.915999999999997</v>
      </c>
      <c r="BI23" s="21">
        <v>37.936999999999998</v>
      </c>
      <c r="BJ23" s="21">
        <v>38.595999999999997</v>
      </c>
      <c r="BK23" s="21">
        <v>36.252000000000002</v>
      </c>
      <c r="BL23" s="21">
        <v>41.582000000000001</v>
      </c>
      <c r="BM23" s="21">
        <v>42.802999999999997</v>
      </c>
      <c r="BN23" s="21">
        <v>38.597999999999999</v>
      </c>
      <c r="BO23" s="21">
        <v>36.488999999999997</v>
      </c>
      <c r="BP23" s="21">
        <v>36.975999999999999</v>
      </c>
      <c r="BQ23" s="21">
        <v>40.853999999999999</v>
      </c>
      <c r="BR23" s="21">
        <v>44.012999999999998</v>
      </c>
      <c r="BS23" s="21">
        <v>50.920999999999999</v>
      </c>
      <c r="BT23" s="21">
        <v>49.488</v>
      </c>
      <c r="BU23" s="21">
        <v>49.070999999999998</v>
      </c>
      <c r="BV23" s="21">
        <v>52.844999999999999</v>
      </c>
      <c r="BW23" s="21">
        <v>56.011000000000003</v>
      </c>
      <c r="BX23" s="21">
        <v>58.11</v>
      </c>
      <c r="BY23" s="19"/>
    </row>
    <row r="24" spans="1:77">
      <c r="C24" s="9" t="s">
        <v>45</v>
      </c>
      <c r="D24" s="9" t="s">
        <v>44</v>
      </c>
      <c r="E24" s="12">
        <v>2098445</v>
      </c>
      <c r="F24" s="12">
        <v>2052855</v>
      </c>
      <c r="G24" s="12">
        <v>2140243</v>
      </c>
      <c r="H24" s="12">
        <v>1913743</v>
      </c>
      <c r="I24" s="12">
        <v>1786126</v>
      </c>
      <c r="J24" s="12">
        <v>2093228</v>
      </c>
      <c r="K24" s="12">
        <v>2246816</v>
      </c>
      <c r="L24" s="12">
        <v>2200257</v>
      </c>
      <c r="M24" s="12">
        <v>2185150</v>
      </c>
      <c r="N24" s="12">
        <v>2214750</v>
      </c>
      <c r="O24" s="12">
        <v>2290546</v>
      </c>
      <c r="P24" s="12">
        <v>2492642</v>
      </c>
      <c r="Q24" s="12">
        <v>2122382</v>
      </c>
      <c r="R24" s="12">
        <v>1777813</v>
      </c>
      <c r="S24" s="12">
        <v>1660405</v>
      </c>
      <c r="T24" s="12">
        <v>1509491</v>
      </c>
      <c r="U24" s="12">
        <v>1303614</v>
      </c>
      <c r="V24" s="12">
        <v>1767013</v>
      </c>
      <c r="W24" s="12">
        <v>1775246</v>
      </c>
      <c r="X24" s="12">
        <v>1809150</v>
      </c>
      <c r="Y24" s="12">
        <v>1612982</v>
      </c>
      <c r="Z24" s="12">
        <v>1182775</v>
      </c>
      <c r="AA24" s="12">
        <v>1525167</v>
      </c>
      <c r="AB24" s="12">
        <v>1576023</v>
      </c>
      <c r="AC24" s="12">
        <v>1498221</v>
      </c>
      <c r="AD24" s="12">
        <v>1315553</v>
      </c>
      <c r="AE24" s="12">
        <v>1627715</v>
      </c>
      <c r="AF24" s="12">
        <v>894471</v>
      </c>
      <c r="AG24" s="12">
        <v>1126936</v>
      </c>
      <c r="AH24" s="12">
        <v>1817784</v>
      </c>
      <c r="AI24" s="12">
        <v>1370762</v>
      </c>
      <c r="AJ24" s="12">
        <v>1556056</v>
      </c>
      <c r="AK24" s="12">
        <v>1912155</v>
      </c>
      <c r="AL24" s="12">
        <v>1991529</v>
      </c>
      <c r="AM24" s="12">
        <v>1639718</v>
      </c>
      <c r="AN24" s="12">
        <v>2177902</v>
      </c>
      <c r="AO24" s="12">
        <v>2058313</v>
      </c>
      <c r="AP24" s="12">
        <v>1718035</v>
      </c>
      <c r="AQ24" s="12">
        <v>1900296</v>
      </c>
      <c r="AR24" s="12">
        <v>1770968</v>
      </c>
      <c r="AS24" s="12">
        <v>1322399</v>
      </c>
      <c r="AT24" s="12">
        <v>1399085</v>
      </c>
      <c r="AU24" s="12">
        <v>1438984</v>
      </c>
      <c r="AV24" s="12">
        <v>1369846</v>
      </c>
      <c r="AW24" s="12">
        <v>2032210</v>
      </c>
      <c r="AX24" s="12">
        <v>2159632</v>
      </c>
      <c r="AY24" s="12">
        <v>1505950</v>
      </c>
      <c r="AZ24" s="12">
        <v>1680475</v>
      </c>
      <c r="BA24" s="12">
        <v>1436844</v>
      </c>
      <c r="BB24" s="12">
        <v>1238670</v>
      </c>
      <c r="BC24" s="12">
        <v>1602198</v>
      </c>
      <c r="BD24" s="12">
        <v>1460102</v>
      </c>
      <c r="BE24" s="12">
        <v>1441936</v>
      </c>
      <c r="BF24" s="12">
        <v>1559757</v>
      </c>
      <c r="BG24" s="12">
        <v>1764692</v>
      </c>
      <c r="BH24" s="12">
        <v>1431163</v>
      </c>
      <c r="BI24" s="12">
        <v>1680812</v>
      </c>
      <c r="BJ24" s="12">
        <v>2470251</v>
      </c>
      <c r="BK24" s="12">
        <v>2116068</v>
      </c>
      <c r="BL24" s="12">
        <v>2043070</v>
      </c>
      <c r="BM24" s="12">
        <v>2330084</v>
      </c>
      <c r="BN24" s="12">
        <v>2548594</v>
      </c>
      <c r="BO24" s="12">
        <v>2402002</v>
      </c>
      <c r="BP24" s="12">
        <v>2346157</v>
      </c>
      <c r="BQ24" s="12">
        <v>2304552</v>
      </c>
      <c r="BR24" s="12">
        <v>2833317</v>
      </c>
      <c r="BS24" s="12">
        <v>2437203</v>
      </c>
      <c r="BT24" s="12">
        <v>2038100</v>
      </c>
      <c r="BU24" s="12">
        <v>2943937</v>
      </c>
      <c r="BV24" s="12">
        <v>3741048</v>
      </c>
      <c r="BW24" s="12">
        <v>3386541</v>
      </c>
      <c r="BX24" s="12">
        <v>4093218</v>
      </c>
    </row>
    <row r="25" spans="1:77">
      <c r="C25" s="9" t="s">
        <v>46</v>
      </c>
      <c r="D25" s="9" t="s">
        <v>44</v>
      </c>
      <c r="E25" s="14">
        <v>6.1499999999999999E-2</v>
      </c>
      <c r="F25" s="14">
        <v>6.1400000000000003E-2</v>
      </c>
      <c r="G25" s="14">
        <v>5.8900000000000001E-2</v>
      </c>
      <c r="H25" s="14">
        <v>6.0100000000000001E-2</v>
      </c>
      <c r="I25" s="14">
        <v>6.8199999999999997E-2</v>
      </c>
      <c r="J25" s="14">
        <v>6.6500000000000004E-2</v>
      </c>
      <c r="K25" s="14">
        <v>6.4399999999999999E-2</v>
      </c>
      <c r="L25" s="14">
        <v>6.7799999999999999E-2</v>
      </c>
      <c r="M25" s="14">
        <v>6.8000000000000005E-2</v>
      </c>
      <c r="N25" s="14">
        <v>6.2100000000000002E-2</v>
      </c>
      <c r="O25" s="14">
        <v>6.7000000000000004E-2</v>
      </c>
      <c r="P25" s="14">
        <v>7.2099999999999997E-2</v>
      </c>
      <c r="Q25" s="14">
        <v>6.7699999999999996E-2</v>
      </c>
      <c r="R25" s="14">
        <v>6.1499999999999999E-2</v>
      </c>
      <c r="S25" s="14">
        <v>5.5300000000000002E-2</v>
      </c>
      <c r="T25" s="14">
        <v>5.3999999999999999E-2</v>
      </c>
      <c r="U25" s="14">
        <v>6.0999999999999999E-2</v>
      </c>
      <c r="V25" s="14">
        <v>5.8700000000000002E-2</v>
      </c>
      <c r="W25" s="14">
        <v>6.2600000000000003E-2</v>
      </c>
      <c r="X25" s="14">
        <v>0.06</v>
      </c>
      <c r="Y25" s="14">
        <v>6.2E-2</v>
      </c>
      <c r="Z25" s="14">
        <v>5.4699999999999999E-2</v>
      </c>
      <c r="AA25" s="14">
        <v>5.8700000000000002E-2</v>
      </c>
      <c r="AB25" s="14">
        <v>5.7099999999999998E-2</v>
      </c>
      <c r="AC25" s="14">
        <v>5.4100000000000002E-2</v>
      </c>
      <c r="AD25" s="14">
        <v>4.5499999999999999E-2</v>
      </c>
      <c r="AE25" s="14">
        <v>4.82E-2</v>
      </c>
      <c r="AF25" s="14">
        <v>5.0299999999999997E-2</v>
      </c>
      <c r="AG25" s="14">
        <v>4.8300000000000003E-2</v>
      </c>
      <c r="AH25" s="14">
        <v>0.06</v>
      </c>
      <c r="AI25" s="14">
        <v>5.9299999999999999E-2</v>
      </c>
      <c r="AJ25" s="14">
        <v>6.3200000000000006E-2</v>
      </c>
      <c r="AK25" s="14">
        <v>6.3399999999999998E-2</v>
      </c>
      <c r="AL25" s="14">
        <v>6.4799999999999996E-2</v>
      </c>
      <c r="AM25" s="14">
        <v>6.5799999999999997E-2</v>
      </c>
      <c r="AN25" s="14">
        <v>7.2999999999999995E-2</v>
      </c>
      <c r="AO25" s="14">
        <v>6.3799999999999996E-2</v>
      </c>
      <c r="AP25" s="14">
        <v>6.1800000000000001E-2</v>
      </c>
      <c r="AQ25" s="14">
        <v>6.1800000000000001E-2</v>
      </c>
      <c r="AR25" s="14">
        <v>7.5600000000000001E-2</v>
      </c>
      <c r="AS25" s="14">
        <v>6.9599999999999995E-2</v>
      </c>
      <c r="AT25" s="14">
        <v>6.6799999999999998E-2</v>
      </c>
      <c r="AU25" s="14">
        <v>6.0299999999999999E-2</v>
      </c>
      <c r="AV25" s="14">
        <v>0.06</v>
      </c>
      <c r="AW25" s="14">
        <v>6.8900000000000003E-2</v>
      </c>
      <c r="AX25" s="14">
        <v>6.9800000000000001E-2</v>
      </c>
      <c r="AY25" s="14">
        <v>6.7100000000000007E-2</v>
      </c>
      <c r="AZ25" s="14">
        <v>6.5100000000000005E-2</v>
      </c>
      <c r="BA25" s="14">
        <v>6.2600000000000003E-2</v>
      </c>
      <c r="BB25" s="14">
        <v>6.2899999999999998E-2</v>
      </c>
      <c r="BC25" s="14">
        <v>6.59E-2</v>
      </c>
      <c r="BD25" s="14">
        <v>6.4899999999999999E-2</v>
      </c>
      <c r="BE25" s="14">
        <v>6.1499999999999999E-2</v>
      </c>
      <c r="BF25" s="14">
        <v>6.7599999999999993E-2</v>
      </c>
      <c r="BG25" s="14">
        <v>6.7400000000000002E-2</v>
      </c>
      <c r="BH25" s="14">
        <v>6.9900000000000004E-2</v>
      </c>
      <c r="BI25" s="14">
        <v>7.4499999999999997E-2</v>
      </c>
      <c r="BJ25" s="14">
        <v>7.8399999999999997E-2</v>
      </c>
      <c r="BK25" s="14">
        <v>7.4999999999999997E-2</v>
      </c>
      <c r="BL25" s="14">
        <v>8.4400000000000003E-2</v>
      </c>
      <c r="BM25" s="14">
        <v>8.8499999999999995E-2</v>
      </c>
      <c r="BN25" s="14">
        <v>0.08</v>
      </c>
      <c r="BO25" s="14">
        <v>7.46E-2</v>
      </c>
      <c r="BP25" s="14">
        <v>7.6799999999999993E-2</v>
      </c>
      <c r="BQ25" s="14">
        <v>8.5400000000000004E-2</v>
      </c>
      <c r="BR25" s="14">
        <v>9.06E-2</v>
      </c>
      <c r="BS25" s="14">
        <v>0.1009</v>
      </c>
      <c r="BT25" s="14">
        <v>9.9400000000000002E-2</v>
      </c>
      <c r="BU25" s="14">
        <v>0.10290000000000001</v>
      </c>
      <c r="BV25" s="14">
        <v>0.1024</v>
      </c>
      <c r="BW25" s="14">
        <v>0.1182</v>
      </c>
      <c r="BX25" s="14">
        <v>0.1196</v>
      </c>
    </row>
    <row r="26" spans="1:77">
      <c r="C26" s="9" t="s">
        <v>54</v>
      </c>
      <c r="D26" s="9" t="s">
        <v>44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>
        <v>0.27360000000000001</v>
      </c>
      <c r="T26" s="14">
        <v>0.28339999999999999</v>
      </c>
      <c r="U26" s="14">
        <v>0.25429999999999997</v>
      </c>
      <c r="V26" s="14">
        <v>0.29460000000000003</v>
      </c>
      <c r="W26" s="14">
        <v>0.27179999999999999</v>
      </c>
      <c r="X26" s="14">
        <v>0.26500000000000001</v>
      </c>
      <c r="Y26" s="14">
        <v>0.2611</v>
      </c>
      <c r="Z26" s="14">
        <v>0.28079999999999999</v>
      </c>
      <c r="AA26" s="14">
        <v>0.26899999999999996</v>
      </c>
      <c r="AB26" s="14">
        <v>0.22359999999999999</v>
      </c>
      <c r="AC26" s="14">
        <v>0.21050000000000002</v>
      </c>
      <c r="AD26" s="14">
        <v>0.2339</v>
      </c>
      <c r="AE26" s="14">
        <v>0.22</v>
      </c>
      <c r="AF26" s="14">
        <v>0.24249999999999999</v>
      </c>
      <c r="AG26" s="14">
        <v>0.28720000000000001</v>
      </c>
      <c r="AH26" s="14">
        <v>0.2908</v>
      </c>
      <c r="AI26" s="14">
        <v>0.29469999999999996</v>
      </c>
      <c r="AJ26" s="14">
        <v>0.30530000000000002</v>
      </c>
      <c r="AK26" s="14">
        <v>0.29969999999999997</v>
      </c>
      <c r="AL26" s="14">
        <v>0.32689999999999997</v>
      </c>
      <c r="AM26" s="14">
        <v>0.33460000000000001</v>
      </c>
      <c r="AN26" s="14">
        <v>0.28620000000000001</v>
      </c>
      <c r="AO26" s="14">
        <v>0.28270000000000001</v>
      </c>
      <c r="AP26" s="14">
        <v>0.3039</v>
      </c>
      <c r="AQ26" s="14">
        <v>0.34810000000000002</v>
      </c>
      <c r="AR26" s="14">
        <v>0.28989999999999999</v>
      </c>
      <c r="AS26" s="14">
        <v>0.31840000000000002</v>
      </c>
      <c r="AT26" s="14">
        <v>0.27079999999999999</v>
      </c>
      <c r="AU26" s="14">
        <v>0.30049999999999999</v>
      </c>
      <c r="AV26" s="14">
        <v>0.35810000000000003</v>
      </c>
      <c r="AW26" s="14">
        <v>0.32479999999999998</v>
      </c>
      <c r="AX26" s="14">
        <v>0.32100000000000001</v>
      </c>
      <c r="AY26" s="14">
        <v>0.31629999999999997</v>
      </c>
      <c r="AZ26" s="14">
        <v>0.30480000000000002</v>
      </c>
      <c r="BA26" s="14">
        <v>0.30370000000000003</v>
      </c>
      <c r="BB26" s="14">
        <v>0.33119999999999999</v>
      </c>
      <c r="BC26" s="14">
        <v>0.3201</v>
      </c>
      <c r="BD26" s="14">
        <v>0.30790000000000001</v>
      </c>
      <c r="BE26" s="14">
        <v>0.3362</v>
      </c>
      <c r="BF26" s="14">
        <v>0.33700000000000002</v>
      </c>
      <c r="BG26" s="14">
        <v>0.37109999999999999</v>
      </c>
      <c r="BH26" s="14">
        <v>0.3644</v>
      </c>
      <c r="BI26" s="14">
        <v>0.36420000000000002</v>
      </c>
      <c r="BJ26" s="14">
        <v>0.36359999999999998</v>
      </c>
      <c r="BK26" s="14">
        <v>0.42570000000000002</v>
      </c>
      <c r="BL26" s="14">
        <v>0.43680000000000002</v>
      </c>
      <c r="BM26" s="14">
        <v>0.35850000000000004</v>
      </c>
      <c r="BN26" s="14">
        <v>0.36130000000000001</v>
      </c>
      <c r="BO26" s="14">
        <v>0.38170000000000004</v>
      </c>
      <c r="BP26" s="14">
        <v>0.42299999999999999</v>
      </c>
      <c r="BQ26" s="14">
        <v>0.46899999999999997</v>
      </c>
      <c r="BR26" s="14">
        <v>0.50329999999999997</v>
      </c>
      <c r="BS26" s="14">
        <v>0.4778</v>
      </c>
      <c r="BT26" s="14">
        <v>0.48119999999999996</v>
      </c>
      <c r="BU26" s="14">
        <v>0.48210000000000003</v>
      </c>
      <c r="BV26" s="14">
        <v>0.56179999999999997</v>
      </c>
      <c r="BW26" s="14">
        <v>0.5927</v>
      </c>
      <c r="BX26" s="14">
        <v>0.56810000000000005</v>
      </c>
    </row>
    <row r="27" spans="1:77">
      <c r="C27" s="9" t="s">
        <v>55</v>
      </c>
      <c r="D27" s="9" t="s">
        <v>44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>
        <v>0.27179999999999999</v>
      </c>
      <c r="T27" s="14">
        <v>0.28149999999999997</v>
      </c>
      <c r="U27" s="14">
        <v>0.25259999999999999</v>
      </c>
      <c r="V27" s="14">
        <v>0.29270000000000002</v>
      </c>
      <c r="W27" s="14">
        <v>0.27</v>
      </c>
      <c r="X27" s="14">
        <v>0.26319999999999999</v>
      </c>
      <c r="Y27" s="14">
        <v>0.26140000000000002</v>
      </c>
      <c r="Z27" s="14">
        <v>0.28110000000000002</v>
      </c>
      <c r="AA27" s="14">
        <v>0.2641</v>
      </c>
      <c r="AB27" s="14">
        <v>0.21890000000000001</v>
      </c>
      <c r="AC27" s="14">
        <v>0.20899999999999999</v>
      </c>
      <c r="AD27" s="14">
        <v>0.23190000000000002</v>
      </c>
      <c r="AE27" s="14">
        <v>0.21809999999999999</v>
      </c>
      <c r="AF27" s="14">
        <v>0.2404</v>
      </c>
      <c r="AG27" s="14">
        <v>0.28489999999999999</v>
      </c>
      <c r="AH27" s="14">
        <v>0.28850000000000003</v>
      </c>
      <c r="AI27" s="14">
        <v>0.29449999999999998</v>
      </c>
      <c r="AJ27" s="14">
        <v>0.30499999999999999</v>
      </c>
      <c r="AK27" s="14">
        <v>0.2994</v>
      </c>
      <c r="AL27" s="14">
        <v>0.32130000000000003</v>
      </c>
      <c r="AM27" s="14">
        <v>0.33409999999999995</v>
      </c>
      <c r="AN27" s="14">
        <v>0.28499999999999998</v>
      </c>
      <c r="AO27" s="14">
        <v>0.28039999999999998</v>
      </c>
      <c r="AP27" s="14">
        <v>0.30159999999999998</v>
      </c>
      <c r="AQ27" s="14">
        <v>0.34549999999999997</v>
      </c>
      <c r="AR27" s="14">
        <v>0.28760000000000002</v>
      </c>
      <c r="AS27" s="14">
        <v>0.316</v>
      </c>
      <c r="AT27" s="14">
        <v>0.26780000000000004</v>
      </c>
      <c r="AU27" s="14">
        <v>0.29809999999999998</v>
      </c>
      <c r="AV27" s="14">
        <v>0.35759999999999997</v>
      </c>
      <c r="AW27" s="14">
        <v>0.32439999999999997</v>
      </c>
      <c r="AX27" s="14">
        <v>0.32069999999999999</v>
      </c>
      <c r="AY27" s="14">
        <v>0.31489999999999996</v>
      </c>
      <c r="AZ27" s="14">
        <v>0.30349999999999999</v>
      </c>
      <c r="BA27" s="14">
        <v>0.30130000000000001</v>
      </c>
      <c r="BB27" s="14">
        <v>0.32869999999999999</v>
      </c>
      <c r="BC27" s="14">
        <v>0.31759999999999999</v>
      </c>
      <c r="BD27" s="14">
        <v>0.30549999999999999</v>
      </c>
      <c r="BE27" s="14">
        <v>0.3337</v>
      </c>
      <c r="BF27" s="14">
        <v>0.33450000000000002</v>
      </c>
      <c r="BG27" s="14">
        <v>0.36840000000000006</v>
      </c>
      <c r="BH27" s="14">
        <v>0.36180000000000001</v>
      </c>
      <c r="BI27" s="14">
        <v>0.36359999999999998</v>
      </c>
      <c r="BJ27" s="14">
        <v>0.36299999999999999</v>
      </c>
      <c r="BK27" s="14">
        <v>0.41960000000000003</v>
      </c>
      <c r="BL27" s="14">
        <v>0.43079999999999996</v>
      </c>
      <c r="BM27" s="14">
        <v>0.35590000000000005</v>
      </c>
      <c r="BN27" s="14">
        <v>0.35869999999999996</v>
      </c>
      <c r="BO27" s="14">
        <v>0.37890000000000001</v>
      </c>
      <c r="BP27" s="14">
        <v>0.42009999999999997</v>
      </c>
      <c r="BQ27" s="14">
        <v>0.46579999999999999</v>
      </c>
      <c r="BR27" s="14">
        <v>0.5</v>
      </c>
      <c r="BS27" s="14">
        <v>0.4768</v>
      </c>
      <c r="BT27" s="14">
        <v>0.48009999999999997</v>
      </c>
      <c r="BU27" s="14">
        <v>0.48109999999999997</v>
      </c>
      <c r="BV27" s="14">
        <v>0.55509999999999993</v>
      </c>
      <c r="BW27" s="14">
        <v>0.59</v>
      </c>
      <c r="BX27" s="14">
        <v>0.5655</v>
      </c>
    </row>
    <row r="28" spans="1:77" s="211" customFormat="1">
      <c r="C28" s="211" t="s">
        <v>443</v>
      </c>
      <c r="E28" s="212">
        <f>E6+E16+E22</f>
        <v>655526.30000000005</v>
      </c>
      <c r="F28" s="212">
        <f t="shared" ref="F28:BQ28" si="4">F6+F16+F22</f>
        <v>638234.12</v>
      </c>
      <c r="G28" s="212">
        <f t="shared" si="4"/>
        <v>791755.68</v>
      </c>
      <c r="H28" s="212">
        <f t="shared" si="4"/>
        <v>746497.89</v>
      </c>
      <c r="I28" s="212">
        <f t="shared" si="4"/>
        <v>809482.69</v>
      </c>
      <c r="J28" s="212">
        <f t="shared" si="4"/>
        <v>715563.17</v>
      </c>
      <c r="K28" s="212">
        <f t="shared" si="4"/>
        <v>774791.15</v>
      </c>
      <c r="L28" s="212">
        <f t="shared" si="4"/>
        <v>773860.51</v>
      </c>
      <c r="M28" s="212">
        <f t="shared" si="4"/>
        <v>742644.1</v>
      </c>
      <c r="N28" s="212">
        <f t="shared" si="4"/>
        <v>750754.24</v>
      </c>
      <c r="O28" s="212">
        <f t="shared" si="4"/>
        <v>705323.88</v>
      </c>
      <c r="P28" s="212">
        <f t="shared" si="4"/>
        <v>723462.1</v>
      </c>
      <c r="Q28" s="212">
        <f t="shared" si="4"/>
        <v>711314</v>
      </c>
      <c r="R28" s="212">
        <f t="shared" si="4"/>
        <v>621275</v>
      </c>
      <c r="S28" s="212">
        <f t="shared" si="4"/>
        <v>789941</v>
      </c>
      <c r="T28" s="212">
        <f t="shared" si="4"/>
        <v>709712</v>
      </c>
      <c r="U28" s="212">
        <f t="shared" si="4"/>
        <v>714134</v>
      </c>
      <c r="V28" s="212">
        <f t="shared" si="4"/>
        <v>684678</v>
      </c>
      <c r="W28" s="212">
        <f t="shared" si="4"/>
        <v>737072</v>
      </c>
      <c r="X28" s="212">
        <f t="shared" si="4"/>
        <v>763891</v>
      </c>
      <c r="Y28" s="212">
        <f t="shared" si="4"/>
        <v>748744</v>
      </c>
      <c r="Z28" s="212">
        <f t="shared" si="4"/>
        <v>738751</v>
      </c>
      <c r="AA28" s="212">
        <f t="shared" si="4"/>
        <v>691069</v>
      </c>
      <c r="AB28" s="212">
        <f t="shared" si="4"/>
        <v>713776</v>
      </c>
      <c r="AC28" s="212">
        <f t="shared" si="4"/>
        <v>676563</v>
      </c>
      <c r="AD28" s="212">
        <f t="shared" si="4"/>
        <v>605824</v>
      </c>
      <c r="AE28" s="212">
        <f t="shared" si="4"/>
        <v>743158</v>
      </c>
      <c r="AF28" s="212">
        <f t="shared" si="4"/>
        <v>822863</v>
      </c>
      <c r="AG28" s="212">
        <f t="shared" si="4"/>
        <v>754883</v>
      </c>
      <c r="AH28" s="212">
        <f t="shared" si="4"/>
        <v>723982</v>
      </c>
      <c r="AI28" s="212">
        <f t="shared" si="4"/>
        <v>732288</v>
      </c>
      <c r="AJ28" s="212">
        <f t="shared" si="4"/>
        <v>789912</v>
      </c>
      <c r="AK28" s="212">
        <f t="shared" si="4"/>
        <v>758824</v>
      </c>
      <c r="AL28" s="212">
        <f t="shared" si="4"/>
        <v>818712</v>
      </c>
      <c r="AM28" s="212">
        <f t="shared" si="4"/>
        <v>701539</v>
      </c>
      <c r="AN28" s="212">
        <f t="shared" si="4"/>
        <v>715593</v>
      </c>
      <c r="AO28" s="212">
        <f t="shared" si="4"/>
        <v>683565</v>
      </c>
      <c r="AP28" s="212">
        <f t="shared" si="4"/>
        <v>618168</v>
      </c>
      <c r="AQ28" s="212">
        <f t="shared" si="4"/>
        <v>797823</v>
      </c>
      <c r="AR28" s="212">
        <f t="shared" si="4"/>
        <v>747356</v>
      </c>
      <c r="AS28" s="212">
        <f t="shared" si="4"/>
        <v>713730</v>
      </c>
      <c r="AT28" s="212">
        <f t="shared" si="4"/>
        <v>711478</v>
      </c>
      <c r="AU28" s="212">
        <f t="shared" si="4"/>
        <v>746726</v>
      </c>
      <c r="AV28" s="212">
        <f t="shared" si="4"/>
        <v>780024</v>
      </c>
      <c r="AW28" s="212">
        <f t="shared" si="4"/>
        <v>789937</v>
      </c>
      <c r="AX28" s="212">
        <f t="shared" si="4"/>
        <v>815637</v>
      </c>
      <c r="AY28" s="212">
        <f t="shared" si="4"/>
        <v>704687</v>
      </c>
      <c r="AZ28" s="212">
        <f t="shared" si="4"/>
        <v>710317</v>
      </c>
      <c r="BA28" s="212">
        <f t="shared" si="4"/>
        <v>727286</v>
      </c>
      <c r="BB28" s="212">
        <f t="shared" si="4"/>
        <v>664439</v>
      </c>
      <c r="BC28" s="212">
        <f t="shared" si="4"/>
        <v>728095</v>
      </c>
      <c r="BD28" s="212">
        <f t="shared" si="4"/>
        <v>736047</v>
      </c>
      <c r="BE28" s="212">
        <f t="shared" si="4"/>
        <v>838864</v>
      </c>
      <c r="BF28" s="212">
        <f t="shared" si="4"/>
        <v>745038</v>
      </c>
      <c r="BG28" s="212">
        <f t="shared" si="4"/>
        <v>801054</v>
      </c>
      <c r="BH28" s="212">
        <f t="shared" si="4"/>
        <v>820358</v>
      </c>
      <c r="BI28" s="212">
        <f t="shared" si="4"/>
        <v>789791</v>
      </c>
      <c r="BJ28" s="212">
        <f t="shared" si="4"/>
        <v>839284</v>
      </c>
      <c r="BK28" s="212">
        <f t="shared" si="4"/>
        <v>800721</v>
      </c>
      <c r="BL28" s="212">
        <f t="shared" si="4"/>
        <v>758921</v>
      </c>
      <c r="BM28" s="212">
        <f t="shared" si="4"/>
        <v>716615</v>
      </c>
      <c r="BN28" s="212">
        <f t="shared" si="4"/>
        <v>629274</v>
      </c>
      <c r="BO28" s="212">
        <f t="shared" si="4"/>
        <v>680930</v>
      </c>
      <c r="BP28" s="212">
        <f t="shared" si="4"/>
        <v>790906</v>
      </c>
      <c r="BQ28" s="212">
        <f t="shared" si="4"/>
        <v>775256</v>
      </c>
      <c r="BR28" s="212">
        <f t="shared" ref="BR28:BX28" si="5">BR6+BR16+BR22</f>
        <v>763781</v>
      </c>
      <c r="BS28" s="212">
        <f t="shared" si="5"/>
        <v>792140</v>
      </c>
      <c r="BT28" s="212">
        <f t="shared" si="5"/>
        <v>843486</v>
      </c>
      <c r="BU28" s="212">
        <f t="shared" si="5"/>
        <v>827575</v>
      </c>
      <c r="BV28" s="212">
        <f t="shared" si="5"/>
        <v>800241</v>
      </c>
      <c r="BW28" s="212">
        <f t="shared" si="5"/>
        <v>734202</v>
      </c>
      <c r="BX28" s="212">
        <f t="shared" si="5"/>
        <v>761678</v>
      </c>
    </row>
    <row r="29" spans="1:77">
      <c r="A29" s="9" t="s">
        <v>108</v>
      </c>
      <c r="B29" s="9" t="str">
        <f>B5</f>
        <v>State Average (excludes KIUC)</v>
      </c>
      <c r="D29" s="9" t="s">
        <v>44</v>
      </c>
      <c r="E29" s="14">
        <f>(E36*E38+E44*E45+E50*E51+E56*E57+E62*E63)/(E36+E44+E50+E56+E62)</f>
        <v>35.93860819894892</v>
      </c>
      <c r="F29" s="14">
        <f t="shared" ref="F29:BQ29" si="6">(F36*F38+F44*F45+F50*F51+F56*F57+F62*F63)/(F36+F44+F50+F56+F62)</f>
        <v>37.02989602305955</v>
      </c>
      <c r="G29" s="14">
        <f t="shared" si="6"/>
        <v>38.53753266483038</v>
      </c>
      <c r="H29" s="14">
        <f t="shared" si="6"/>
        <v>40.61798037117498</v>
      </c>
      <c r="I29" s="14">
        <f t="shared" si="6"/>
        <v>45.850473010632975</v>
      </c>
      <c r="J29" s="14">
        <f t="shared" si="6"/>
        <v>40.323719183101062</v>
      </c>
      <c r="K29" s="14">
        <f t="shared" si="6"/>
        <v>37.527940721624411</v>
      </c>
      <c r="L29" s="14">
        <f t="shared" si="6"/>
        <v>41.137137266883315</v>
      </c>
      <c r="M29" s="14">
        <f t="shared" si="6"/>
        <v>43.691051169028846</v>
      </c>
      <c r="N29" s="14">
        <f t="shared" si="6"/>
        <v>46.170635957944725</v>
      </c>
      <c r="O29" s="14">
        <f t="shared" si="6"/>
        <v>53.025148947581222</v>
      </c>
      <c r="P29" s="14">
        <f t="shared" si="6"/>
        <v>54.390467279135237</v>
      </c>
      <c r="Q29" s="14">
        <f t="shared" si="6"/>
        <v>53.9999890665989</v>
      </c>
      <c r="R29" s="14">
        <f t="shared" si="6"/>
        <v>48.975757008969033</v>
      </c>
      <c r="S29" s="14">
        <f t="shared" si="6"/>
        <v>51.132531169806164</v>
      </c>
      <c r="T29" s="14">
        <f t="shared" si="6"/>
        <v>44.301321735682407</v>
      </c>
      <c r="U29" s="14">
        <f t="shared" si="6"/>
        <v>31.270198443247757</v>
      </c>
      <c r="V29" s="14">
        <f t="shared" si="6"/>
        <v>42.829452813713843</v>
      </c>
      <c r="W29" s="14">
        <f t="shared" si="6"/>
        <v>45.070896781478687</v>
      </c>
      <c r="X29" s="14">
        <f t="shared" si="6"/>
        <v>44.20514996084335</v>
      </c>
      <c r="Y29" s="14">
        <f t="shared" si="6"/>
        <v>40.287402691606438</v>
      </c>
      <c r="Z29" s="14">
        <f t="shared" si="6"/>
        <v>39.995727459437255</v>
      </c>
      <c r="AA29" s="14">
        <f t="shared" si="6"/>
        <v>44.579818985799989</v>
      </c>
      <c r="AB29" s="14">
        <f t="shared" si="6"/>
        <v>38.583223667100135</v>
      </c>
      <c r="AC29" s="14">
        <f t="shared" si="6"/>
        <v>35.618523019190285</v>
      </c>
      <c r="AD29" s="14">
        <f t="shared" si="6"/>
        <v>32.024168138232994</v>
      </c>
      <c r="AE29" s="14">
        <f t="shared" si="6"/>
        <v>29.974445205863393</v>
      </c>
      <c r="AF29" s="14">
        <f t="shared" si="6"/>
        <v>30.270057197922863</v>
      </c>
      <c r="AG29" s="14">
        <f t="shared" si="6"/>
        <v>34.97993709397312</v>
      </c>
      <c r="AH29" s="14">
        <f t="shared" si="6"/>
        <v>36.071097994055002</v>
      </c>
      <c r="AI29" s="14">
        <f t="shared" si="6"/>
        <v>36.490632622401414</v>
      </c>
      <c r="AJ29" s="14">
        <f t="shared" si="6"/>
        <v>35.515705891481765</v>
      </c>
      <c r="AK29" s="14">
        <f t="shared" si="6"/>
        <v>35.529874088667555</v>
      </c>
      <c r="AL29" s="14">
        <f t="shared" si="6"/>
        <v>38.22208705902063</v>
      </c>
      <c r="AM29" s="14">
        <f t="shared" si="6"/>
        <v>42.450812490193982</v>
      </c>
      <c r="AN29" s="14">
        <f t="shared" si="6"/>
        <v>42.385113163366498</v>
      </c>
      <c r="AO29" s="14">
        <f t="shared" si="6"/>
        <v>40.59638340689709</v>
      </c>
      <c r="AP29" s="14">
        <f t="shared" si="6"/>
        <v>40.52954127411396</v>
      </c>
      <c r="AQ29" s="14">
        <f t="shared" si="6"/>
        <v>42.758180959574396</v>
      </c>
      <c r="AR29" s="14">
        <f t="shared" si="6"/>
        <v>46.22883596229358</v>
      </c>
      <c r="AS29" s="14">
        <f t="shared" si="6"/>
        <v>51.820585525185898</v>
      </c>
      <c r="AT29" s="14">
        <f t="shared" si="6"/>
        <v>42.607336232747748</v>
      </c>
      <c r="AU29" s="14">
        <f t="shared" si="6"/>
        <v>38.698074170673152</v>
      </c>
      <c r="AV29" s="14">
        <f t="shared" si="6"/>
        <v>39.900367064477749</v>
      </c>
      <c r="AW29" s="14">
        <f t="shared" si="6"/>
        <v>41.747550451269205</v>
      </c>
      <c r="AX29" s="14">
        <f t="shared" si="6"/>
        <v>45.355959143651845</v>
      </c>
      <c r="AY29" s="14">
        <f t="shared" si="6"/>
        <v>42.428159659914591</v>
      </c>
      <c r="AZ29" s="14">
        <f t="shared" si="6"/>
        <v>41.748199858793996</v>
      </c>
      <c r="BA29" s="14">
        <f t="shared" si="6"/>
        <v>43.681389689023597</v>
      </c>
      <c r="BB29" s="14">
        <f t="shared" si="6"/>
        <v>46.354415675465333</v>
      </c>
      <c r="BC29" s="14">
        <f t="shared" si="6"/>
        <v>47.197912993091435</v>
      </c>
      <c r="BD29" s="14">
        <f t="shared" si="6"/>
        <v>51.994253992845451</v>
      </c>
      <c r="BE29" s="14">
        <f t="shared" si="6"/>
        <v>50.353134242836141</v>
      </c>
      <c r="BF29" s="14">
        <f t="shared" si="6"/>
        <v>61.486382195338621</v>
      </c>
      <c r="BG29" s="14">
        <f t="shared" si="6"/>
        <v>63.958907463825241</v>
      </c>
      <c r="BH29" s="14">
        <f t="shared" si="6"/>
        <v>56.902754810679198</v>
      </c>
      <c r="BI29" s="14">
        <f t="shared" si="6"/>
        <v>59.181240336238538</v>
      </c>
      <c r="BJ29" s="14">
        <f t="shared" si="6"/>
        <v>61.530055960694959</v>
      </c>
      <c r="BK29" s="14">
        <f t="shared" si="6"/>
        <v>64.446034191631441</v>
      </c>
      <c r="BL29" s="14">
        <f t="shared" si="6"/>
        <v>72.164888457967237</v>
      </c>
      <c r="BM29" s="14">
        <f t="shared" si="6"/>
        <v>69.986720731878293</v>
      </c>
      <c r="BN29" s="14">
        <f t="shared" si="6"/>
        <v>64.210466089506795</v>
      </c>
      <c r="BO29" s="14">
        <f t="shared" si="6"/>
        <v>61.862602804061922</v>
      </c>
      <c r="BP29" s="14">
        <f t="shared" si="6"/>
        <v>66.941412306542787</v>
      </c>
      <c r="BQ29" s="14">
        <f t="shared" si="6"/>
        <v>74.074351262593098</v>
      </c>
      <c r="BR29" s="14">
        <f t="shared" ref="BR29:BW29" si="7">(BR36*BR38+BR44*BR45+BR50*BR51+BR56*BR57+BR62*BR63)/(BR36+BR44+BR50+BR56+BR62)</f>
        <v>80.272265787944079</v>
      </c>
      <c r="BS29" s="14">
        <f t="shared" si="7"/>
        <v>77.597661377307617</v>
      </c>
      <c r="BT29" s="14">
        <f t="shared" si="7"/>
        <v>78.051639979126548</v>
      </c>
      <c r="BU29" s="14">
        <f t="shared" si="7"/>
        <v>82.660953138093291</v>
      </c>
      <c r="BV29" s="14">
        <f t="shared" si="7"/>
        <v>92.766212870935107</v>
      </c>
      <c r="BW29" s="14">
        <f t="shared" si="7"/>
        <v>96.624913036683367</v>
      </c>
      <c r="BX29" s="14">
        <f>(BX36*BX38+BX44*BX45+BX50*BX51+BX56*BX57+BX62*BX63)/(BX36+BX44+BX50+BX56+BX62)</f>
        <v>101.82258420560746</v>
      </c>
    </row>
    <row r="30" spans="1:77">
      <c r="A30" s="11" t="s">
        <v>56</v>
      </c>
      <c r="B30" s="11" t="s">
        <v>57</v>
      </c>
      <c r="C30" s="9" t="s">
        <v>41</v>
      </c>
      <c r="D30" s="9" t="s">
        <v>42</v>
      </c>
      <c r="E30" s="12">
        <v>54070</v>
      </c>
      <c r="F30" s="12">
        <v>57625</v>
      </c>
      <c r="G30" s="12">
        <v>70146</v>
      </c>
      <c r="H30" s="12">
        <v>59524</v>
      </c>
      <c r="I30" s="12">
        <v>62581</v>
      </c>
      <c r="J30" s="12">
        <v>53875</v>
      </c>
      <c r="K30" s="12">
        <v>55122</v>
      </c>
      <c r="L30" s="12">
        <v>55294</v>
      </c>
      <c r="M30" s="12">
        <v>52984</v>
      </c>
      <c r="N30" s="12">
        <v>51953</v>
      </c>
      <c r="O30" s="12">
        <v>56272</v>
      </c>
      <c r="P30" s="12">
        <v>59091</v>
      </c>
      <c r="Q30" s="12">
        <v>61335</v>
      </c>
      <c r="R30" s="12">
        <v>49683</v>
      </c>
      <c r="S30" s="12">
        <v>62742</v>
      </c>
      <c r="T30" s="12">
        <v>55701</v>
      </c>
      <c r="U30" s="12">
        <v>57496</v>
      </c>
      <c r="V30" s="12">
        <v>56109</v>
      </c>
      <c r="W30" s="12">
        <v>62408</v>
      </c>
      <c r="X30" s="12">
        <v>63444</v>
      </c>
      <c r="Y30" s="12">
        <v>61087</v>
      </c>
      <c r="Z30" s="12">
        <v>59750</v>
      </c>
      <c r="AA30" s="12">
        <v>57165</v>
      </c>
      <c r="AB30" s="12">
        <v>57699</v>
      </c>
      <c r="AC30" s="12">
        <v>57633</v>
      </c>
      <c r="AD30" s="12">
        <v>51696</v>
      </c>
      <c r="AE30" s="12">
        <v>57819</v>
      </c>
      <c r="AF30" s="12">
        <v>58896</v>
      </c>
      <c r="AG30" s="12">
        <v>58033</v>
      </c>
      <c r="AH30" s="12">
        <v>60301</v>
      </c>
      <c r="AI30" s="12">
        <v>61441</v>
      </c>
      <c r="AJ30" s="12">
        <v>61568</v>
      </c>
      <c r="AK30" s="12">
        <v>46171</v>
      </c>
      <c r="AL30" s="12">
        <v>32508</v>
      </c>
      <c r="AM30" s="12">
        <v>29803</v>
      </c>
      <c r="AN30" s="12">
        <v>26181</v>
      </c>
      <c r="AO30" s="12">
        <v>31329</v>
      </c>
      <c r="AP30" s="12">
        <v>21308</v>
      </c>
      <c r="AQ30" s="12">
        <v>28666</v>
      </c>
      <c r="AR30" s="12">
        <v>25967</v>
      </c>
      <c r="AS30" s="12">
        <v>30213</v>
      </c>
      <c r="AT30" s="12">
        <v>34677</v>
      </c>
      <c r="AU30" s="12">
        <v>39239</v>
      </c>
      <c r="AV30" s="12">
        <v>37134</v>
      </c>
      <c r="AW30" s="12">
        <v>36759</v>
      </c>
      <c r="AX30" s="12">
        <v>35996</v>
      </c>
      <c r="AY30" s="12">
        <v>30549</v>
      </c>
      <c r="AZ30" s="12">
        <v>44953</v>
      </c>
      <c r="BA30" s="12">
        <v>60228</v>
      </c>
      <c r="BB30" s="12">
        <v>59475</v>
      </c>
      <c r="BC30" s="12">
        <v>60368</v>
      </c>
      <c r="BD30" s="12">
        <v>60368</v>
      </c>
      <c r="BE30" s="12">
        <v>65424</v>
      </c>
      <c r="BF30" s="12">
        <v>60439</v>
      </c>
      <c r="BG30" s="12">
        <v>66383</v>
      </c>
      <c r="BH30" s="12">
        <v>69473</v>
      </c>
      <c r="BI30" s="12">
        <v>62960</v>
      </c>
      <c r="BJ30" s="12">
        <v>64965</v>
      </c>
      <c r="BK30" s="12">
        <v>60286</v>
      </c>
      <c r="BL30" s="12">
        <v>62033</v>
      </c>
      <c r="BM30" s="12">
        <v>59776</v>
      </c>
      <c r="BN30" s="12">
        <v>53752</v>
      </c>
      <c r="BO30" s="12">
        <v>60317</v>
      </c>
      <c r="BP30" s="12">
        <v>58443</v>
      </c>
      <c r="BQ30" s="12">
        <v>61803</v>
      </c>
      <c r="BR30" s="12">
        <v>62430</v>
      </c>
      <c r="BS30" s="12">
        <v>67102</v>
      </c>
      <c r="BT30" s="12">
        <v>71584</v>
      </c>
      <c r="BU30" s="12">
        <v>65502</v>
      </c>
      <c r="BV30" s="12">
        <v>63895</v>
      </c>
      <c r="BW30" s="12">
        <v>61880</v>
      </c>
      <c r="BX30" s="12">
        <v>60442</v>
      </c>
    </row>
    <row r="31" spans="1:77">
      <c r="A31" s="11"/>
      <c r="B31" s="11"/>
      <c r="C31" s="9" t="s">
        <v>5</v>
      </c>
      <c r="D31" s="9" t="s">
        <v>44</v>
      </c>
      <c r="E31" s="13">
        <v>37.043813574995376</v>
      </c>
      <c r="F31" s="13">
        <v>40.082776572668109</v>
      </c>
      <c r="G31" s="13">
        <v>41.131183531491459</v>
      </c>
      <c r="H31" s="13">
        <v>47.086150124319602</v>
      </c>
      <c r="I31" s="13">
        <v>41.177130438951117</v>
      </c>
      <c r="J31" s="13">
        <v>39.366069605568448</v>
      </c>
      <c r="K31" s="13">
        <v>41.273030731831213</v>
      </c>
      <c r="L31" s="13">
        <v>44.96408290230405</v>
      </c>
      <c r="M31" s="13">
        <v>44.833912124414915</v>
      </c>
      <c r="N31" s="13">
        <v>55.302427193809791</v>
      </c>
      <c r="O31" s="13">
        <v>56.335477679840771</v>
      </c>
      <c r="P31" s="13">
        <v>54.870724814269515</v>
      </c>
      <c r="Q31" s="13">
        <v>54.169805168337817</v>
      </c>
      <c r="R31" s="13">
        <v>43.480808324779098</v>
      </c>
      <c r="S31" s="13">
        <v>44.314111759268116</v>
      </c>
      <c r="T31" s="13">
        <v>42.678282257051038</v>
      </c>
      <c r="U31" s="13">
        <v>42.767896897175454</v>
      </c>
      <c r="V31" s="13">
        <v>45.111907180666201</v>
      </c>
      <c r="W31" s="13">
        <v>46.177012562491988</v>
      </c>
      <c r="X31" s="13">
        <v>40.876930836643339</v>
      </c>
      <c r="Y31" s="13">
        <v>39.082505279355672</v>
      </c>
      <c r="Z31" s="13">
        <v>45.879179916317995</v>
      </c>
      <c r="AA31" s="13">
        <v>42.000069972885505</v>
      </c>
      <c r="AB31" s="13">
        <v>34.923811504532139</v>
      </c>
      <c r="AC31" s="13">
        <v>29.061683410546042</v>
      </c>
      <c r="AD31" s="13">
        <v>31.204271123491178</v>
      </c>
      <c r="AE31" s="13">
        <v>31.595807606496134</v>
      </c>
      <c r="AF31" s="13">
        <v>35.525485601738659</v>
      </c>
      <c r="AG31" s="13">
        <v>38.798769665535126</v>
      </c>
      <c r="AH31" s="13">
        <v>36.601615230261523</v>
      </c>
      <c r="AI31" s="13">
        <v>36.489656743868103</v>
      </c>
      <c r="AJ31" s="13">
        <v>37.304216476091476</v>
      </c>
      <c r="AK31" s="13">
        <v>39.369820883238397</v>
      </c>
      <c r="AL31" s="13">
        <v>44.72674418604651</v>
      </c>
      <c r="AM31" s="13">
        <v>43.402677582793679</v>
      </c>
      <c r="AN31" s="13">
        <v>40.735418815171307</v>
      </c>
      <c r="AO31" s="13">
        <v>41.701522550991093</v>
      </c>
      <c r="AP31" s="13">
        <v>44.916979538201616</v>
      </c>
      <c r="AQ31" s="13">
        <v>49.751168631828648</v>
      </c>
      <c r="AR31" s="13">
        <v>54.916624947048177</v>
      </c>
      <c r="AS31" s="13">
        <v>43.311157448780328</v>
      </c>
      <c r="AT31" s="13">
        <v>40.022262594803472</v>
      </c>
      <c r="AU31" s="13">
        <v>40.971839241570883</v>
      </c>
      <c r="AV31" s="13">
        <v>42.851106802391342</v>
      </c>
      <c r="AW31" s="13">
        <v>47.931826219429254</v>
      </c>
      <c r="AX31" s="13">
        <v>43.687409712190245</v>
      </c>
      <c r="AY31" s="13">
        <v>42.868440865494776</v>
      </c>
      <c r="AZ31" s="13">
        <v>43.079883433808646</v>
      </c>
      <c r="BA31" s="13">
        <v>44.910008633858006</v>
      </c>
      <c r="BB31" s="13">
        <v>41.824649012189994</v>
      </c>
      <c r="BC31" s="13">
        <v>48.690581102570896</v>
      </c>
      <c r="BD31" s="13">
        <v>48.690581102570896</v>
      </c>
      <c r="BE31" s="13">
        <v>45.328640865737341</v>
      </c>
      <c r="BF31" s="13">
        <v>59.258012210658684</v>
      </c>
      <c r="BG31" s="13">
        <v>52.877152282964012</v>
      </c>
      <c r="BH31" s="13">
        <v>58.205058080117453</v>
      </c>
      <c r="BI31" s="13">
        <v>56.774936467598472</v>
      </c>
      <c r="BJ31" s="13">
        <v>58.941537751096746</v>
      </c>
      <c r="BK31" s="13">
        <v>65.377102478187311</v>
      </c>
      <c r="BL31" s="13">
        <v>64.474666709654542</v>
      </c>
      <c r="BM31" s="13">
        <v>58.205400160599574</v>
      </c>
      <c r="BN31" s="13">
        <v>53.060574490251526</v>
      </c>
      <c r="BO31" s="13">
        <v>60.892965498947227</v>
      </c>
      <c r="BP31" s="13">
        <v>69.374724090139111</v>
      </c>
      <c r="BQ31" s="13">
        <v>72.893904826626539</v>
      </c>
      <c r="BR31" s="13">
        <v>63.99551497677399</v>
      </c>
      <c r="BS31" s="13">
        <v>69.01810676283867</v>
      </c>
      <c r="BT31" s="13">
        <v>74.445420764416625</v>
      </c>
      <c r="BU31" s="13">
        <v>81.767930750206105</v>
      </c>
      <c r="BV31" s="13">
        <v>88.170388919320757</v>
      </c>
      <c r="BW31" s="13">
        <v>92.061473820297351</v>
      </c>
      <c r="BX31" s="13">
        <v>78.049750173720255</v>
      </c>
    </row>
    <row r="32" spans="1:77">
      <c r="C32" s="9" t="s">
        <v>45</v>
      </c>
      <c r="D32" s="9" t="s">
        <v>44</v>
      </c>
      <c r="E32" s="12">
        <v>2002959</v>
      </c>
      <c r="F32" s="12">
        <v>2309770</v>
      </c>
      <c r="G32" s="12">
        <v>2885188</v>
      </c>
      <c r="H32" s="12">
        <v>2802756</v>
      </c>
      <c r="I32" s="12">
        <v>2576906</v>
      </c>
      <c r="J32" s="12">
        <v>2120847</v>
      </c>
      <c r="K32" s="12">
        <v>2275052</v>
      </c>
      <c r="L32" s="12">
        <v>2486244</v>
      </c>
      <c r="M32" s="12">
        <v>2375480</v>
      </c>
      <c r="N32" s="12">
        <v>2873127</v>
      </c>
      <c r="O32" s="12">
        <v>3170110</v>
      </c>
      <c r="P32" s="12">
        <v>3242366</v>
      </c>
      <c r="Q32" s="12">
        <v>3322505</v>
      </c>
      <c r="R32" s="12">
        <v>2160257</v>
      </c>
      <c r="S32" s="12">
        <v>2780356</v>
      </c>
      <c r="T32" s="12">
        <v>2377223</v>
      </c>
      <c r="U32" s="12">
        <v>2458983</v>
      </c>
      <c r="V32" s="12">
        <v>2531184</v>
      </c>
      <c r="W32" s="12">
        <v>2881815</v>
      </c>
      <c r="X32" s="12">
        <v>2593396</v>
      </c>
      <c r="Y32" s="12">
        <v>2387433</v>
      </c>
      <c r="Z32" s="12">
        <v>2741281</v>
      </c>
      <c r="AA32" s="12">
        <v>2400934</v>
      </c>
      <c r="AB32" s="12">
        <v>2015069</v>
      </c>
      <c r="AC32" s="12">
        <v>1674912</v>
      </c>
      <c r="AD32" s="12">
        <v>1613136</v>
      </c>
      <c r="AE32" s="12">
        <v>1826838</v>
      </c>
      <c r="AF32" s="12">
        <v>2092309</v>
      </c>
      <c r="AG32" s="12">
        <v>2251609</v>
      </c>
      <c r="AH32" s="12">
        <v>2207114</v>
      </c>
      <c r="AI32" s="12">
        <v>2241961</v>
      </c>
      <c r="AJ32" s="12">
        <v>2296746</v>
      </c>
      <c r="AK32" s="12">
        <v>1817744</v>
      </c>
      <c r="AL32" s="12">
        <v>1453977</v>
      </c>
      <c r="AM32" s="12">
        <v>1293530</v>
      </c>
      <c r="AN32" s="12">
        <v>1066494</v>
      </c>
      <c r="AO32" s="12">
        <v>1306467</v>
      </c>
      <c r="AP32" s="12">
        <v>957091</v>
      </c>
      <c r="AQ32" s="12">
        <v>1426167</v>
      </c>
      <c r="AR32" s="12">
        <v>1426020</v>
      </c>
      <c r="AS32" s="12">
        <v>1308560</v>
      </c>
      <c r="AT32" s="12">
        <v>1387852</v>
      </c>
      <c r="AU32" s="12">
        <v>1607694</v>
      </c>
      <c r="AV32" s="12">
        <v>1591233</v>
      </c>
      <c r="AW32" s="12">
        <v>1761926</v>
      </c>
      <c r="AX32" s="12">
        <v>1572572</v>
      </c>
      <c r="AY32" s="12">
        <v>1309588</v>
      </c>
      <c r="AZ32" s="12">
        <v>1936570</v>
      </c>
      <c r="BA32" s="12">
        <v>2704840</v>
      </c>
      <c r="BB32" s="12">
        <v>2487521</v>
      </c>
      <c r="BC32" s="12">
        <v>2939353</v>
      </c>
      <c r="BD32" s="12">
        <v>2939353</v>
      </c>
      <c r="BE32" s="12">
        <v>2965581</v>
      </c>
      <c r="BF32" s="12">
        <v>3581495</v>
      </c>
      <c r="BG32" s="12">
        <v>3510144</v>
      </c>
      <c r="BH32" s="12">
        <v>4043680</v>
      </c>
      <c r="BI32" s="12">
        <v>3574550</v>
      </c>
      <c r="BJ32" s="12">
        <v>3829137</v>
      </c>
      <c r="BK32" s="12">
        <v>3941324</v>
      </c>
      <c r="BL32" s="12">
        <v>3999557</v>
      </c>
      <c r="BM32" s="12">
        <v>3479286</v>
      </c>
      <c r="BN32" s="12">
        <v>2852112</v>
      </c>
      <c r="BO32" s="12">
        <v>3672881</v>
      </c>
      <c r="BP32" s="12">
        <v>4054467</v>
      </c>
      <c r="BQ32" s="12">
        <v>4505062</v>
      </c>
      <c r="BR32" s="12">
        <v>3995240</v>
      </c>
      <c r="BS32" s="12">
        <v>4631253</v>
      </c>
      <c r="BT32" s="12">
        <v>5329101</v>
      </c>
      <c r="BU32" s="12">
        <v>5355963</v>
      </c>
      <c r="BV32" s="12">
        <v>5633647</v>
      </c>
      <c r="BW32" s="12">
        <v>5696764</v>
      </c>
      <c r="BX32" s="12">
        <v>4717483</v>
      </c>
    </row>
    <row r="33" spans="2:76">
      <c r="C33" s="9" t="s">
        <v>58</v>
      </c>
      <c r="D33" s="9" t="s">
        <v>44</v>
      </c>
      <c r="E33" s="14">
        <v>7.8E-2</v>
      </c>
      <c r="F33" s="14">
        <v>9.1800000000000007E-2</v>
      </c>
      <c r="G33" s="14">
        <v>9.2399999999999996E-2</v>
      </c>
      <c r="H33" s="14">
        <v>0.1036</v>
      </c>
      <c r="I33" s="14">
        <v>9.0300000000000005E-2</v>
      </c>
      <c r="J33" s="14">
        <v>7.8899999999999998E-2</v>
      </c>
      <c r="K33" s="14">
        <v>8.7800000000000003E-2</v>
      </c>
      <c r="L33" s="14">
        <v>9.7299999999999998E-2</v>
      </c>
      <c r="M33" s="14">
        <v>9.8900000000000002E-2</v>
      </c>
      <c r="N33" s="14">
        <v>0.13039999999999999</v>
      </c>
      <c r="O33" s="14">
        <v>0.1197</v>
      </c>
      <c r="P33" s="14">
        <v>0.1166</v>
      </c>
      <c r="Q33" s="14">
        <v>0.114</v>
      </c>
      <c r="R33" s="14">
        <v>8.5500000000000007E-2</v>
      </c>
      <c r="S33" s="14">
        <v>9.8900000000000002E-2</v>
      </c>
      <c r="T33" s="14">
        <v>9.0700000000000003E-2</v>
      </c>
      <c r="U33" s="14">
        <v>9.1500000000000001E-3</v>
      </c>
      <c r="V33" s="14">
        <v>9.5259999999999997E-2</v>
      </c>
      <c r="W33" s="14">
        <v>9.0810000000000002E-2</v>
      </c>
      <c r="X33" s="14">
        <v>7.6960000000000001E-2</v>
      </c>
      <c r="Y33" s="14">
        <v>8.0119999999999997E-2</v>
      </c>
      <c r="Z33" s="14">
        <v>9.5229999999999995E-2</v>
      </c>
      <c r="AA33" s="14">
        <v>8.7309999999999999E-2</v>
      </c>
      <c r="AB33" s="14">
        <v>7.2270000000000001E-2</v>
      </c>
      <c r="AC33" s="15">
        <v>0.32856999999999997</v>
      </c>
      <c r="AD33" s="14">
        <v>6.6369999999999998E-2</v>
      </c>
      <c r="AE33" s="14">
        <v>6.7210000000000006E-2</v>
      </c>
      <c r="AF33" s="14">
        <v>7.392E-2</v>
      </c>
      <c r="AG33" s="14">
        <v>7.9589999999999994E-2</v>
      </c>
      <c r="AH33" s="14">
        <v>7.6689999999999994E-2</v>
      </c>
      <c r="AI33" s="14">
        <v>0.75949999999999995</v>
      </c>
      <c r="AJ33" s="14">
        <v>7.8439999999999996E-2</v>
      </c>
      <c r="AK33" s="14">
        <v>8.226E-2</v>
      </c>
      <c r="AL33" s="14">
        <v>9.3990000000000004E-2</v>
      </c>
      <c r="AM33" s="14">
        <v>8.6999999999999994E-2</v>
      </c>
      <c r="AN33" s="14">
        <v>7.5340000000000004E-2</v>
      </c>
      <c r="AO33" s="14">
        <v>7.2959999999999997E-2</v>
      </c>
      <c r="AP33" s="14">
        <v>7.5050000000000006E-2</v>
      </c>
      <c r="AQ33" s="14">
        <v>0.10205</v>
      </c>
      <c r="AR33" s="14">
        <v>0.10469000000000001</v>
      </c>
      <c r="AS33" s="14">
        <v>8.5070000000000007E-2</v>
      </c>
      <c r="AT33" s="14">
        <v>8.5430000000000006E-2</v>
      </c>
      <c r="AU33" s="14">
        <v>8.0430000000000001E-2</v>
      </c>
      <c r="AV33" s="14">
        <v>9.0209999999999999E-2</v>
      </c>
      <c r="AW33" s="14">
        <v>0.10066</v>
      </c>
      <c r="AX33" s="14">
        <v>9.0340000000000004E-2</v>
      </c>
      <c r="AY33" s="14">
        <v>8.3570000000000005E-2</v>
      </c>
      <c r="AZ33" s="14">
        <v>8.5010000000000002E-2</v>
      </c>
      <c r="BA33" s="14">
        <v>8.2710000000000006E-2</v>
      </c>
      <c r="BB33" s="14">
        <v>7.7039999999999997E-2</v>
      </c>
      <c r="BC33" s="14">
        <v>8.7569999999999995E-2</v>
      </c>
      <c r="BD33" s="14">
        <v>8.8690000000000005E-2</v>
      </c>
      <c r="BE33" s="14">
        <v>8.5650000000000004E-2</v>
      </c>
      <c r="BF33" s="14">
        <v>0.10061</v>
      </c>
      <c r="BG33" s="14">
        <v>8.8870000000000005E-2</v>
      </c>
      <c r="BH33" s="14">
        <v>0.10758</v>
      </c>
      <c r="BI33" s="14">
        <v>9.579E-2</v>
      </c>
      <c r="BJ33" s="14">
        <v>9.9150000000000002E-2</v>
      </c>
      <c r="BK33" s="14">
        <v>0.10878</v>
      </c>
      <c r="BL33" s="14">
        <v>0.11187</v>
      </c>
      <c r="BM33" s="14">
        <v>0.10254000000000001</v>
      </c>
      <c r="BN33" s="14">
        <v>9.1490000000000002E-2</v>
      </c>
      <c r="BO33" s="14">
        <v>0.11137</v>
      </c>
      <c r="BP33" s="14">
        <v>0.12324</v>
      </c>
      <c r="BQ33" s="14">
        <v>0.11806</v>
      </c>
      <c r="BR33" s="14">
        <v>0.10818999999999999</v>
      </c>
      <c r="BS33" s="14">
        <v>0.11867</v>
      </c>
      <c r="BT33" s="14">
        <v>0.13586000000000001</v>
      </c>
      <c r="BU33" s="14">
        <v>0.14521000000000001</v>
      </c>
      <c r="BV33" s="14">
        <v>0.15556</v>
      </c>
      <c r="BW33" s="14">
        <v>0.17224999999999999</v>
      </c>
      <c r="BX33" s="14">
        <v>0.12634999999999999</v>
      </c>
    </row>
    <row r="34" spans="2:76">
      <c r="C34" s="9" t="s">
        <v>59</v>
      </c>
      <c r="D34" s="9" t="s">
        <v>44</v>
      </c>
      <c r="E34" s="13">
        <v>37.71</v>
      </c>
      <c r="F34" s="13">
        <v>40.119999999999997</v>
      </c>
      <c r="G34" s="13">
        <v>41.32</v>
      </c>
      <c r="H34" s="13">
        <v>47.46</v>
      </c>
      <c r="I34" s="13">
        <v>41.1</v>
      </c>
      <c r="J34" s="13">
        <v>39.92</v>
      </c>
      <c r="K34" s="13">
        <v>41.29</v>
      </c>
      <c r="L34" s="13">
        <v>45.02</v>
      </c>
      <c r="M34" s="13">
        <v>45.02</v>
      </c>
      <c r="N34" s="13">
        <v>55.47</v>
      </c>
      <c r="O34" s="13">
        <v>56.35</v>
      </c>
      <c r="P34" s="13">
        <v>55.36</v>
      </c>
      <c r="Q34" s="13">
        <v>54.71</v>
      </c>
      <c r="R34" s="13">
        <v>43.8</v>
      </c>
      <c r="S34" s="13">
        <v>44.35</v>
      </c>
      <c r="T34" s="13">
        <v>42.66</v>
      </c>
      <c r="U34" s="13">
        <v>42.77</v>
      </c>
      <c r="V34" s="13">
        <v>45.15</v>
      </c>
      <c r="W34" s="13">
        <v>46.19</v>
      </c>
      <c r="X34" s="13">
        <v>41.11</v>
      </c>
      <c r="Y34" s="13">
        <v>39.31</v>
      </c>
      <c r="Z34" s="13">
        <v>46.19</v>
      </c>
      <c r="AA34" s="13">
        <v>37.72</v>
      </c>
      <c r="AB34" s="13">
        <v>35.11</v>
      </c>
      <c r="AC34" s="17">
        <v>29</v>
      </c>
      <c r="AD34" s="13">
        <v>31.24</v>
      </c>
      <c r="AE34" s="13">
        <v>31.6</v>
      </c>
      <c r="AF34" s="13">
        <v>35.58</v>
      </c>
      <c r="AG34" s="13">
        <v>38.43</v>
      </c>
      <c r="AH34" s="13">
        <v>36.99</v>
      </c>
      <c r="AI34" s="13">
        <v>36.700000000000003</v>
      </c>
      <c r="AJ34" s="13">
        <v>37.520000000000003</v>
      </c>
      <c r="AK34" s="13">
        <v>39.700000000000003</v>
      </c>
      <c r="AL34" s="13">
        <v>44.89</v>
      </c>
      <c r="AM34" s="13">
        <v>43.92</v>
      </c>
      <c r="AN34" s="13">
        <v>41.93</v>
      </c>
      <c r="AO34" s="13">
        <v>41.93</v>
      </c>
      <c r="AP34" s="13">
        <v>41.93</v>
      </c>
      <c r="AQ34" s="13">
        <v>41.93</v>
      </c>
      <c r="AR34" s="13">
        <v>41.93</v>
      </c>
      <c r="AS34" s="13">
        <v>43.08</v>
      </c>
      <c r="AT34" s="13">
        <v>43.08</v>
      </c>
      <c r="AU34" s="13">
        <v>41.01</v>
      </c>
      <c r="AV34" s="13">
        <v>42.9</v>
      </c>
      <c r="AW34" s="13">
        <v>48.23</v>
      </c>
      <c r="AX34" s="13">
        <v>48.23</v>
      </c>
      <c r="AY34" s="13">
        <v>48.23</v>
      </c>
      <c r="AZ34" s="13">
        <v>43.08</v>
      </c>
      <c r="BA34" s="13">
        <v>44.91</v>
      </c>
      <c r="BB34" s="13">
        <v>41.82</v>
      </c>
      <c r="BC34" s="13">
        <v>48.69</v>
      </c>
      <c r="BD34" s="13">
        <v>49.37</v>
      </c>
      <c r="BE34" s="13">
        <v>49.37</v>
      </c>
      <c r="BF34" s="13">
        <v>49.37</v>
      </c>
      <c r="BG34" s="13">
        <v>49.37</v>
      </c>
      <c r="BH34" s="13">
        <v>58.21</v>
      </c>
      <c r="BI34" s="13">
        <v>56.78</v>
      </c>
      <c r="BJ34" s="13">
        <v>58.94</v>
      </c>
      <c r="BK34" s="13">
        <v>65.38</v>
      </c>
      <c r="BL34" s="13">
        <v>65.38</v>
      </c>
      <c r="BM34" s="13">
        <v>58.21</v>
      </c>
      <c r="BN34" s="13">
        <v>53.06</v>
      </c>
      <c r="BO34" s="13">
        <v>60.89</v>
      </c>
      <c r="BP34" s="13">
        <v>60.89</v>
      </c>
      <c r="BQ34" s="13">
        <v>84.29</v>
      </c>
      <c r="BR34" s="13">
        <v>79.3</v>
      </c>
      <c r="BS34" s="13">
        <v>79.3</v>
      </c>
      <c r="BT34" s="13">
        <v>84.33</v>
      </c>
      <c r="BU34" s="13">
        <v>94.77</v>
      </c>
      <c r="BV34" s="13">
        <v>99.31</v>
      </c>
      <c r="BW34" s="13">
        <v>107.52</v>
      </c>
      <c r="BX34" s="13">
        <v>88.11</v>
      </c>
    </row>
    <row r="35" spans="2:76"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</row>
    <row r="36" spans="2:76">
      <c r="B36" s="11" t="s">
        <v>40</v>
      </c>
      <c r="C36" s="9" t="s">
        <v>41</v>
      </c>
      <c r="D36" s="9" t="s">
        <v>42</v>
      </c>
      <c r="E36" s="12">
        <v>2294</v>
      </c>
      <c r="F36" s="12">
        <v>1386</v>
      </c>
      <c r="G36" s="12">
        <v>3054</v>
      </c>
      <c r="H36" s="12">
        <v>2391</v>
      </c>
      <c r="I36" s="12">
        <v>545</v>
      </c>
      <c r="J36" s="12">
        <v>1919</v>
      </c>
      <c r="K36" s="12">
        <v>1698</v>
      </c>
      <c r="L36" s="12">
        <v>1544</v>
      </c>
      <c r="M36" s="12">
        <v>2146</v>
      </c>
      <c r="N36" s="12">
        <v>2237</v>
      </c>
      <c r="O36" s="12">
        <v>994</v>
      </c>
      <c r="P36" s="12">
        <v>1830</v>
      </c>
      <c r="Q36" s="12">
        <v>1557</v>
      </c>
      <c r="R36" s="12">
        <v>818</v>
      </c>
      <c r="S36" s="12">
        <v>2858</v>
      </c>
      <c r="T36" s="12">
        <v>1454</v>
      </c>
      <c r="U36" s="12">
        <v>1270</v>
      </c>
      <c r="V36" s="12">
        <v>1335</v>
      </c>
      <c r="W36" s="12">
        <v>823</v>
      </c>
      <c r="X36" s="12">
        <v>1458</v>
      </c>
      <c r="Y36" s="12">
        <v>924</v>
      </c>
      <c r="Z36" s="12">
        <v>2320</v>
      </c>
      <c r="AA36" s="12">
        <v>3560</v>
      </c>
      <c r="AB36" s="12">
        <v>3922</v>
      </c>
      <c r="AC36" s="12">
        <v>2597</v>
      </c>
      <c r="AD36" s="12">
        <v>1011</v>
      </c>
      <c r="AE36" s="12">
        <v>1681</v>
      </c>
      <c r="AF36" s="12">
        <v>1620</v>
      </c>
      <c r="AG36" s="12">
        <v>1661</v>
      </c>
      <c r="AH36" s="12">
        <v>2722</v>
      </c>
      <c r="AI36" s="12">
        <v>2192</v>
      </c>
      <c r="AJ36" s="12">
        <v>7043</v>
      </c>
      <c r="AK36" s="12">
        <v>4162</v>
      </c>
      <c r="AL36" s="12">
        <v>2425</v>
      </c>
      <c r="AM36" s="12">
        <v>3250</v>
      </c>
      <c r="AN36" s="12">
        <v>5130</v>
      </c>
      <c r="AO36" s="12">
        <v>3066</v>
      </c>
      <c r="AP36" s="12">
        <v>885</v>
      </c>
      <c r="AQ36" s="12">
        <v>6517</v>
      </c>
      <c r="AR36" s="12">
        <v>3609</v>
      </c>
      <c r="AS36" s="12">
        <v>1867</v>
      </c>
      <c r="AT36" s="12">
        <v>4426</v>
      </c>
      <c r="AU36" s="12">
        <v>3203</v>
      </c>
      <c r="AV36" s="12">
        <v>5062</v>
      </c>
      <c r="AW36" s="12">
        <v>14092</v>
      </c>
      <c r="AX36" s="12">
        <v>12222</v>
      </c>
      <c r="AY36" s="12">
        <v>1969</v>
      </c>
      <c r="AZ36" s="12">
        <v>4994</v>
      </c>
      <c r="BA36" s="12">
        <v>5376</v>
      </c>
      <c r="BB36" s="12">
        <v>6728</v>
      </c>
      <c r="BC36" s="12">
        <v>5519</v>
      </c>
      <c r="BD36" s="12">
        <v>4516</v>
      </c>
      <c r="BE36" s="12">
        <v>20246</v>
      </c>
      <c r="BF36" s="12">
        <v>14376</v>
      </c>
      <c r="BG36" s="12">
        <v>16065</v>
      </c>
      <c r="BH36" s="12">
        <v>22559</v>
      </c>
      <c r="BI36" s="12">
        <v>24403</v>
      </c>
      <c r="BJ36" s="12">
        <v>8074</v>
      </c>
      <c r="BK36" s="12">
        <v>5600</v>
      </c>
      <c r="BL36" s="12">
        <v>2413</v>
      </c>
      <c r="BM36" s="12">
        <v>5649</v>
      </c>
      <c r="BN36" s="12">
        <v>1050</v>
      </c>
      <c r="BO36" s="12">
        <v>2484</v>
      </c>
      <c r="BP36" s="12">
        <v>10441</v>
      </c>
      <c r="BQ36" s="12">
        <v>14509</v>
      </c>
      <c r="BR36" s="12">
        <v>11902</v>
      </c>
      <c r="BS36" s="12">
        <v>11666</v>
      </c>
      <c r="BT36" s="12">
        <v>18669</v>
      </c>
      <c r="BU36" s="12">
        <v>7636</v>
      </c>
      <c r="BV36" s="12">
        <v>6323</v>
      </c>
      <c r="BW36" s="12">
        <v>20062</v>
      </c>
      <c r="BX36" s="12">
        <v>8076</v>
      </c>
    </row>
    <row r="37" spans="2:76">
      <c r="C37" s="9" t="s">
        <v>43</v>
      </c>
      <c r="D37" s="9" t="s">
        <v>44</v>
      </c>
      <c r="E37" s="13">
        <v>5.5505999999999993</v>
      </c>
      <c r="F37" s="13">
        <v>5.7600999999999996</v>
      </c>
      <c r="G37" s="13">
        <v>5.5710000000000006</v>
      </c>
      <c r="H37" s="13">
        <v>5.6836000000000002</v>
      </c>
      <c r="I37" s="13">
        <v>7.4588000000000001</v>
      </c>
      <c r="J37" s="13">
        <v>6.0394000000000005</v>
      </c>
      <c r="K37" s="13">
        <v>6.1192999999999991</v>
      </c>
      <c r="L37" s="13">
        <v>6.1415999999999995</v>
      </c>
      <c r="M37" s="13">
        <v>5.9723000000000006</v>
      </c>
      <c r="N37" s="13">
        <v>5.9840999999999998</v>
      </c>
      <c r="O37" s="13">
        <v>7.5419000000000009</v>
      </c>
      <c r="P37" s="13">
        <v>7.0479999999999992</v>
      </c>
      <c r="Q37" s="13">
        <v>7.1620000000000008</v>
      </c>
      <c r="R37" s="13">
        <v>7.7789000000000001</v>
      </c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</row>
    <row r="38" spans="2:76" s="36" customFormat="1">
      <c r="C38" s="36" t="s">
        <v>5</v>
      </c>
      <c r="D38" s="36" t="s">
        <v>44</v>
      </c>
      <c r="E38" s="37">
        <f>E37*5.86</f>
        <v>32.526516000000001</v>
      </c>
      <c r="F38" s="37">
        <f t="shared" ref="F38:R38" si="8">F37*5.86</f>
        <v>33.754185999999997</v>
      </c>
      <c r="G38" s="37">
        <f t="shared" si="8"/>
        <v>32.646060000000006</v>
      </c>
      <c r="H38" s="37">
        <f t="shared" si="8"/>
        <v>33.305896000000004</v>
      </c>
      <c r="I38" s="37">
        <f t="shared" si="8"/>
        <v>43.708568</v>
      </c>
      <c r="J38" s="37">
        <f t="shared" si="8"/>
        <v>35.390884000000007</v>
      </c>
      <c r="K38" s="37">
        <f t="shared" si="8"/>
        <v>35.859097999999996</v>
      </c>
      <c r="L38" s="37">
        <f t="shared" si="8"/>
        <v>35.989775999999999</v>
      </c>
      <c r="M38" s="37">
        <f t="shared" si="8"/>
        <v>34.997678000000008</v>
      </c>
      <c r="N38" s="37">
        <f t="shared" si="8"/>
        <v>35.066825999999999</v>
      </c>
      <c r="O38" s="37">
        <f t="shared" si="8"/>
        <v>44.195534000000009</v>
      </c>
      <c r="P38" s="37">
        <f t="shared" si="8"/>
        <v>41.301279999999998</v>
      </c>
      <c r="Q38" s="37">
        <f t="shared" si="8"/>
        <v>41.96932000000001</v>
      </c>
      <c r="R38" s="37">
        <f t="shared" si="8"/>
        <v>45.584354000000005</v>
      </c>
      <c r="S38" s="38">
        <v>40.698999999999998</v>
      </c>
      <c r="T38" s="38">
        <v>42.779000000000003</v>
      </c>
      <c r="U38" s="38">
        <v>43.615000000000002</v>
      </c>
      <c r="V38" s="38">
        <v>44.505000000000003</v>
      </c>
      <c r="W38" s="38">
        <v>46.314</v>
      </c>
      <c r="X38" s="38">
        <v>42.503</v>
      </c>
      <c r="Y38" s="38">
        <v>45.704999999999998</v>
      </c>
      <c r="Z38" s="38">
        <v>39.816000000000003</v>
      </c>
      <c r="AA38" s="38">
        <v>39.328000000000003</v>
      </c>
      <c r="AB38" s="38">
        <v>39.109000000000002</v>
      </c>
      <c r="AC38" s="38">
        <v>39.302</v>
      </c>
      <c r="AD38" s="38">
        <v>39.997999999999998</v>
      </c>
      <c r="AE38" s="38">
        <v>37.619999999999997</v>
      </c>
      <c r="AF38" s="38">
        <v>37.527999999999999</v>
      </c>
      <c r="AG38" s="38">
        <v>37.436</v>
      </c>
      <c r="AH38" s="38">
        <v>35.286999999999999</v>
      </c>
      <c r="AI38" s="38">
        <v>35.761000000000003</v>
      </c>
      <c r="AJ38" s="38">
        <v>33.731999999999999</v>
      </c>
      <c r="AK38" s="38">
        <v>34.744999999999997</v>
      </c>
      <c r="AL38" s="38">
        <v>35.716999999999999</v>
      </c>
      <c r="AM38" s="38">
        <v>35.182000000000002</v>
      </c>
      <c r="AN38" s="38">
        <v>34.630000000000003</v>
      </c>
      <c r="AO38" s="38">
        <v>35.47</v>
      </c>
      <c r="AP38" s="38">
        <v>46.854999999999997</v>
      </c>
      <c r="AQ38" s="38">
        <v>38.584000000000003</v>
      </c>
      <c r="AR38" s="38">
        <v>39.798000000000002</v>
      </c>
      <c r="AS38" s="38">
        <v>46.646000000000001</v>
      </c>
      <c r="AT38" s="38">
        <v>42.984000000000002</v>
      </c>
      <c r="AU38" s="38">
        <v>41.658000000000001</v>
      </c>
      <c r="AV38" s="38">
        <v>39.615000000000002</v>
      </c>
      <c r="AW38" s="38">
        <v>38.411000000000001</v>
      </c>
      <c r="AX38" s="38">
        <v>39.055</v>
      </c>
      <c r="AY38" s="38">
        <v>43.094000000000001</v>
      </c>
      <c r="AZ38" s="38">
        <v>40.097000000000001</v>
      </c>
      <c r="BA38" s="38">
        <v>40.389000000000003</v>
      </c>
      <c r="BB38" s="38">
        <v>40.390999999999998</v>
      </c>
      <c r="BC38" s="38">
        <v>41.917999999999999</v>
      </c>
      <c r="BD38" s="38">
        <v>42.695999999999998</v>
      </c>
      <c r="BE38" s="38">
        <v>44.543999999999997</v>
      </c>
      <c r="BF38" s="38">
        <v>52.99</v>
      </c>
      <c r="BG38" s="38">
        <v>59.045999999999999</v>
      </c>
      <c r="BH38" s="38">
        <v>53.293999999999997</v>
      </c>
      <c r="BI38" s="38">
        <v>57.631</v>
      </c>
      <c r="BJ38" s="38">
        <v>59.725999999999999</v>
      </c>
      <c r="BK38" s="38">
        <v>62.896999999999998</v>
      </c>
      <c r="BL38" s="38">
        <v>67.778000000000006</v>
      </c>
      <c r="BM38" s="38">
        <v>66.974000000000004</v>
      </c>
      <c r="BN38" s="38">
        <v>71.998000000000005</v>
      </c>
      <c r="BO38" s="38">
        <v>79.102000000000004</v>
      </c>
      <c r="BP38" s="38">
        <v>64.307000000000002</v>
      </c>
      <c r="BQ38" s="38">
        <v>64.162000000000006</v>
      </c>
      <c r="BR38" s="38">
        <v>66.599000000000004</v>
      </c>
      <c r="BS38" s="38">
        <v>73.721000000000004</v>
      </c>
      <c r="BT38" s="38">
        <v>73.856999999999999</v>
      </c>
      <c r="BU38" s="38">
        <v>79.435000000000002</v>
      </c>
      <c r="BV38" s="38">
        <v>88.466999999999999</v>
      </c>
      <c r="BW38" s="38">
        <v>89.647000000000006</v>
      </c>
      <c r="BX38" s="38">
        <v>94.599000000000004</v>
      </c>
    </row>
    <row r="39" spans="2:76">
      <c r="C39" s="9" t="s">
        <v>45</v>
      </c>
      <c r="D39" s="9" t="s">
        <v>44</v>
      </c>
      <c r="E39" s="12">
        <v>73596</v>
      </c>
      <c r="F39" s="12">
        <v>46144</v>
      </c>
      <c r="G39" s="12">
        <v>98340</v>
      </c>
      <c r="H39" s="12">
        <v>78457</v>
      </c>
      <c r="I39" s="12">
        <v>23458</v>
      </c>
      <c r="J39" s="12">
        <v>66884</v>
      </c>
      <c r="K39" s="12">
        <v>60226</v>
      </c>
      <c r="L39" s="12">
        <v>55102</v>
      </c>
      <c r="M39" s="12">
        <v>74475</v>
      </c>
      <c r="N39" s="12">
        <v>77787</v>
      </c>
      <c r="O39" s="12">
        <v>43562</v>
      </c>
      <c r="P39" s="12">
        <v>74948</v>
      </c>
      <c r="Q39" s="12">
        <v>64802</v>
      </c>
      <c r="R39" s="12">
        <v>36981</v>
      </c>
      <c r="S39" s="12">
        <v>116318</v>
      </c>
      <c r="T39" s="12">
        <v>62201</v>
      </c>
      <c r="U39" s="12">
        <v>55392</v>
      </c>
      <c r="V39" s="12">
        <v>59415</v>
      </c>
      <c r="W39" s="12">
        <v>38116</v>
      </c>
      <c r="X39" s="12">
        <v>61969</v>
      </c>
      <c r="Y39" s="12">
        <v>42231</v>
      </c>
      <c r="Z39" s="12">
        <v>92372</v>
      </c>
      <c r="AA39" s="12">
        <v>140006</v>
      </c>
      <c r="AB39" s="12">
        <v>153386</v>
      </c>
      <c r="AC39" s="12">
        <v>102067</v>
      </c>
      <c r="AD39" s="12">
        <v>40438</v>
      </c>
      <c r="AE39" s="12">
        <v>63239</v>
      </c>
      <c r="AF39" s="12">
        <v>60796</v>
      </c>
      <c r="AG39" s="12">
        <v>62181</v>
      </c>
      <c r="AH39" s="12">
        <v>96052</v>
      </c>
      <c r="AI39" s="12">
        <v>78389</v>
      </c>
      <c r="AJ39" s="12">
        <v>237578</v>
      </c>
      <c r="AK39" s="12">
        <v>144609</v>
      </c>
      <c r="AL39" s="12">
        <v>86613</v>
      </c>
      <c r="AM39" s="12">
        <v>114340</v>
      </c>
      <c r="AN39" s="12">
        <v>177651</v>
      </c>
      <c r="AO39" s="12">
        <v>108750</v>
      </c>
      <c r="AP39" s="12">
        <v>41466</v>
      </c>
      <c r="AQ39" s="12">
        <v>251451</v>
      </c>
      <c r="AR39" s="12">
        <v>143632</v>
      </c>
      <c r="AS39" s="12">
        <v>87089</v>
      </c>
      <c r="AT39" s="12">
        <v>190247</v>
      </c>
      <c r="AU39" s="12">
        <v>133432</v>
      </c>
      <c r="AV39" s="12">
        <v>200533</v>
      </c>
      <c r="AW39" s="12">
        <v>541290</v>
      </c>
      <c r="AX39" s="12">
        <v>477327</v>
      </c>
      <c r="AY39" s="12">
        <v>84852</v>
      </c>
      <c r="AZ39" s="12">
        <v>200247</v>
      </c>
      <c r="BA39" s="12">
        <v>217132</v>
      </c>
      <c r="BB39" s="12">
        <v>271750</v>
      </c>
      <c r="BC39" s="12">
        <v>231348</v>
      </c>
      <c r="BD39" s="12">
        <v>192814</v>
      </c>
      <c r="BE39" s="12">
        <v>901834</v>
      </c>
      <c r="BF39" s="12">
        <v>761780</v>
      </c>
      <c r="BG39" s="12">
        <v>948577</v>
      </c>
      <c r="BH39" s="12">
        <v>1202263</v>
      </c>
      <c r="BI39" s="12">
        <v>1406372</v>
      </c>
      <c r="BJ39" s="12">
        <v>482225</v>
      </c>
      <c r="BK39" s="12">
        <v>352223</v>
      </c>
      <c r="BL39" s="12">
        <v>163548</v>
      </c>
      <c r="BM39" s="12">
        <v>378336</v>
      </c>
      <c r="BN39" s="12">
        <v>75598</v>
      </c>
      <c r="BO39" s="12">
        <v>196490</v>
      </c>
      <c r="BP39" s="12">
        <v>671434</v>
      </c>
      <c r="BQ39" s="12">
        <v>930930</v>
      </c>
      <c r="BR39" s="12">
        <v>792661</v>
      </c>
      <c r="BS39" s="12">
        <v>860034</v>
      </c>
      <c r="BT39" s="12">
        <v>1378831</v>
      </c>
      <c r="BU39" s="12">
        <v>606565</v>
      </c>
      <c r="BV39" s="12">
        <v>559374</v>
      </c>
      <c r="BW39" s="12">
        <v>1798500</v>
      </c>
      <c r="BX39" s="12">
        <v>763982</v>
      </c>
    </row>
    <row r="40" spans="2:76">
      <c r="C40" s="9" t="s">
        <v>46</v>
      </c>
      <c r="D40" s="9" t="s">
        <v>44</v>
      </c>
      <c r="E40" s="15">
        <v>0.26469999999999999</v>
      </c>
      <c r="F40" s="15">
        <v>0.34560000000000002</v>
      </c>
      <c r="G40" s="15">
        <v>0.1421</v>
      </c>
      <c r="H40" s="15">
        <v>0.154</v>
      </c>
      <c r="I40" s="15">
        <v>4.7E-2</v>
      </c>
      <c r="J40" s="15">
        <v>0.1439</v>
      </c>
      <c r="K40" s="15">
        <v>0.1865</v>
      </c>
      <c r="L40" s="15">
        <v>0.161</v>
      </c>
      <c r="M40" s="15">
        <v>0.26319999999999999</v>
      </c>
      <c r="N40" s="15">
        <v>0.1464</v>
      </c>
      <c r="O40" s="15">
        <v>0.30170000000000002</v>
      </c>
      <c r="P40" s="15">
        <v>0.31489999999999996</v>
      </c>
      <c r="Q40" s="15">
        <v>0.3785</v>
      </c>
      <c r="R40" s="15">
        <v>0.62649999999999995</v>
      </c>
      <c r="S40" s="15">
        <v>0.32819999999999999</v>
      </c>
      <c r="T40" s="15">
        <v>0.25590000000000002</v>
      </c>
      <c r="U40" s="15">
        <v>0.18540000000000001</v>
      </c>
      <c r="V40" s="15">
        <v>0.2233</v>
      </c>
      <c r="W40" s="15">
        <v>0.23280000000000001</v>
      </c>
      <c r="X40" s="15">
        <v>0.1744</v>
      </c>
      <c r="Y40" s="15">
        <v>0.24540000000000001</v>
      </c>
      <c r="Z40" s="15">
        <v>0.17519999999999999</v>
      </c>
      <c r="AA40" s="15">
        <v>0.16250000000000001</v>
      </c>
      <c r="AB40" s="15">
        <v>0.1608</v>
      </c>
      <c r="AC40" s="15">
        <v>0.1736</v>
      </c>
      <c r="AD40" s="15">
        <v>0.20119999999999999</v>
      </c>
      <c r="AE40" s="15">
        <v>0.1673</v>
      </c>
      <c r="AF40" s="15">
        <v>0.16880000000000001</v>
      </c>
      <c r="AG40" s="15">
        <v>0.1434</v>
      </c>
      <c r="AH40" s="15">
        <v>0.14580000000000001</v>
      </c>
      <c r="AI40" s="15">
        <v>0.14419999999999999</v>
      </c>
      <c r="AJ40" s="15">
        <v>0.11070000000000001</v>
      </c>
      <c r="AK40" s="15">
        <v>0.13850000000000001</v>
      </c>
      <c r="AL40" s="15">
        <v>0.1484</v>
      </c>
      <c r="AM40" s="15">
        <v>0.1255</v>
      </c>
      <c r="AN40" s="15">
        <v>9.3200000000000005E-2</v>
      </c>
      <c r="AO40" s="15">
        <v>0.1119</v>
      </c>
      <c r="AP40" s="15">
        <v>0.21579999999999999</v>
      </c>
      <c r="AQ40" s="15">
        <v>0.11700000000000001</v>
      </c>
      <c r="AR40" s="15">
        <v>0.1313</v>
      </c>
      <c r="AS40" s="15">
        <v>0.18279999999999999</v>
      </c>
      <c r="AT40" s="15">
        <v>0.17299999999999999</v>
      </c>
      <c r="AU40" s="15">
        <v>0.1666</v>
      </c>
      <c r="AV40" s="15">
        <v>0.15770000000000001</v>
      </c>
      <c r="AW40" s="15">
        <v>0.13109999999999999</v>
      </c>
      <c r="AX40" s="15">
        <v>0.15079999999999999</v>
      </c>
      <c r="AY40" s="15">
        <v>0.18840000000000001</v>
      </c>
      <c r="AZ40" s="15">
        <v>0.1618</v>
      </c>
      <c r="BA40" s="15">
        <v>0.13950000000000001</v>
      </c>
      <c r="BB40" s="15">
        <v>0.13969999999999999</v>
      </c>
      <c r="BC40" s="15">
        <v>0.15529999999999999</v>
      </c>
      <c r="BD40" s="15">
        <v>0.16819999999999999</v>
      </c>
      <c r="BE40" s="15">
        <v>0.15529999999999999</v>
      </c>
      <c r="BF40" s="15">
        <v>0.1908</v>
      </c>
      <c r="BG40" s="15">
        <v>0.22439999999999999</v>
      </c>
      <c r="BH40" s="15">
        <v>0.19919999999999999</v>
      </c>
      <c r="BI40" s="15">
        <v>0.2167</v>
      </c>
      <c r="BJ40" s="15">
        <v>0.2334</v>
      </c>
      <c r="BK40" s="15">
        <v>0.23960000000000001</v>
      </c>
      <c r="BL40" s="15">
        <v>0.2772</v>
      </c>
      <c r="BM40" s="15">
        <v>0.25180000000000002</v>
      </c>
      <c r="BN40" s="15">
        <v>0.30459999999999998</v>
      </c>
      <c r="BO40" s="15">
        <v>0.3196</v>
      </c>
      <c r="BP40" s="15">
        <v>0.24030000000000001</v>
      </c>
      <c r="BQ40" s="15">
        <v>0.23350000000000001</v>
      </c>
      <c r="BR40" s="15">
        <v>0.23649999999999999</v>
      </c>
      <c r="BS40" s="15">
        <v>0.27950000000000003</v>
      </c>
      <c r="BT40" s="15">
        <v>0.26069999999999999</v>
      </c>
      <c r="BU40" s="15">
        <v>0.29899999999999999</v>
      </c>
      <c r="BV40" s="15">
        <v>0.32450000000000001</v>
      </c>
      <c r="BW40" s="15">
        <v>0.3029</v>
      </c>
      <c r="BX40" s="15">
        <v>0.3372</v>
      </c>
    </row>
    <row r="41" spans="2:76">
      <c r="C41" s="9" t="s">
        <v>47</v>
      </c>
      <c r="D41" s="9" t="s">
        <v>44</v>
      </c>
      <c r="E41" s="13"/>
      <c r="F41" s="13"/>
      <c r="G41" s="13">
        <v>6.3207000000000004</v>
      </c>
      <c r="H41" s="13">
        <v>7.3610000000000007</v>
      </c>
      <c r="I41" s="13">
        <v>6.2824</v>
      </c>
      <c r="J41" s="13">
        <v>6.0822000000000003</v>
      </c>
      <c r="K41" s="13">
        <v>6.3153999999999995</v>
      </c>
      <c r="L41" s="13">
        <v>6.9475999999999996</v>
      </c>
      <c r="M41" s="13">
        <v>6.9154</v>
      </c>
      <c r="N41" s="13">
        <v>8.7199000000000009</v>
      </c>
      <c r="O41" s="13">
        <v>8.9366000000000003</v>
      </c>
      <c r="P41" s="13">
        <v>8.7692999999999994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</row>
    <row r="42" spans="2:76">
      <c r="C42" s="9" t="s">
        <v>49</v>
      </c>
      <c r="D42" s="9" t="s">
        <v>44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>
        <v>40.06</v>
      </c>
      <c r="T42" s="13">
        <v>38.380000000000003</v>
      </c>
      <c r="U42" s="13">
        <v>34.49</v>
      </c>
      <c r="V42" s="13">
        <v>40.85</v>
      </c>
      <c r="W42" s="13">
        <v>41.88</v>
      </c>
      <c r="X42" s="13">
        <v>36.83</v>
      </c>
      <c r="Y42" s="13">
        <v>35.04</v>
      </c>
      <c r="Z42" s="13">
        <v>41.88</v>
      </c>
      <c r="AA42" s="13">
        <v>33.46</v>
      </c>
      <c r="AB42" s="13">
        <v>31.26</v>
      </c>
      <c r="AC42" s="13">
        <v>24.73</v>
      </c>
      <c r="AD42" s="13">
        <v>26.87</v>
      </c>
      <c r="AE42" s="13">
        <v>27.05</v>
      </c>
      <c r="AF42" s="13">
        <v>31.01</v>
      </c>
      <c r="AG42" s="13">
        <v>33.840000000000003</v>
      </c>
      <c r="AH42" s="13">
        <v>32.4</v>
      </c>
      <c r="AI42" s="13">
        <v>32.119999999999997</v>
      </c>
      <c r="AJ42" s="13">
        <v>32.93</v>
      </c>
      <c r="AK42" s="13">
        <v>35.1</v>
      </c>
      <c r="AL42" s="13">
        <v>40.26</v>
      </c>
      <c r="AM42" s="13">
        <v>39.69</v>
      </c>
      <c r="AN42" s="13">
        <v>37.72</v>
      </c>
      <c r="AO42" s="13">
        <v>37.299999999999997</v>
      </c>
      <c r="AP42" s="13">
        <v>40.25</v>
      </c>
      <c r="AQ42" s="13">
        <v>45.31</v>
      </c>
      <c r="AR42" s="13">
        <v>50.47</v>
      </c>
      <c r="AS42" s="13">
        <v>38.46</v>
      </c>
      <c r="AT42" s="13">
        <v>35.340000000000003</v>
      </c>
      <c r="AU42" s="13">
        <v>36.409999999999997</v>
      </c>
      <c r="AV42" s="13">
        <v>38.29</v>
      </c>
      <c r="AW42" s="13">
        <v>43.59</v>
      </c>
      <c r="AX42" s="13">
        <v>38.97</v>
      </c>
      <c r="AY42" s="13">
        <v>38.64</v>
      </c>
      <c r="AZ42" s="13">
        <v>41.15</v>
      </c>
      <c r="BA42" s="13">
        <v>43.78</v>
      </c>
      <c r="BB42" s="13">
        <v>43.8</v>
      </c>
      <c r="BC42" s="13">
        <v>49.53</v>
      </c>
      <c r="BD42" s="13">
        <v>50.58</v>
      </c>
      <c r="BE42" s="13">
        <v>56.8</v>
      </c>
      <c r="BF42" s="13">
        <v>62.91</v>
      </c>
      <c r="BG42" s="13">
        <v>52.84</v>
      </c>
      <c r="BH42" s="13">
        <v>57.46</v>
      </c>
      <c r="BI42" s="13">
        <v>58.18</v>
      </c>
      <c r="BJ42" s="13">
        <v>60.61</v>
      </c>
      <c r="BK42" s="13">
        <v>71.180000000000007</v>
      </c>
      <c r="BL42" s="13">
        <v>67.78</v>
      </c>
      <c r="BM42" s="13">
        <v>58.82</v>
      </c>
      <c r="BN42" s="13">
        <v>56.64</v>
      </c>
      <c r="BO42" s="13">
        <v>64.73</v>
      </c>
      <c r="BP42" s="13">
        <v>74.52</v>
      </c>
      <c r="BQ42" s="13">
        <v>79.44</v>
      </c>
      <c r="BR42" s="13">
        <v>74.47</v>
      </c>
      <c r="BS42" s="13">
        <v>74.63</v>
      </c>
      <c r="BT42" s="13">
        <v>79.48</v>
      </c>
      <c r="BU42" s="13">
        <v>89.86</v>
      </c>
      <c r="BV42" s="13">
        <v>94.37</v>
      </c>
      <c r="BW42" s="13">
        <v>102.92</v>
      </c>
      <c r="BX42" s="13">
        <v>83.67</v>
      </c>
    </row>
    <row r="43" spans="2:76"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</row>
    <row r="44" spans="2:76">
      <c r="B44" s="11" t="s">
        <v>51</v>
      </c>
      <c r="C44" s="9" t="s">
        <v>41</v>
      </c>
      <c r="D44" s="9" t="s">
        <v>42</v>
      </c>
      <c r="E44" s="12">
        <v>101244.81</v>
      </c>
      <c r="F44" s="12">
        <v>96357.25</v>
      </c>
      <c r="G44" s="12">
        <v>108717.11</v>
      </c>
      <c r="H44" s="12">
        <v>100123.23</v>
      </c>
      <c r="I44" s="12">
        <v>111462.96</v>
      </c>
      <c r="J44" s="12">
        <v>119606.58</v>
      </c>
      <c r="K44" s="12">
        <v>123821.96</v>
      </c>
      <c r="L44" s="12">
        <v>117641.67</v>
      </c>
      <c r="M44" s="12">
        <v>116477.44</v>
      </c>
      <c r="N44" s="12">
        <v>128096.61</v>
      </c>
      <c r="O44" s="12">
        <v>109533.21</v>
      </c>
      <c r="P44" s="12">
        <v>108941.86</v>
      </c>
      <c r="Q44" s="12">
        <v>115435</v>
      </c>
      <c r="R44" s="12">
        <v>99873</v>
      </c>
      <c r="S44" s="12">
        <v>115129</v>
      </c>
      <c r="T44" s="12">
        <v>104753</v>
      </c>
      <c r="U44" s="12">
        <v>115253</v>
      </c>
      <c r="V44" s="12">
        <v>127882</v>
      </c>
      <c r="W44" s="12">
        <v>138984</v>
      </c>
      <c r="X44" s="12">
        <v>137329</v>
      </c>
      <c r="Y44" s="12">
        <v>117449</v>
      </c>
      <c r="Z44" s="12">
        <v>114952</v>
      </c>
      <c r="AA44" s="12">
        <v>112289</v>
      </c>
      <c r="AB44" s="12">
        <v>110828</v>
      </c>
      <c r="AC44" s="12">
        <v>110686</v>
      </c>
      <c r="AD44" s="12">
        <v>94252</v>
      </c>
      <c r="AE44" s="12">
        <v>104847</v>
      </c>
      <c r="AF44" s="12">
        <v>108923</v>
      </c>
      <c r="AG44" s="12">
        <v>108770</v>
      </c>
      <c r="AH44" s="12">
        <v>110946</v>
      </c>
      <c r="AI44" s="12">
        <v>121826</v>
      </c>
      <c r="AJ44" s="12">
        <v>129284</v>
      </c>
      <c r="AK44" s="12">
        <v>116066</v>
      </c>
      <c r="AL44" s="12">
        <v>121704</v>
      </c>
      <c r="AM44" s="12">
        <v>112448</v>
      </c>
      <c r="AN44" s="12">
        <v>109732</v>
      </c>
      <c r="AO44" s="12">
        <v>114082</v>
      </c>
      <c r="AP44" s="12">
        <v>97733</v>
      </c>
      <c r="AQ44" s="12">
        <v>116445</v>
      </c>
      <c r="AR44" s="12">
        <v>110484</v>
      </c>
      <c r="AS44" s="12">
        <v>116570</v>
      </c>
      <c r="AT44" s="12">
        <v>122942</v>
      </c>
      <c r="AU44" s="12">
        <v>142446</v>
      </c>
      <c r="AV44" s="12">
        <v>135706</v>
      </c>
      <c r="AW44" s="12">
        <v>128114</v>
      </c>
      <c r="AX44" s="12">
        <v>134303</v>
      </c>
      <c r="AY44" s="12">
        <v>123112</v>
      </c>
      <c r="AZ44" s="12">
        <v>121009</v>
      </c>
      <c r="BA44" s="12">
        <v>116911</v>
      </c>
      <c r="BB44" s="12">
        <v>115998</v>
      </c>
      <c r="BC44" s="12">
        <v>115208</v>
      </c>
      <c r="BD44" s="12">
        <v>114327</v>
      </c>
      <c r="BE44" s="12">
        <v>122640</v>
      </c>
      <c r="BF44" s="12">
        <v>132893</v>
      </c>
      <c r="BG44" s="12">
        <v>140692</v>
      </c>
      <c r="BH44" s="12">
        <v>170938</v>
      </c>
      <c r="BI44" s="12">
        <v>133537</v>
      </c>
      <c r="BJ44" s="12">
        <v>132545</v>
      </c>
      <c r="BK44" s="12">
        <v>125047</v>
      </c>
      <c r="BL44" s="12">
        <v>125546</v>
      </c>
      <c r="BM44" s="12">
        <v>121545</v>
      </c>
      <c r="BN44" s="12">
        <v>108404</v>
      </c>
      <c r="BO44" s="12">
        <v>119205</v>
      </c>
      <c r="BP44" s="12">
        <v>118143</v>
      </c>
      <c r="BQ44" s="12">
        <v>137622</v>
      </c>
      <c r="BR44" s="12">
        <v>128494</v>
      </c>
      <c r="BS44" s="12">
        <v>135768</v>
      </c>
      <c r="BT44" s="12">
        <v>139732</v>
      </c>
      <c r="BU44" s="12">
        <v>134636</v>
      </c>
      <c r="BV44" s="12">
        <v>136369</v>
      </c>
      <c r="BW44" s="12">
        <v>127724</v>
      </c>
      <c r="BX44" s="12">
        <v>124955</v>
      </c>
    </row>
    <row r="45" spans="2:76">
      <c r="C45" s="9" t="s">
        <v>5</v>
      </c>
      <c r="D45" s="9" t="s">
        <v>44</v>
      </c>
      <c r="E45" s="13">
        <v>35.164200000000001</v>
      </c>
      <c r="F45" s="13">
        <v>35.712400000000002</v>
      </c>
      <c r="G45" s="13">
        <v>37.627200000000002</v>
      </c>
      <c r="H45" s="13">
        <v>39.384999999999998</v>
      </c>
      <c r="I45" s="13">
        <v>45.746600000000001</v>
      </c>
      <c r="J45" s="13">
        <v>41.3904</v>
      </c>
      <c r="K45" s="13">
        <v>35.655799999999999</v>
      </c>
      <c r="L45" s="13">
        <v>40.539499999999997</v>
      </c>
      <c r="M45" s="13">
        <v>43.070500000000003</v>
      </c>
      <c r="N45" s="13">
        <v>46.063600000000001</v>
      </c>
      <c r="O45" s="13">
        <v>51.706400000000002</v>
      </c>
      <c r="P45" s="13">
        <v>53.457500000000003</v>
      </c>
      <c r="Q45" s="13">
        <v>53.472000000000001</v>
      </c>
      <c r="R45" s="13">
        <v>47.49</v>
      </c>
      <c r="S45" s="13">
        <v>50.991999999999997</v>
      </c>
      <c r="T45" s="13">
        <v>42.783999999999999</v>
      </c>
      <c r="U45" s="13">
        <v>41.6</v>
      </c>
      <c r="V45" s="13">
        <v>41.656999999999996</v>
      </c>
      <c r="W45" s="13">
        <v>44.277000000000001</v>
      </c>
      <c r="X45" s="13">
        <v>43.207000000000001</v>
      </c>
      <c r="Y45" s="13">
        <v>38.359000000000002</v>
      </c>
      <c r="Z45" s="13">
        <v>39.145000000000003</v>
      </c>
      <c r="AA45" s="13">
        <v>44.204999999999998</v>
      </c>
      <c r="AB45" s="13">
        <v>37.368000000000002</v>
      </c>
      <c r="AC45" s="13">
        <v>34.289000000000001</v>
      </c>
      <c r="AD45" s="13">
        <v>29.664999999999999</v>
      </c>
      <c r="AE45" s="13">
        <v>27.443000000000001</v>
      </c>
      <c r="AF45" s="13">
        <v>28.884</v>
      </c>
      <c r="AG45" s="13">
        <v>33.941000000000003</v>
      </c>
      <c r="AH45" s="13">
        <v>35.262999999999998</v>
      </c>
      <c r="AI45" s="13">
        <v>34.232999999999997</v>
      </c>
      <c r="AJ45" s="13">
        <v>34.799999999999997</v>
      </c>
      <c r="AK45" s="13">
        <v>34.494999999999997</v>
      </c>
      <c r="AL45" s="13">
        <v>37.06</v>
      </c>
      <c r="AM45" s="13">
        <v>42.665999999999997</v>
      </c>
      <c r="AN45" s="13">
        <v>41.686999999999998</v>
      </c>
      <c r="AO45" s="13">
        <v>40.030999999999999</v>
      </c>
      <c r="AP45" s="13">
        <v>39.71</v>
      </c>
      <c r="AQ45" s="13">
        <v>42.585000000000001</v>
      </c>
      <c r="AR45" s="13">
        <v>45.765999999999998</v>
      </c>
      <c r="AS45" s="13">
        <v>51.734999999999999</v>
      </c>
      <c r="AT45" s="13">
        <v>41.542999999999999</v>
      </c>
      <c r="AU45" s="13">
        <v>37.270000000000003</v>
      </c>
      <c r="AV45" s="13">
        <v>38.896000000000001</v>
      </c>
      <c r="AW45" s="13">
        <v>41.298999999999999</v>
      </c>
      <c r="AX45" s="13">
        <v>45.055</v>
      </c>
      <c r="AY45" s="13">
        <v>41.244</v>
      </c>
      <c r="AZ45" s="13">
        <v>40.616</v>
      </c>
      <c r="BA45" s="13">
        <v>42.82</v>
      </c>
      <c r="BB45" s="13">
        <v>45.713999999999999</v>
      </c>
      <c r="BC45" s="13">
        <v>46.625</v>
      </c>
      <c r="BD45" s="13">
        <v>51.718000000000004</v>
      </c>
      <c r="BE45" s="13">
        <v>52.767000000000003</v>
      </c>
      <c r="BF45" s="13">
        <v>58.506</v>
      </c>
      <c r="BG45" s="13">
        <v>64.361000000000004</v>
      </c>
      <c r="BH45" s="13">
        <v>55.619</v>
      </c>
      <c r="BI45" s="13">
        <v>59.222000000000001</v>
      </c>
      <c r="BJ45" s="13">
        <v>60.720999999999997</v>
      </c>
      <c r="BK45" s="13">
        <v>63.970999999999997</v>
      </c>
      <c r="BL45" s="13">
        <v>72.129000000000005</v>
      </c>
      <c r="BM45" s="13">
        <v>69.251999999999995</v>
      </c>
      <c r="BN45" s="13">
        <v>61.828000000000003</v>
      </c>
      <c r="BO45" s="13">
        <v>61.024000000000001</v>
      </c>
      <c r="BP45" s="13">
        <v>66.998999999999995</v>
      </c>
      <c r="BQ45" s="13">
        <v>74.858000000000004</v>
      </c>
      <c r="BR45" s="13">
        <v>81.326999999999998</v>
      </c>
      <c r="BS45" s="13">
        <v>77.204999999999998</v>
      </c>
      <c r="BT45" s="13">
        <v>78.042000000000002</v>
      </c>
      <c r="BU45" s="13">
        <v>81.506</v>
      </c>
      <c r="BV45" s="13">
        <v>92.441000000000003</v>
      </c>
      <c r="BW45" s="13">
        <v>97.083938805549465</v>
      </c>
      <c r="BX45" s="13">
        <v>102.23399999999999</v>
      </c>
    </row>
    <row r="46" spans="2:76">
      <c r="C46" s="9" t="s">
        <v>45</v>
      </c>
      <c r="D46" s="9" t="s">
        <v>44</v>
      </c>
      <c r="E46" s="12">
        <v>3560192.75</v>
      </c>
      <c r="F46" s="12">
        <v>3441148.65</v>
      </c>
      <c r="G46" s="12">
        <v>4090720.44</v>
      </c>
      <c r="H46" s="12">
        <v>3943353.41</v>
      </c>
      <c r="I46" s="12">
        <v>5099051.45</v>
      </c>
      <c r="J46" s="12">
        <v>4950564.1900000004</v>
      </c>
      <c r="K46" s="12">
        <v>4414971.04</v>
      </c>
      <c r="L46" s="12">
        <v>4769134.4800000004</v>
      </c>
      <c r="M46" s="12">
        <v>5016741.58</v>
      </c>
      <c r="N46" s="12">
        <v>5900591</v>
      </c>
      <c r="O46" s="12">
        <v>5663567.9699999997</v>
      </c>
      <c r="P46" s="12">
        <v>5823759.4800000004</v>
      </c>
      <c r="Q46" s="12">
        <v>6172566</v>
      </c>
      <c r="R46" s="12">
        <v>4743003</v>
      </c>
      <c r="S46" s="12">
        <v>5870588</v>
      </c>
      <c r="T46" s="12">
        <v>4481792</v>
      </c>
      <c r="U46" s="12">
        <v>4794558</v>
      </c>
      <c r="V46" s="12">
        <v>5327170</v>
      </c>
      <c r="W46" s="12">
        <v>6153786</v>
      </c>
      <c r="X46" s="12">
        <v>5933529</v>
      </c>
      <c r="Y46" s="12">
        <v>4505177</v>
      </c>
      <c r="Z46" s="12">
        <v>4499780</v>
      </c>
      <c r="AA46" s="12">
        <v>4963792</v>
      </c>
      <c r="AB46" s="12">
        <v>4141362</v>
      </c>
      <c r="AC46" s="12">
        <v>3795352</v>
      </c>
      <c r="AD46" s="12">
        <v>2795954</v>
      </c>
      <c r="AE46" s="12">
        <v>2877338</v>
      </c>
      <c r="AF46" s="12">
        <v>3146071</v>
      </c>
      <c r="AG46" s="12">
        <v>3691749</v>
      </c>
      <c r="AH46" s="12">
        <v>3912308</v>
      </c>
      <c r="AI46" s="12">
        <v>4170495</v>
      </c>
      <c r="AJ46" s="12">
        <v>449083</v>
      </c>
      <c r="AK46" s="12">
        <v>4003721</v>
      </c>
      <c r="AL46" s="12">
        <v>4510382</v>
      </c>
      <c r="AM46" s="12">
        <v>4797710</v>
      </c>
      <c r="AN46" s="12">
        <v>4574352</v>
      </c>
      <c r="AO46" s="12">
        <v>4566836</v>
      </c>
      <c r="AP46" s="12">
        <v>3880929</v>
      </c>
      <c r="AQ46" s="12">
        <v>4958843</v>
      </c>
      <c r="AR46" s="12">
        <v>5056369</v>
      </c>
      <c r="AS46" s="12">
        <v>6030729</v>
      </c>
      <c r="AT46" s="12">
        <v>5107340</v>
      </c>
      <c r="AU46" s="12">
        <v>5308967</v>
      </c>
      <c r="AV46" s="12">
        <v>5278400</v>
      </c>
      <c r="AW46" s="12">
        <v>5290959</v>
      </c>
      <c r="AX46" s="12">
        <v>6050980</v>
      </c>
      <c r="AY46" s="12">
        <v>5077690</v>
      </c>
      <c r="AZ46" s="12">
        <v>4914855</v>
      </c>
      <c r="BA46" s="12">
        <v>5006083</v>
      </c>
      <c r="BB46" s="12">
        <v>5302759</v>
      </c>
      <c r="BC46" s="12">
        <v>5371616</v>
      </c>
      <c r="BD46" s="12">
        <v>5912704</v>
      </c>
      <c r="BE46" s="12">
        <v>6471341</v>
      </c>
      <c r="BF46" s="12">
        <v>7775015</v>
      </c>
      <c r="BG46" s="12">
        <v>9055113</v>
      </c>
      <c r="BH46" s="12">
        <v>7838901</v>
      </c>
      <c r="BI46" s="12">
        <v>7908316</v>
      </c>
      <c r="BJ46" s="12">
        <v>8048269</v>
      </c>
      <c r="BK46" s="12">
        <v>7999406</v>
      </c>
      <c r="BL46" s="12">
        <v>9055498</v>
      </c>
      <c r="BM46" s="12">
        <v>8417217</v>
      </c>
      <c r="BN46" s="12">
        <v>6702390</v>
      </c>
      <c r="BO46" s="12">
        <v>7274364</v>
      </c>
      <c r="BP46" s="12">
        <v>7915483</v>
      </c>
      <c r="BQ46" s="12">
        <v>10302130</v>
      </c>
      <c r="BR46" s="12">
        <v>10450117</v>
      </c>
      <c r="BS46" s="12">
        <v>10482011</v>
      </c>
      <c r="BT46" s="12">
        <v>10905041</v>
      </c>
      <c r="BU46" s="12">
        <v>10973715</v>
      </c>
      <c r="BV46" s="12">
        <v>12606148</v>
      </c>
      <c r="BW46" s="12">
        <v>12399949</v>
      </c>
      <c r="BX46" s="12">
        <v>12774663</v>
      </c>
    </row>
    <row r="47" spans="2:76">
      <c r="C47" s="9" t="s">
        <v>46</v>
      </c>
      <c r="D47" s="9" t="s">
        <v>44</v>
      </c>
      <c r="E47" s="14">
        <v>5.3650000000000003E-2</v>
      </c>
      <c r="F47" s="14">
        <v>0.54403000000000001</v>
      </c>
      <c r="G47" s="14">
        <v>5.8754000000000001E-2</v>
      </c>
      <c r="H47" s="14">
        <v>6.0184000000000001E-2</v>
      </c>
      <c r="I47" s="14">
        <v>7.4285000000000004E-2</v>
      </c>
      <c r="J47" s="14">
        <v>7.1794999999999998E-2</v>
      </c>
      <c r="K47" s="14">
        <v>6.2377000000000002E-2</v>
      </c>
      <c r="L47" s="14">
        <v>6.4479999999999996E-2</v>
      </c>
      <c r="M47" s="14">
        <v>6.8649000000000002E-2</v>
      </c>
      <c r="N47" s="14">
        <v>7.3630000000000001E-2</v>
      </c>
      <c r="O47" s="14">
        <v>8.1642000000000006E-2</v>
      </c>
      <c r="P47" s="14">
        <v>8.3070000000000005E-2</v>
      </c>
      <c r="Q47" s="14">
        <v>8.43E-2</v>
      </c>
      <c r="R47" s="14">
        <v>7.4700000000000003E-2</v>
      </c>
      <c r="S47" s="14">
        <v>8.5000000000000006E-2</v>
      </c>
      <c r="T47" s="14">
        <v>6.6199999999999995E-2</v>
      </c>
      <c r="U47" s="14">
        <v>6.5100000000000005E-2</v>
      </c>
      <c r="V47" s="14">
        <v>6.6400000000000001E-2</v>
      </c>
      <c r="W47" s="14">
        <v>7.0699999999999999E-2</v>
      </c>
      <c r="X47" s="14">
        <v>6.9699999999999998E-2</v>
      </c>
      <c r="Y47" s="14">
        <v>6.0499999999999998E-2</v>
      </c>
      <c r="Z47" s="14">
        <v>6.1400000000000003E-2</v>
      </c>
      <c r="AA47" s="14">
        <v>6.9199999999999998E-2</v>
      </c>
      <c r="AB47" s="14">
        <v>5.8400000000000001E-2</v>
      </c>
      <c r="AC47" s="14">
        <v>5.3999999999999999E-2</v>
      </c>
      <c r="AD47" s="14">
        <v>4.5699999999999998E-2</v>
      </c>
      <c r="AE47" s="14">
        <v>4.19E-2</v>
      </c>
      <c r="AF47" s="14">
        <v>4.4699999999999997E-2</v>
      </c>
      <c r="AG47" s="14">
        <v>5.1900000000000002E-2</v>
      </c>
      <c r="AH47" s="14">
        <v>5.45E-2</v>
      </c>
      <c r="AI47" s="14">
        <v>5.3699999999999998E-2</v>
      </c>
      <c r="AJ47" s="14">
        <v>5.4699999999999999E-2</v>
      </c>
      <c r="AK47" s="14">
        <v>5.3499999999999999E-2</v>
      </c>
      <c r="AL47" s="14">
        <v>5.8000000000000003E-2</v>
      </c>
      <c r="AM47" s="14">
        <v>6.5799999999999997E-2</v>
      </c>
      <c r="AN47" s="14">
        <v>6.3600000000000004E-2</v>
      </c>
      <c r="AO47" s="14">
        <v>6.13E-2</v>
      </c>
      <c r="AP47" s="14">
        <v>6.13E-2</v>
      </c>
      <c r="AQ47" s="14">
        <v>6.6199999999999995E-2</v>
      </c>
      <c r="AR47" s="14">
        <v>7.0400000000000004E-2</v>
      </c>
      <c r="AS47" s="14">
        <v>8.0299999999999996E-2</v>
      </c>
      <c r="AT47" s="14">
        <v>6.5799999999999997E-2</v>
      </c>
      <c r="AU47" s="14">
        <v>5.8599999999999999E-2</v>
      </c>
      <c r="AV47" s="14">
        <v>6.1699999999999998E-2</v>
      </c>
      <c r="AW47" s="14">
        <v>6.5600000000000006E-2</v>
      </c>
      <c r="AX47" s="14">
        <v>7.1199999999999999E-2</v>
      </c>
      <c r="AY47" s="14">
        <v>6.4000000000000001E-2</v>
      </c>
      <c r="AZ47" s="14">
        <v>6.25E-2</v>
      </c>
      <c r="BA47" s="14">
        <v>6.5799999999999997E-2</v>
      </c>
      <c r="BB47" s="14">
        <v>7.1099999999999997E-2</v>
      </c>
      <c r="BC47" s="14">
        <v>7.1999999999999995E-2</v>
      </c>
      <c r="BD47" s="14">
        <v>8.0399999999999999E-2</v>
      </c>
      <c r="BE47" s="14">
        <v>8.4000000000000005E-2</v>
      </c>
      <c r="BF47" s="14">
        <v>9.0499999999999997E-2</v>
      </c>
      <c r="BG47" s="14">
        <v>0.10059999999999999</v>
      </c>
      <c r="BH47" s="14">
        <v>8.6900000000000005E-2</v>
      </c>
      <c r="BI47" s="14">
        <v>9.3299999999999994E-2</v>
      </c>
      <c r="BJ47" s="14">
        <v>9.64E-2</v>
      </c>
      <c r="BK47" s="14">
        <v>0.1013</v>
      </c>
      <c r="BL47" s="14">
        <v>0.1133</v>
      </c>
      <c r="BM47" s="14">
        <v>0.10829999999999999</v>
      </c>
      <c r="BN47" s="14">
        <v>9.74E-2</v>
      </c>
      <c r="BO47" s="14">
        <v>9.5399999999999999E-2</v>
      </c>
      <c r="BP47" s="14">
        <v>0.10489999999999999</v>
      </c>
      <c r="BQ47" s="14">
        <v>0.1207</v>
      </c>
      <c r="BR47" s="14">
        <v>0.1283</v>
      </c>
      <c r="BS47" s="14">
        <v>0.12189999999999999</v>
      </c>
      <c r="BT47" s="14">
        <v>0.1241</v>
      </c>
      <c r="BU47" s="14">
        <v>0.12920000000000001</v>
      </c>
      <c r="BV47" s="14">
        <v>0.1459</v>
      </c>
      <c r="BW47" s="14">
        <v>0.15671743616297518</v>
      </c>
      <c r="BX47" s="14">
        <v>0.1595</v>
      </c>
    </row>
    <row r="48" spans="2:76">
      <c r="C48" s="9" t="s">
        <v>52</v>
      </c>
      <c r="D48" s="9" t="s">
        <v>44</v>
      </c>
      <c r="E48" s="17">
        <v>35.712400000000002</v>
      </c>
      <c r="F48" s="17">
        <v>37.627200000000002</v>
      </c>
      <c r="G48" s="17">
        <v>39.384999999999998</v>
      </c>
      <c r="H48" s="17">
        <v>45.746600000000001</v>
      </c>
      <c r="I48" s="17">
        <v>41.3904</v>
      </c>
      <c r="J48" s="17">
        <v>35.655799999999999</v>
      </c>
      <c r="K48" s="17">
        <v>40.539499999999997</v>
      </c>
      <c r="L48" s="17">
        <v>43.070500000000003</v>
      </c>
      <c r="M48" s="17">
        <v>46.063600000000001</v>
      </c>
      <c r="N48" s="17">
        <v>51.706400000000002</v>
      </c>
      <c r="O48" s="17">
        <v>53.457500000000003</v>
      </c>
      <c r="P48" s="17">
        <v>53.472099999999998</v>
      </c>
      <c r="Q48" s="17">
        <v>47.79</v>
      </c>
      <c r="R48" s="17">
        <v>50.99</v>
      </c>
      <c r="S48" s="17">
        <v>42.78</v>
      </c>
      <c r="T48" s="17">
        <v>41.51</v>
      </c>
      <c r="U48" s="17">
        <v>41.66</v>
      </c>
      <c r="V48" s="17">
        <v>44.28</v>
      </c>
      <c r="W48" s="17">
        <v>43.2</v>
      </c>
      <c r="X48" s="17">
        <v>38.36</v>
      </c>
      <c r="Y48" s="17">
        <v>39.14</v>
      </c>
      <c r="Z48" s="17">
        <v>44.2</v>
      </c>
      <c r="AA48" s="17">
        <v>37.36</v>
      </c>
      <c r="AB48" s="17">
        <v>34.29</v>
      </c>
      <c r="AC48" s="17">
        <v>29.66</v>
      </c>
      <c r="AD48" s="17">
        <v>27.44</v>
      </c>
      <c r="AE48" s="17">
        <v>28.88</v>
      </c>
      <c r="AF48" s="17">
        <v>33.94</v>
      </c>
      <c r="AG48" s="17">
        <v>35.26</v>
      </c>
      <c r="AH48" s="17">
        <v>34.229999999999997</v>
      </c>
      <c r="AI48" s="17">
        <v>34.69</v>
      </c>
      <c r="AJ48" s="17">
        <v>34.5</v>
      </c>
      <c r="AK48" s="17">
        <v>37.06</v>
      </c>
      <c r="AL48" s="17">
        <v>42.67</v>
      </c>
      <c r="AM48" s="17">
        <v>41.68</v>
      </c>
      <c r="AN48" s="17">
        <v>40.03</v>
      </c>
      <c r="AO48" s="17">
        <v>39.71</v>
      </c>
      <c r="AP48" s="17">
        <v>42.59</v>
      </c>
      <c r="AQ48" s="17">
        <v>45.77</v>
      </c>
      <c r="AR48" s="17">
        <v>51.73</v>
      </c>
      <c r="AS48" s="17">
        <v>41.54</v>
      </c>
      <c r="AT48" s="17">
        <v>37.270000000000003</v>
      </c>
      <c r="AU48" s="17">
        <v>38.9</v>
      </c>
      <c r="AV48" s="17">
        <v>41.3</v>
      </c>
      <c r="AW48" s="17">
        <v>45.05</v>
      </c>
      <c r="AX48" s="17">
        <v>41.24</v>
      </c>
      <c r="AY48" s="17">
        <v>40.619999999999997</v>
      </c>
      <c r="AZ48" s="17">
        <v>42.81</v>
      </c>
      <c r="BA48" s="17">
        <v>45.71</v>
      </c>
      <c r="BB48" s="17">
        <v>46.63</v>
      </c>
      <c r="BC48" s="17">
        <v>51.72</v>
      </c>
      <c r="BD48" s="17">
        <v>52.77</v>
      </c>
      <c r="BE48" s="17">
        <v>58.51</v>
      </c>
      <c r="BF48" s="17">
        <v>64.36</v>
      </c>
      <c r="BG48" s="17">
        <v>55.62</v>
      </c>
      <c r="BH48" s="17">
        <v>59.22</v>
      </c>
      <c r="BI48" s="17">
        <v>60.72</v>
      </c>
      <c r="BJ48" s="17">
        <v>63.97</v>
      </c>
      <c r="BK48" s="17">
        <v>72.13</v>
      </c>
      <c r="BL48" s="17">
        <v>69.25</v>
      </c>
      <c r="BM48" s="17">
        <v>61.83</v>
      </c>
      <c r="BN48" s="17">
        <v>61.02</v>
      </c>
      <c r="BO48" s="17">
        <v>67</v>
      </c>
      <c r="BP48" s="17">
        <v>74.86</v>
      </c>
      <c r="BQ48" s="17">
        <v>81.33</v>
      </c>
      <c r="BR48" s="17">
        <v>77.209999999999994</v>
      </c>
      <c r="BS48" s="17">
        <v>78.040000000000006</v>
      </c>
      <c r="BT48" s="17">
        <v>81.510000000000005</v>
      </c>
      <c r="BU48" s="17">
        <v>92.44</v>
      </c>
      <c r="BV48" s="17">
        <v>97.09</v>
      </c>
      <c r="BW48" s="17">
        <v>102.23</v>
      </c>
      <c r="BX48" s="17">
        <v>86.13</v>
      </c>
    </row>
    <row r="49" spans="2:76"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</row>
    <row r="50" spans="2:76">
      <c r="B50" s="11" t="s">
        <v>60</v>
      </c>
      <c r="C50" s="9" t="s">
        <v>41</v>
      </c>
      <c r="D50" s="9" t="s">
        <v>42</v>
      </c>
      <c r="E50" s="12">
        <v>3869.33</v>
      </c>
      <c r="F50" s="12">
        <v>3869.5</v>
      </c>
      <c r="G50" s="12">
        <v>4006.55</v>
      </c>
      <c r="H50" s="12">
        <v>3768.17</v>
      </c>
      <c r="I50" s="12">
        <v>4079.52</v>
      </c>
      <c r="J50" s="12">
        <v>3911.55</v>
      </c>
      <c r="K50" s="12">
        <v>4213.74</v>
      </c>
      <c r="L50" s="12">
        <v>4354.05</v>
      </c>
      <c r="M50" s="12">
        <v>4090.81</v>
      </c>
      <c r="N50" s="12">
        <v>4218.93</v>
      </c>
      <c r="O50" s="12">
        <v>3925.4</v>
      </c>
      <c r="P50" s="12">
        <v>4006</v>
      </c>
      <c r="Q50" s="12">
        <v>3974</v>
      </c>
      <c r="R50" s="12">
        <v>3665</v>
      </c>
      <c r="S50" s="12">
        <v>4071</v>
      </c>
      <c r="T50" s="12">
        <v>3912</v>
      </c>
      <c r="U50" s="12">
        <v>4090</v>
      </c>
      <c r="V50" s="12">
        <v>3963</v>
      </c>
      <c r="W50" s="12">
        <v>4666</v>
      </c>
      <c r="X50" s="12">
        <v>4528</v>
      </c>
      <c r="Y50" s="12">
        <v>4206</v>
      </c>
      <c r="Z50" s="12">
        <v>4016</v>
      </c>
      <c r="AA50" s="12">
        <v>3977</v>
      </c>
      <c r="AB50" s="12">
        <v>3921</v>
      </c>
      <c r="AC50" s="12">
        <v>3978</v>
      </c>
      <c r="AD50" s="12">
        <v>3537</v>
      </c>
      <c r="AE50" s="12">
        <v>3871</v>
      </c>
      <c r="AF50" s="12">
        <v>3851</v>
      </c>
      <c r="AG50" s="12">
        <v>4072</v>
      </c>
      <c r="AH50" s="12">
        <v>3995</v>
      </c>
      <c r="AI50" s="12">
        <v>4233</v>
      </c>
      <c r="AJ50" s="12">
        <v>4482</v>
      </c>
      <c r="AK50" s="12">
        <v>3998</v>
      </c>
      <c r="AL50" s="12">
        <v>4042</v>
      </c>
      <c r="AM50" s="12">
        <v>3972</v>
      </c>
      <c r="AN50" s="12">
        <v>4268</v>
      </c>
      <c r="AO50" s="12">
        <v>4047</v>
      </c>
      <c r="AP50" s="12">
        <v>3495</v>
      </c>
      <c r="AQ50" s="12">
        <v>4086</v>
      </c>
      <c r="AR50" s="12">
        <v>3904</v>
      </c>
      <c r="AS50" s="12">
        <v>4189</v>
      </c>
      <c r="AT50" s="12">
        <v>4153</v>
      </c>
      <c r="AU50" s="12">
        <v>4373</v>
      </c>
      <c r="AV50" s="12">
        <v>4441</v>
      </c>
      <c r="AW50" s="12">
        <v>4346</v>
      </c>
      <c r="AX50" s="12">
        <v>4263</v>
      </c>
      <c r="AY50" s="12">
        <v>4165</v>
      </c>
      <c r="AZ50" s="12">
        <v>4427</v>
      </c>
      <c r="BA50" s="12">
        <v>3846</v>
      </c>
      <c r="BB50" s="12">
        <v>4007</v>
      </c>
      <c r="BC50" s="12">
        <v>4005</v>
      </c>
      <c r="BD50" s="12">
        <v>4008</v>
      </c>
      <c r="BE50" s="12">
        <v>4239</v>
      </c>
      <c r="BF50" s="12">
        <v>4168</v>
      </c>
      <c r="BG50" s="12">
        <v>4326</v>
      </c>
      <c r="BH50" s="12">
        <v>4399</v>
      </c>
      <c r="BI50" s="12">
        <v>4251</v>
      </c>
      <c r="BJ50" s="12">
        <v>4400</v>
      </c>
      <c r="BK50" s="12">
        <v>4143</v>
      </c>
      <c r="BL50" s="12">
        <v>4167</v>
      </c>
      <c r="BM50" s="12">
        <v>4056</v>
      </c>
      <c r="BN50" s="12">
        <v>3885</v>
      </c>
      <c r="BO50" s="12">
        <v>4198</v>
      </c>
      <c r="BP50" s="12">
        <v>4122</v>
      </c>
      <c r="BQ50" s="12">
        <v>4418</v>
      </c>
      <c r="BR50" s="12">
        <v>4350</v>
      </c>
      <c r="BS50" s="12">
        <v>4437</v>
      </c>
      <c r="BT50" s="12">
        <v>4346</v>
      </c>
      <c r="BU50" s="12">
        <v>4440</v>
      </c>
      <c r="BV50" s="12">
        <v>4417</v>
      </c>
      <c r="BW50" s="12">
        <v>4354</v>
      </c>
      <c r="BX50" s="12">
        <v>4605</v>
      </c>
    </row>
    <row r="51" spans="2:76">
      <c r="C51" s="9" t="s">
        <v>5</v>
      </c>
      <c r="D51" s="9" t="s">
        <v>44</v>
      </c>
      <c r="E51" s="13">
        <v>43.7545</v>
      </c>
      <c r="F51" s="13">
        <v>44.564500000000002</v>
      </c>
      <c r="G51" s="13">
        <v>45.841500000000003</v>
      </c>
      <c r="H51" s="13">
        <v>46.910699999999999</v>
      </c>
      <c r="I51" s="13">
        <v>47.376300000000001</v>
      </c>
      <c r="J51" s="13">
        <v>51.437899999999999</v>
      </c>
      <c r="K51" s="13">
        <v>50.686199999999999</v>
      </c>
      <c r="L51" s="13">
        <v>55.738199999999999</v>
      </c>
      <c r="M51" s="13">
        <v>61.512599999999999</v>
      </c>
      <c r="N51" s="13">
        <v>63.941800000000001</v>
      </c>
      <c r="O51" s="13">
        <v>64.254300000000001</v>
      </c>
      <c r="P51" s="13">
        <v>68.261499999999998</v>
      </c>
      <c r="Q51" s="13">
        <v>67.653999999999996</v>
      </c>
      <c r="R51" s="13">
        <v>67.125</v>
      </c>
      <c r="S51" s="13">
        <v>67.215000000000003</v>
      </c>
      <c r="T51" s="13">
        <v>67.210999999999999</v>
      </c>
      <c r="U51" s="13">
        <v>67.234999999999999</v>
      </c>
      <c r="V51" s="13">
        <v>65.924000000000007</v>
      </c>
      <c r="W51" s="13">
        <v>66.611999999999995</v>
      </c>
      <c r="X51" s="13">
        <v>66.771000000000001</v>
      </c>
      <c r="Y51" s="13">
        <v>61.756999999999998</v>
      </c>
      <c r="Z51" s="13">
        <v>61.558</v>
      </c>
      <c r="AA51" s="13">
        <v>61.55</v>
      </c>
      <c r="AB51" s="13">
        <v>61.558</v>
      </c>
      <c r="AC51" s="13">
        <v>60.783999999999999</v>
      </c>
      <c r="AD51" s="13">
        <v>57.795999999999999</v>
      </c>
      <c r="AE51" s="13">
        <v>55.576000000000001</v>
      </c>
      <c r="AF51" s="13">
        <v>54.250999999999998</v>
      </c>
      <c r="AG51" s="13">
        <v>54.555999999999997</v>
      </c>
      <c r="AH51" s="13">
        <v>54.975999999999999</v>
      </c>
      <c r="AI51" s="13">
        <v>54.021000000000001</v>
      </c>
      <c r="AJ51" s="13">
        <v>54.758000000000003</v>
      </c>
      <c r="AK51" s="13">
        <v>54.472999999999999</v>
      </c>
      <c r="AL51" s="13">
        <v>54.412999999999997</v>
      </c>
      <c r="AM51" s="13">
        <v>55.48</v>
      </c>
      <c r="AN51" s="13">
        <v>56.274000000000001</v>
      </c>
      <c r="AO51" s="13">
        <v>56.515000000000001</v>
      </c>
      <c r="AP51" s="13">
        <v>56.375</v>
      </c>
      <c r="AQ51" s="13">
        <v>56.826999999999998</v>
      </c>
      <c r="AR51" s="13">
        <v>60.496000000000002</v>
      </c>
      <c r="AS51" s="13">
        <v>64.040999999999997</v>
      </c>
      <c r="AT51" s="13">
        <v>64.372</v>
      </c>
      <c r="AU51" s="13">
        <v>64.63</v>
      </c>
      <c r="AV51" s="13">
        <v>64.543000000000006</v>
      </c>
      <c r="AW51" s="13">
        <v>64.831999999999994</v>
      </c>
      <c r="AX51" s="13">
        <v>65.38</v>
      </c>
      <c r="AY51" s="13">
        <v>64.983999999999995</v>
      </c>
      <c r="AZ51" s="13">
        <v>64.686000000000007</v>
      </c>
      <c r="BA51" s="13">
        <v>64.664000000000001</v>
      </c>
      <c r="BB51" s="13">
        <v>64.494</v>
      </c>
      <c r="BC51" s="13">
        <v>64.933999999999997</v>
      </c>
      <c r="BD51" s="13">
        <v>64.911000000000001</v>
      </c>
      <c r="BE51" s="13">
        <v>66.650000000000006</v>
      </c>
      <c r="BF51" s="13">
        <v>68.855000000000004</v>
      </c>
      <c r="BG51" s="13">
        <v>70.135999999999996</v>
      </c>
      <c r="BH51" s="13">
        <v>70.424999999999997</v>
      </c>
      <c r="BI51" s="13">
        <v>72.81</v>
      </c>
      <c r="BJ51" s="13">
        <v>75.234999999999999</v>
      </c>
      <c r="BK51" s="13">
        <v>75.414000000000001</v>
      </c>
      <c r="BL51" s="13">
        <v>82.878</v>
      </c>
      <c r="BM51" s="13">
        <v>84.352000000000004</v>
      </c>
      <c r="BN51" s="13">
        <v>86.33</v>
      </c>
      <c r="BO51" s="13">
        <v>84.947999999999993</v>
      </c>
      <c r="BP51" s="13">
        <v>85.084999999999994</v>
      </c>
      <c r="BQ51" s="13">
        <v>89.558999999999997</v>
      </c>
      <c r="BR51" s="13">
        <v>90.628</v>
      </c>
      <c r="BS51" s="13">
        <v>90.850999999999999</v>
      </c>
      <c r="BT51" s="13">
        <v>92.938999999999993</v>
      </c>
      <c r="BU51" s="13">
        <v>98.284000000000006</v>
      </c>
      <c r="BV51" s="13">
        <v>106.512</v>
      </c>
      <c r="BW51" s="13">
        <v>116.37184198438217</v>
      </c>
      <c r="BX51" s="13">
        <v>116.298</v>
      </c>
    </row>
    <row r="52" spans="2:76">
      <c r="C52" s="9" t="s">
        <v>45</v>
      </c>
      <c r="D52" s="9" t="s">
        <v>44</v>
      </c>
      <c r="E52" s="12">
        <v>169300.6</v>
      </c>
      <c r="F52" s="12">
        <v>172442.44</v>
      </c>
      <c r="G52" s="12">
        <v>183666.19</v>
      </c>
      <c r="H52" s="12">
        <v>176767.46</v>
      </c>
      <c r="I52" s="12">
        <v>193272.61</v>
      </c>
      <c r="J52" s="12">
        <v>201201.92000000001</v>
      </c>
      <c r="K52" s="12">
        <v>213578.47</v>
      </c>
      <c r="L52" s="12">
        <v>242686.91</v>
      </c>
      <c r="M52" s="12">
        <v>251636.36</v>
      </c>
      <c r="N52" s="12">
        <v>269765.98</v>
      </c>
      <c r="O52" s="12">
        <v>252223.83</v>
      </c>
      <c r="P52" s="12">
        <v>273455.57</v>
      </c>
      <c r="Q52" s="12">
        <v>268858</v>
      </c>
      <c r="R52" s="12">
        <v>246041</v>
      </c>
      <c r="S52" s="12">
        <v>273600</v>
      </c>
      <c r="T52" s="12">
        <v>262960</v>
      </c>
      <c r="U52" s="12">
        <v>274985</v>
      </c>
      <c r="V52" s="12">
        <v>261269</v>
      </c>
      <c r="W52" s="12">
        <v>310815</v>
      </c>
      <c r="X52" s="12">
        <v>302342</v>
      </c>
      <c r="Y52" s="12">
        <v>259772</v>
      </c>
      <c r="Z52" s="12">
        <v>247225</v>
      </c>
      <c r="AA52" s="12">
        <v>244790</v>
      </c>
      <c r="AB52" s="12">
        <v>241344</v>
      </c>
      <c r="AC52" s="12">
        <v>241771</v>
      </c>
      <c r="AD52" s="12">
        <v>204415</v>
      </c>
      <c r="AE52" s="12">
        <v>215137</v>
      </c>
      <c r="AF52" s="12">
        <v>208925</v>
      </c>
      <c r="AG52" s="12">
        <v>222141</v>
      </c>
      <c r="AH52" s="12">
        <v>219603</v>
      </c>
      <c r="AI52" s="12">
        <v>228684</v>
      </c>
      <c r="AJ52" s="12">
        <v>245425</v>
      </c>
      <c r="AK52" s="12">
        <v>217788</v>
      </c>
      <c r="AL52" s="12">
        <v>219918</v>
      </c>
      <c r="AM52" s="12">
        <v>220390</v>
      </c>
      <c r="AN52" s="12">
        <v>240150</v>
      </c>
      <c r="AO52" s="12">
        <v>228724</v>
      </c>
      <c r="AP52" s="12">
        <v>197039</v>
      </c>
      <c r="AQ52" s="12">
        <v>232222</v>
      </c>
      <c r="AR52" s="12">
        <v>236199</v>
      </c>
      <c r="AS52" s="12">
        <v>268253</v>
      </c>
      <c r="AT52" s="12">
        <v>267354</v>
      </c>
      <c r="AU52" s="12">
        <v>282645</v>
      </c>
      <c r="AV52" s="12">
        <v>286649</v>
      </c>
      <c r="AW52" s="12">
        <v>281766</v>
      </c>
      <c r="AX52" s="12">
        <v>278742</v>
      </c>
      <c r="AY52" s="12">
        <v>270626</v>
      </c>
      <c r="AZ52" s="12">
        <v>286370</v>
      </c>
      <c r="BA52" s="12">
        <v>248670</v>
      </c>
      <c r="BB52" s="12">
        <v>258452</v>
      </c>
      <c r="BC52" s="12">
        <v>260077</v>
      </c>
      <c r="BD52" s="12">
        <v>260137</v>
      </c>
      <c r="BE52" s="12">
        <v>282530</v>
      </c>
      <c r="BF52" s="12">
        <v>286980</v>
      </c>
      <c r="BG52" s="12">
        <v>303427</v>
      </c>
      <c r="BH52" s="12">
        <v>309789</v>
      </c>
      <c r="BI52" s="12">
        <v>309533</v>
      </c>
      <c r="BJ52" s="12">
        <v>331018</v>
      </c>
      <c r="BK52" s="12">
        <v>312419</v>
      </c>
      <c r="BL52" s="12">
        <v>345329</v>
      </c>
      <c r="BM52" s="12">
        <v>342116</v>
      </c>
      <c r="BN52" s="12">
        <v>335374</v>
      </c>
      <c r="BO52" s="12">
        <v>356635</v>
      </c>
      <c r="BP52" s="12">
        <v>350720</v>
      </c>
      <c r="BQ52" s="12">
        <v>395700</v>
      </c>
      <c r="BR52" s="12">
        <v>394216</v>
      </c>
      <c r="BS52" s="12">
        <v>403088</v>
      </c>
      <c r="BT52" s="12">
        <v>403937</v>
      </c>
      <c r="BU52" s="12">
        <v>436399</v>
      </c>
      <c r="BV52" s="12">
        <v>470412</v>
      </c>
      <c r="BW52" s="12">
        <v>506683</v>
      </c>
      <c r="BX52" s="12">
        <v>535501</v>
      </c>
    </row>
    <row r="53" spans="2:76">
      <c r="C53" s="9" t="s">
        <v>46</v>
      </c>
      <c r="D53" s="9" t="s">
        <v>44</v>
      </c>
      <c r="E53" s="15">
        <v>7.0252999999999996E-2</v>
      </c>
      <c r="F53" s="15">
        <v>7.4514999999999998E-2</v>
      </c>
      <c r="G53" s="15">
        <v>7.3652999999999996E-2</v>
      </c>
      <c r="H53" s="15">
        <v>7.5255000000000002E-2</v>
      </c>
      <c r="I53" s="15">
        <v>7.6599E-2</v>
      </c>
      <c r="J53" s="15">
        <v>8.2949999999999996E-2</v>
      </c>
      <c r="K53" s="15">
        <v>8.2351999999999995E-2</v>
      </c>
      <c r="L53" s="15">
        <v>9.1665999999999997E-2</v>
      </c>
      <c r="M53" s="15">
        <v>0.101247</v>
      </c>
      <c r="N53" s="15">
        <v>0.104278</v>
      </c>
      <c r="O53" s="15">
        <v>0.10304000000000001</v>
      </c>
      <c r="P53" s="15">
        <v>0.11208899999999999</v>
      </c>
      <c r="Q53" s="15">
        <v>0.11210000000000001</v>
      </c>
      <c r="R53" s="15">
        <v>0.1091</v>
      </c>
      <c r="S53" s="15">
        <v>0.1113</v>
      </c>
      <c r="T53" s="15">
        <v>0.1104</v>
      </c>
      <c r="U53" s="15">
        <v>0.111</v>
      </c>
      <c r="V53" s="15">
        <v>0.1086</v>
      </c>
      <c r="W53" s="15">
        <v>0.12089999999999999</v>
      </c>
      <c r="X53" s="15">
        <v>0.11509999999999999</v>
      </c>
      <c r="Y53" s="15">
        <v>0.1052</v>
      </c>
      <c r="Z53" s="15">
        <v>9.9900000000000003E-2</v>
      </c>
      <c r="AA53" s="15">
        <v>0.1003</v>
      </c>
      <c r="AB53" s="15">
        <v>9.9000000000000005E-2</v>
      </c>
      <c r="AC53" s="15">
        <v>0.1017</v>
      </c>
      <c r="AD53" s="15">
        <v>9.8400000000000001E-2</v>
      </c>
      <c r="AE53" s="15">
        <v>8.8900000000000007E-2</v>
      </c>
      <c r="AF53" s="15">
        <v>8.7599999999999997E-2</v>
      </c>
      <c r="AG53" s="15">
        <v>8.8400000000000006E-2</v>
      </c>
      <c r="AH53" s="15">
        <v>8.9099999999999999E-2</v>
      </c>
      <c r="AI53" s="15">
        <v>8.8700000000000001E-2</v>
      </c>
      <c r="AJ53" s="15">
        <v>9.01E-2</v>
      </c>
      <c r="AK53" s="15">
        <v>8.7599999999999997E-2</v>
      </c>
      <c r="AL53" s="15">
        <v>8.6499999999999994E-2</v>
      </c>
      <c r="AM53" s="15">
        <v>8.9599999999999999E-2</v>
      </c>
      <c r="AN53" s="15">
        <v>9.5100000000000004E-2</v>
      </c>
      <c r="AO53" s="15">
        <v>9.0999999999999998E-2</v>
      </c>
      <c r="AP53" s="15">
        <v>8.9899999999999994E-2</v>
      </c>
      <c r="AQ53" s="15">
        <v>9.1300000000000006E-2</v>
      </c>
      <c r="AR53" s="15">
        <v>9.6000000000000002E-2</v>
      </c>
      <c r="AS53" s="15">
        <v>0.1017</v>
      </c>
      <c r="AT53" s="15">
        <v>0.10349999999999999</v>
      </c>
      <c r="AU53" s="15">
        <v>0.1042</v>
      </c>
      <c r="AV53" s="15">
        <v>0.1046</v>
      </c>
      <c r="AW53" s="15">
        <v>0.10970000000000001</v>
      </c>
      <c r="AX53" s="15">
        <v>0.10349999999999999</v>
      </c>
      <c r="AY53" s="15">
        <v>0.11020000000000001</v>
      </c>
      <c r="AZ53" s="15">
        <v>0.1159</v>
      </c>
      <c r="BA53" s="15">
        <v>0.1036</v>
      </c>
      <c r="BB53" s="15">
        <v>0.11210000000000001</v>
      </c>
      <c r="BC53" s="15">
        <v>0.1061</v>
      </c>
      <c r="BD53" s="15">
        <v>0.10580000000000001</v>
      </c>
      <c r="BE53" s="15">
        <v>0.1089</v>
      </c>
      <c r="BF53" s="15">
        <v>0.1125</v>
      </c>
      <c r="BG53" s="15">
        <v>0.1173</v>
      </c>
      <c r="BH53" s="15">
        <v>0.1163</v>
      </c>
      <c r="BI53" s="15">
        <v>0.12540000000000001</v>
      </c>
      <c r="BJ53" s="15">
        <v>0.1242</v>
      </c>
      <c r="BK53" s="15">
        <v>0.12659999999999999</v>
      </c>
      <c r="BL53" s="15">
        <v>0.13880000000000001</v>
      </c>
      <c r="BM53" s="15">
        <v>0.1406</v>
      </c>
      <c r="BN53" s="15">
        <v>0.15240000000000001</v>
      </c>
      <c r="BO53" s="15">
        <v>0.14710000000000001</v>
      </c>
      <c r="BP53" s="15">
        <v>0.14369999999999999</v>
      </c>
      <c r="BQ53" s="15">
        <v>0.152</v>
      </c>
      <c r="BR53" s="15">
        <v>0.15740000000000001</v>
      </c>
      <c r="BS53" s="15">
        <v>0.15110000000000001</v>
      </c>
      <c r="BT53" s="15">
        <v>0.15379999999999999</v>
      </c>
      <c r="BU53" s="15">
        <v>0.16969999999999999</v>
      </c>
      <c r="BV53" s="15">
        <v>0.18</v>
      </c>
      <c r="BW53" s="16">
        <v>0.19834685832618917</v>
      </c>
      <c r="BX53" s="15">
        <v>0.19850000000000001</v>
      </c>
    </row>
    <row r="54" spans="2:76">
      <c r="C54" s="9" t="s">
        <v>52</v>
      </c>
      <c r="D54" s="9" t="s">
        <v>44</v>
      </c>
      <c r="E54" s="13">
        <v>45.750799999999998</v>
      </c>
      <c r="F54" s="13">
        <v>46.625700000000002</v>
      </c>
      <c r="G54" s="13">
        <v>47.501199999999997</v>
      </c>
      <c r="H54" s="13">
        <v>47.501199999999997</v>
      </c>
      <c r="I54" s="13">
        <v>51.437899999999999</v>
      </c>
      <c r="J54" s="13">
        <v>50.686199999999999</v>
      </c>
      <c r="K54" s="13">
        <v>55.738199999999999</v>
      </c>
      <c r="L54" s="13">
        <v>61.512599999999999</v>
      </c>
      <c r="M54" s="13">
        <v>63.941800000000001</v>
      </c>
      <c r="N54" s="13">
        <v>64.254300000000001</v>
      </c>
      <c r="O54" s="13">
        <v>68.261499999999998</v>
      </c>
      <c r="P54" s="13">
        <v>67.653499999999994</v>
      </c>
      <c r="Q54" s="13">
        <v>67.13</v>
      </c>
      <c r="R54" s="13">
        <v>67.22</v>
      </c>
      <c r="S54" s="13">
        <v>67.209999999999994</v>
      </c>
      <c r="T54" s="13">
        <v>67.239999999999995</v>
      </c>
      <c r="U54" s="13">
        <v>65.92</v>
      </c>
      <c r="V54" s="13">
        <v>66.61</v>
      </c>
      <c r="W54" s="13">
        <v>66.77</v>
      </c>
      <c r="X54" s="13">
        <v>61.76</v>
      </c>
      <c r="Y54" s="13">
        <v>61.56</v>
      </c>
      <c r="Z54" s="13">
        <v>61.55</v>
      </c>
      <c r="AA54" s="13">
        <v>61.56</v>
      </c>
      <c r="AB54" s="13">
        <v>60.78</v>
      </c>
      <c r="AC54" s="13">
        <v>57.8</v>
      </c>
      <c r="AD54" s="13">
        <v>55.58</v>
      </c>
      <c r="AE54" s="13">
        <v>54.25</v>
      </c>
      <c r="AF54" s="13">
        <v>54.56</v>
      </c>
      <c r="AG54" s="13">
        <v>54.97</v>
      </c>
      <c r="AH54" s="13">
        <v>54.02</v>
      </c>
      <c r="AI54" s="13">
        <v>54.76</v>
      </c>
      <c r="AJ54" s="13">
        <v>54.47</v>
      </c>
      <c r="AK54" s="13">
        <v>54.41</v>
      </c>
      <c r="AL54" s="13">
        <v>55.48</v>
      </c>
      <c r="AM54" s="13">
        <v>56.27</v>
      </c>
      <c r="AN54" s="13">
        <v>56.52</v>
      </c>
      <c r="AO54" s="13">
        <v>56.37</v>
      </c>
      <c r="AP54" s="13">
        <v>56.83</v>
      </c>
      <c r="AQ54" s="13">
        <v>60.5</v>
      </c>
      <c r="AR54" s="13">
        <v>64.040000000000006</v>
      </c>
      <c r="AS54" s="13">
        <v>64.37</v>
      </c>
      <c r="AT54" s="13">
        <v>64.63</v>
      </c>
      <c r="AU54" s="13">
        <v>64.540000000000006</v>
      </c>
      <c r="AV54" s="13">
        <v>64.83</v>
      </c>
      <c r="AW54" s="13">
        <v>65.38</v>
      </c>
      <c r="AX54" s="13">
        <v>64.98</v>
      </c>
      <c r="AY54" s="13">
        <v>64.69</v>
      </c>
      <c r="AZ54" s="13">
        <v>64.66</v>
      </c>
      <c r="BA54" s="13">
        <v>64.489999999999995</v>
      </c>
      <c r="BB54" s="13">
        <v>64.930000000000007</v>
      </c>
      <c r="BC54" s="13">
        <v>64.91</v>
      </c>
      <c r="BD54" s="13">
        <v>66.650000000000006</v>
      </c>
      <c r="BE54" s="13">
        <v>68.849999999999994</v>
      </c>
      <c r="BF54" s="13">
        <v>70.14</v>
      </c>
      <c r="BG54" s="13">
        <v>70.430000000000007</v>
      </c>
      <c r="BH54" s="13">
        <v>72.81</v>
      </c>
      <c r="BI54" s="13">
        <v>75.23</v>
      </c>
      <c r="BJ54" s="13">
        <v>75.41</v>
      </c>
      <c r="BK54" s="13">
        <v>82.88</v>
      </c>
      <c r="BL54" s="13">
        <v>84.35</v>
      </c>
      <c r="BM54" s="13">
        <v>86.33</v>
      </c>
      <c r="BN54" s="13">
        <v>84.95</v>
      </c>
      <c r="BO54" s="13">
        <v>85.09</v>
      </c>
      <c r="BP54" s="13">
        <v>89.56</v>
      </c>
      <c r="BQ54" s="13">
        <v>90.63</v>
      </c>
      <c r="BR54" s="13">
        <v>98.85</v>
      </c>
      <c r="BS54" s="13">
        <v>92.94</v>
      </c>
      <c r="BT54" s="13">
        <v>98.28</v>
      </c>
      <c r="BU54" s="13">
        <v>106.51</v>
      </c>
      <c r="BV54" s="13">
        <v>116.35</v>
      </c>
      <c r="BW54" s="13">
        <v>116.3</v>
      </c>
      <c r="BX54" s="13">
        <v>104.35</v>
      </c>
    </row>
    <row r="55" spans="2:76"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spans="2:76">
      <c r="B56" s="11" t="s">
        <v>61</v>
      </c>
      <c r="C56" s="9" t="s">
        <v>41</v>
      </c>
      <c r="D56" s="9" t="s">
        <v>42</v>
      </c>
      <c r="E56" s="12">
        <v>5469.4</v>
      </c>
      <c r="F56" s="12">
        <v>5088.57</v>
      </c>
      <c r="G56" s="12">
        <v>5609.19</v>
      </c>
      <c r="H56" s="12">
        <v>5415.26</v>
      </c>
      <c r="I56" s="12">
        <v>5495.55</v>
      </c>
      <c r="J56" s="12">
        <v>5546.9</v>
      </c>
      <c r="K56" s="12">
        <v>5662.71</v>
      </c>
      <c r="L56" s="12">
        <v>5822.67</v>
      </c>
      <c r="M56" s="12">
        <v>5497.07</v>
      </c>
      <c r="N56" s="12">
        <v>5931.17</v>
      </c>
      <c r="O56" s="12">
        <v>5369.67</v>
      </c>
      <c r="P56" s="12">
        <v>5934.38</v>
      </c>
      <c r="Q56" s="12">
        <v>5080</v>
      </c>
      <c r="R56" s="12">
        <v>4892</v>
      </c>
      <c r="S56" s="12">
        <v>5770</v>
      </c>
      <c r="T56" s="12">
        <v>4812</v>
      </c>
      <c r="U56" s="12">
        <v>5520</v>
      </c>
      <c r="V56" s="12">
        <v>5259</v>
      </c>
      <c r="W56" s="12">
        <v>5840</v>
      </c>
      <c r="X56" s="12">
        <v>5836</v>
      </c>
      <c r="Y56" s="12">
        <v>5775</v>
      </c>
      <c r="Z56" s="12">
        <v>5543</v>
      </c>
      <c r="AA56" s="12">
        <v>5345</v>
      </c>
      <c r="AB56" s="12">
        <v>5286</v>
      </c>
      <c r="AC56" s="12">
        <v>5156</v>
      </c>
      <c r="AD56" s="12">
        <v>4625</v>
      </c>
      <c r="AE56" s="12">
        <v>5256</v>
      </c>
      <c r="AF56" s="12">
        <v>4941</v>
      </c>
      <c r="AG56" s="12">
        <v>5320</v>
      </c>
      <c r="AH56" s="12">
        <v>5407</v>
      </c>
      <c r="AI56" s="12">
        <v>5446</v>
      </c>
      <c r="AJ56" s="12">
        <v>5659</v>
      </c>
      <c r="AK56" s="12">
        <v>5698</v>
      </c>
      <c r="AL56" s="12">
        <v>5512</v>
      </c>
      <c r="AM56" s="12">
        <v>5141</v>
      </c>
      <c r="AN56" s="12">
        <v>5482</v>
      </c>
      <c r="AO56" s="12">
        <v>5274</v>
      </c>
      <c r="AP56" s="12">
        <v>4818</v>
      </c>
      <c r="AQ56" s="12">
        <v>5440</v>
      </c>
      <c r="AR56" s="12">
        <v>5249</v>
      </c>
      <c r="AS56" s="12">
        <v>5763</v>
      </c>
      <c r="AT56" s="12">
        <v>5516</v>
      </c>
      <c r="AU56" s="12">
        <v>5872</v>
      </c>
      <c r="AV56" s="12">
        <v>5860</v>
      </c>
      <c r="AW56" s="12">
        <v>5666</v>
      </c>
      <c r="AX56" s="12">
        <v>5908</v>
      </c>
      <c r="AY56" s="12">
        <v>5531</v>
      </c>
      <c r="AZ56" s="12">
        <v>5425</v>
      </c>
      <c r="BA56" s="12">
        <v>5315</v>
      </c>
      <c r="BB56" s="12">
        <v>5113</v>
      </c>
      <c r="BC56" s="12">
        <v>5282</v>
      </c>
      <c r="BD56" s="12">
        <v>5203</v>
      </c>
      <c r="BE56" s="12">
        <v>5551</v>
      </c>
      <c r="BF56" s="12">
        <v>5491</v>
      </c>
      <c r="BG56" s="12">
        <v>6061</v>
      </c>
      <c r="BH56" s="12">
        <v>5920</v>
      </c>
      <c r="BI56" s="12">
        <v>5621</v>
      </c>
      <c r="BJ56" s="12">
        <v>5808</v>
      </c>
      <c r="BK56" s="12">
        <v>5447</v>
      </c>
      <c r="BL56" s="12">
        <v>5586</v>
      </c>
      <c r="BM56" s="12">
        <v>5406</v>
      </c>
      <c r="BN56" s="12">
        <v>4846</v>
      </c>
      <c r="BO56" s="12">
        <v>5528</v>
      </c>
      <c r="BP56" s="12">
        <v>5365</v>
      </c>
      <c r="BQ56" s="12">
        <v>5849</v>
      </c>
      <c r="BR56" s="12">
        <v>5569</v>
      </c>
      <c r="BS56" s="12">
        <v>5823</v>
      </c>
      <c r="BT56" s="12">
        <v>5953</v>
      </c>
      <c r="BU56" s="12">
        <v>5770</v>
      </c>
      <c r="BV56" s="12">
        <v>5788</v>
      </c>
      <c r="BW56" s="12">
        <v>5579</v>
      </c>
      <c r="BX56" s="12">
        <v>5562</v>
      </c>
    </row>
    <row r="57" spans="2:76">
      <c r="C57" s="9" t="s">
        <v>5</v>
      </c>
      <c r="D57" s="9" t="s">
        <v>44</v>
      </c>
      <c r="E57" s="13">
        <v>38.335900000000002</v>
      </c>
      <c r="F57" s="13">
        <v>38.447099999999999</v>
      </c>
      <c r="G57" s="13">
        <v>39.658999999999999</v>
      </c>
      <c r="H57" s="13">
        <v>41.046700000000001</v>
      </c>
      <c r="I57" s="13">
        <v>45.219099999999997</v>
      </c>
      <c r="J57" s="13">
        <v>43.344499999999996</v>
      </c>
      <c r="K57" s="13">
        <v>41.718899999999998</v>
      </c>
      <c r="L57" s="13">
        <v>42.542499999999997</v>
      </c>
      <c r="M57" s="13">
        <v>46.104599999999998</v>
      </c>
      <c r="N57" s="13">
        <v>49.141500000000001</v>
      </c>
      <c r="O57" s="13">
        <v>56.069800000000001</v>
      </c>
      <c r="P57" s="13">
        <v>57.6569</v>
      </c>
      <c r="Q57" s="13">
        <v>56.597999999999999</v>
      </c>
      <c r="R57" s="13">
        <v>55.814</v>
      </c>
      <c r="S57" s="13">
        <v>50.014000000000003</v>
      </c>
      <c r="T57" s="13">
        <v>47.420999999999999</v>
      </c>
      <c r="U57" s="13">
        <v>45.665999999999997</v>
      </c>
      <c r="V57" s="13">
        <v>44.718000000000004</v>
      </c>
      <c r="W57" s="13">
        <v>45.771999999999998</v>
      </c>
      <c r="X57" s="13">
        <v>46.664000000000001</v>
      </c>
      <c r="Y57" s="13">
        <v>43.954999999999998</v>
      </c>
      <c r="Z57" s="13">
        <v>40.783000000000001</v>
      </c>
      <c r="AA57" s="13">
        <v>46.442</v>
      </c>
      <c r="AB57" s="13">
        <v>40.432000000000002</v>
      </c>
      <c r="AC57" s="13">
        <v>37.107999999999997</v>
      </c>
      <c r="AD57" s="13">
        <v>33.026000000000003</v>
      </c>
      <c r="AE57" s="13">
        <v>32.612000000000002</v>
      </c>
      <c r="AF57" s="13">
        <v>32.56</v>
      </c>
      <c r="AG57" s="13">
        <v>35.457000000000001</v>
      </c>
      <c r="AH57" s="13">
        <v>37.701999999999998</v>
      </c>
      <c r="AI57" s="13">
        <v>37.753</v>
      </c>
      <c r="AJ57" s="13">
        <v>37.716999999999999</v>
      </c>
      <c r="AK57" s="13">
        <v>38.091000000000001</v>
      </c>
      <c r="AL57" s="13">
        <v>39.44</v>
      </c>
      <c r="AM57" s="13">
        <v>43.064999999999998</v>
      </c>
      <c r="AN57" s="13">
        <v>44.259</v>
      </c>
      <c r="AO57" s="13">
        <v>43.622999999999998</v>
      </c>
      <c r="AP57" s="13">
        <v>43.003</v>
      </c>
      <c r="AQ57" s="13">
        <v>44.304000000000002</v>
      </c>
      <c r="AR57" s="13">
        <v>48.988999999999997</v>
      </c>
      <c r="AS57" s="13">
        <v>53.35</v>
      </c>
      <c r="AT57" s="13">
        <v>46.01</v>
      </c>
      <c r="AU57" s="13">
        <v>41.865000000000002</v>
      </c>
      <c r="AV57" s="13">
        <v>41.033999999999999</v>
      </c>
      <c r="AW57" s="13">
        <v>42.54</v>
      </c>
      <c r="AX57" s="13">
        <v>47.521999999999998</v>
      </c>
      <c r="AY57" s="13">
        <v>45.207000000000001</v>
      </c>
      <c r="AZ57" s="13">
        <v>44.344999999999999</v>
      </c>
      <c r="BA57" s="13">
        <v>46.488999999999997</v>
      </c>
      <c r="BB57" s="13">
        <v>49.018999999999998</v>
      </c>
      <c r="BC57" s="13">
        <v>49.072000000000003</v>
      </c>
      <c r="BD57" s="13">
        <v>52.575000000000003</v>
      </c>
      <c r="BE57" s="13">
        <v>54.558999999999997</v>
      </c>
      <c r="BF57" s="13">
        <v>58.826999999999998</v>
      </c>
      <c r="BG57" s="13">
        <v>65.070999999999998</v>
      </c>
      <c r="BH57" s="13">
        <v>60.863</v>
      </c>
      <c r="BI57" s="13">
        <v>62.277000000000001</v>
      </c>
      <c r="BJ57" s="13">
        <v>63.383000000000003</v>
      </c>
      <c r="BK57" s="13">
        <v>65.912000000000006</v>
      </c>
      <c r="BL57" s="13">
        <v>75.516999999999996</v>
      </c>
      <c r="BM57" s="13">
        <v>73.555000000000007</v>
      </c>
      <c r="BN57" s="13">
        <v>68.957999999999998</v>
      </c>
      <c r="BO57" s="13">
        <v>64.078000000000003</v>
      </c>
      <c r="BP57" s="13">
        <v>68.510000000000005</v>
      </c>
      <c r="BQ57" s="13">
        <v>76.372</v>
      </c>
      <c r="BR57" s="13">
        <v>83.835999999999999</v>
      </c>
      <c r="BS57" s="13">
        <v>80.072999999999993</v>
      </c>
      <c r="BT57" s="13">
        <v>80.311999999999998</v>
      </c>
      <c r="BU57" s="13">
        <v>83.200999999999993</v>
      </c>
      <c r="BV57" s="13">
        <v>90.956000000000003</v>
      </c>
      <c r="BW57" s="13">
        <v>96.685427495967019</v>
      </c>
      <c r="BX57" s="13">
        <v>102.96299999999999</v>
      </c>
    </row>
    <row r="58" spans="2:76">
      <c r="C58" s="9" t="s">
        <v>45</v>
      </c>
      <c r="D58" s="9" t="s">
        <v>44</v>
      </c>
      <c r="E58" s="12">
        <v>209674.21</v>
      </c>
      <c r="F58" s="12">
        <v>195641.01</v>
      </c>
      <c r="G58" s="12">
        <v>222454.91</v>
      </c>
      <c r="H58" s="12">
        <v>222278.55</v>
      </c>
      <c r="I58" s="12">
        <v>248503.9</v>
      </c>
      <c r="J58" s="12">
        <v>240427.84</v>
      </c>
      <c r="K58" s="12">
        <v>236242.18</v>
      </c>
      <c r="L58" s="12">
        <v>247711.13</v>
      </c>
      <c r="M58" s="12">
        <v>253440.15</v>
      </c>
      <c r="N58" s="12">
        <v>291466.5</v>
      </c>
      <c r="O58" s="12">
        <v>301076.31</v>
      </c>
      <c r="P58" s="12">
        <v>342158.18</v>
      </c>
      <c r="Q58" s="12">
        <v>287508</v>
      </c>
      <c r="R58" s="12">
        <v>273056</v>
      </c>
      <c r="S58" s="12">
        <v>288606</v>
      </c>
      <c r="T58" s="12">
        <v>228188</v>
      </c>
      <c r="U58" s="12">
        <v>252087</v>
      </c>
      <c r="V58" s="12">
        <v>235151</v>
      </c>
      <c r="W58" s="12">
        <v>267322</v>
      </c>
      <c r="X58" s="12">
        <v>272310</v>
      </c>
      <c r="Y58" s="12">
        <v>253820</v>
      </c>
      <c r="Z58" s="12">
        <v>226071</v>
      </c>
      <c r="AA58" s="12">
        <v>248235</v>
      </c>
      <c r="AB58" s="12">
        <v>213708</v>
      </c>
      <c r="AC58" s="12">
        <v>191309</v>
      </c>
      <c r="AD58" s="12">
        <v>152758</v>
      </c>
      <c r="AE58" s="12">
        <v>171418</v>
      </c>
      <c r="AF58" s="12">
        <v>160880</v>
      </c>
      <c r="AG58" s="12">
        <v>188628</v>
      </c>
      <c r="AH58" s="12">
        <v>203835</v>
      </c>
      <c r="AI58" s="12">
        <v>205618</v>
      </c>
      <c r="AJ58" s="12">
        <v>213444</v>
      </c>
      <c r="AK58" s="12">
        <v>217038</v>
      </c>
      <c r="AL58" s="12">
        <v>217379</v>
      </c>
      <c r="AM58" s="12">
        <v>221414</v>
      </c>
      <c r="AN58" s="12">
        <v>242606</v>
      </c>
      <c r="AO58" s="12">
        <v>230071</v>
      </c>
      <c r="AP58" s="12">
        <v>207207</v>
      </c>
      <c r="AQ58" s="12">
        <v>241023</v>
      </c>
      <c r="AR58" s="12">
        <v>257130</v>
      </c>
      <c r="AS58" s="12">
        <v>307470</v>
      </c>
      <c r="AT58" s="12">
        <v>253813</v>
      </c>
      <c r="AU58" s="12">
        <v>245842</v>
      </c>
      <c r="AV58" s="12">
        <v>240469</v>
      </c>
      <c r="AW58" s="12">
        <v>241031</v>
      </c>
      <c r="AX58" s="12">
        <v>280753</v>
      </c>
      <c r="AY58" s="12">
        <v>250060</v>
      </c>
      <c r="AZ58" s="12">
        <v>240572</v>
      </c>
      <c r="BA58" s="12">
        <v>247082</v>
      </c>
      <c r="BB58" s="12">
        <v>250647</v>
      </c>
      <c r="BC58" s="12">
        <v>259214</v>
      </c>
      <c r="BD58" s="12">
        <v>273552</v>
      </c>
      <c r="BE58" s="12">
        <v>302856</v>
      </c>
      <c r="BF58" s="12">
        <v>323029</v>
      </c>
      <c r="BG58" s="12">
        <v>394415</v>
      </c>
      <c r="BH58" s="12">
        <v>360333</v>
      </c>
      <c r="BI58" s="12">
        <v>350051</v>
      </c>
      <c r="BJ58" s="12">
        <v>368148</v>
      </c>
      <c r="BK58" s="12">
        <v>358993</v>
      </c>
      <c r="BL58" s="12">
        <v>421859</v>
      </c>
      <c r="BM58" s="12">
        <v>397666</v>
      </c>
      <c r="BN58" s="12">
        <v>334139</v>
      </c>
      <c r="BO58" s="12">
        <v>354207</v>
      </c>
      <c r="BP58" s="12">
        <v>367540</v>
      </c>
      <c r="BQ58" s="12">
        <v>446700</v>
      </c>
      <c r="BR58" s="12">
        <v>466918</v>
      </c>
      <c r="BS58" s="12">
        <v>466289</v>
      </c>
      <c r="BT58" s="12">
        <v>478082</v>
      </c>
      <c r="BU58" s="12">
        <v>480030</v>
      </c>
      <c r="BV58" s="12">
        <v>526453</v>
      </c>
      <c r="BW58" s="12">
        <v>539408</v>
      </c>
      <c r="BX58" s="12">
        <v>572693</v>
      </c>
    </row>
    <row r="59" spans="2:76">
      <c r="C59" s="9" t="s">
        <v>46</v>
      </c>
      <c r="D59" s="9" t="s">
        <v>44</v>
      </c>
      <c r="E59" s="15">
        <v>6.1564000000000001E-2</v>
      </c>
      <c r="F59" s="15">
        <v>6.1346999999999999E-2</v>
      </c>
      <c r="G59" s="15">
        <v>6.3455999999999999E-2</v>
      </c>
      <c r="H59" s="15">
        <v>6.5405000000000005E-2</v>
      </c>
      <c r="I59" s="15">
        <v>7.2571999999999998E-2</v>
      </c>
      <c r="J59" s="15">
        <v>6.9668999999999995E-2</v>
      </c>
      <c r="K59" s="15">
        <v>6.6560999999999995E-2</v>
      </c>
      <c r="L59" s="15">
        <v>6.8496000000000001E-2</v>
      </c>
      <c r="M59" s="15">
        <v>7.5185000000000002E-2</v>
      </c>
      <c r="N59" s="15">
        <v>7.9043000000000002E-2</v>
      </c>
      <c r="O59" s="15">
        <v>9.0303999999999995E-2</v>
      </c>
      <c r="P59" s="15">
        <v>9.2740000000000003E-2</v>
      </c>
      <c r="Q59" s="15">
        <v>9.06E-2</v>
      </c>
      <c r="R59" s="15">
        <v>8.9800000000000005E-2</v>
      </c>
      <c r="S59" s="15">
        <v>8.0100000000000005E-2</v>
      </c>
      <c r="T59" s="15">
        <v>7.5999999999999998E-2</v>
      </c>
      <c r="U59" s="15">
        <v>7.2599999999999998E-2</v>
      </c>
      <c r="V59" s="15">
        <v>7.1599999999999997E-2</v>
      </c>
      <c r="W59" s="15">
        <v>7.3499999999999996E-2</v>
      </c>
      <c r="X59" s="15">
        <v>7.5200000000000003E-2</v>
      </c>
      <c r="Y59" s="15">
        <v>7.17E-2</v>
      </c>
      <c r="Z59" s="15">
        <v>6.6400000000000001E-2</v>
      </c>
      <c r="AA59" s="15">
        <v>7.4300000000000005E-2</v>
      </c>
      <c r="AB59" s="15">
        <v>6.5100000000000005E-2</v>
      </c>
      <c r="AC59" s="15">
        <v>5.9299999999999999E-2</v>
      </c>
      <c r="AD59" s="15">
        <v>5.3699999999999998E-2</v>
      </c>
      <c r="AE59" s="15">
        <v>5.1700000000000003E-2</v>
      </c>
      <c r="AF59" s="15">
        <v>5.1799999999999999E-2</v>
      </c>
      <c r="AG59" s="15">
        <v>5.6300000000000003E-2</v>
      </c>
      <c r="AH59" s="15">
        <v>5.9799999999999999E-2</v>
      </c>
      <c r="AI59" s="15">
        <v>6.0600000000000001E-2</v>
      </c>
      <c r="AJ59" s="15">
        <v>6.0100000000000001E-2</v>
      </c>
      <c r="AK59" s="15">
        <v>6.13E-2</v>
      </c>
      <c r="AL59" s="15">
        <v>6.3500000000000001E-2</v>
      </c>
      <c r="AM59" s="15">
        <v>6.93E-2</v>
      </c>
      <c r="AN59" s="15">
        <v>7.17E-2</v>
      </c>
      <c r="AO59" s="15">
        <v>7.0499999999999993E-2</v>
      </c>
      <c r="AP59" s="15">
        <v>6.9699999999999998E-2</v>
      </c>
      <c r="AQ59" s="15">
        <v>7.17E-2</v>
      </c>
      <c r="AR59" s="15">
        <v>7.8799999999999995E-2</v>
      </c>
      <c r="AS59" s="15">
        <v>8.6099999999999996E-2</v>
      </c>
      <c r="AT59" s="15">
        <v>7.4499999999999997E-2</v>
      </c>
      <c r="AU59" s="15">
        <v>6.8199999999999997E-2</v>
      </c>
      <c r="AV59" s="15">
        <v>6.6100000000000006E-2</v>
      </c>
      <c r="AW59" s="15">
        <v>6.9000000000000006E-2</v>
      </c>
      <c r="AX59" s="15">
        <v>7.7499999999999999E-2</v>
      </c>
      <c r="AY59" s="15">
        <v>7.4800000000000005E-2</v>
      </c>
      <c r="AZ59" s="15">
        <v>7.17E-2</v>
      </c>
      <c r="BA59" s="15">
        <v>7.5899999999999995E-2</v>
      </c>
      <c r="BB59" s="15">
        <v>8.1299999999999997E-2</v>
      </c>
      <c r="BC59" s="15">
        <v>8.0199999999999994E-2</v>
      </c>
      <c r="BD59" s="15">
        <v>8.6400000000000005E-2</v>
      </c>
      <c r="BE59" s="15">
        <v>9.06E-2</v>
      </c>
      <c r="BF59" s="15">
        <v>9.7600000000000006E-2</v>
      </c>
      <c r="BG59" s="15">
        <v>0.112</v>
      </c>
      <c r="BH59" s="15">
        <v>0.1012</v>
      </c>
      <c r="BI59" s="15">
        <v>0.1012</v>
      </c>
      <c r="BJ59" s="15">
        <v>0.1038</v>
      </c>
      <c r="BK59" s="15">
        <v>0.108</v>
      </c>
      <c r="BL59" s="15">
        <v>0.1239</v>
      </c>
      <c r="BM59" s="15">
        <v>0.121</v>
      </c>
      <c r="BN59" s="15">
        <v>0.113</v>
      </c>
      <c r="BO59" s="15">
        <v>0.1069</v>
      </c>
      <c r="BP59" s="15">
        <v>0.11310000000000001</v>
      </c>
      <c r="BQ59" s="15">
        <v>0.1258</v>
      </c>
      <c r="BR59" s="15">
        <v>0.13689999999999999</v>
      </c>
      <c r="BS59" s="15">
        <v>0.1313</v>
      </c>
      <c r="BT59" s="15">
        <v>0.13120000000000001</v>
      </c>
      <c r="BU59" s="15">
        <v>0.1371</v>
      </c>
      <c r="BV59" s="15">
        <v>0.1497</v>
      </c>
      <c r="BW59" s="15">
        <v>0.15987290973864693</v>
      </c>
      <c r="BX59" s="15">
        <v>0.17050000000000001</v>
      </c>
    </row>
    <row r="60" spans="2:76">
      <c r="C60" s="9" t="s">
        <v>52</v>
      </c>
      <c r="D60" s="9" t="s">
        <v>44</v>
      </c>
      <c r="E60" s="13">
        <v>38.447200000000002</v>
      </c>
      <c r="F60" s="13">
        <v>39.658999999999999</v>
      </c>
      <c r="G60" s="13">
        <v>41.046700000000001</v>
      </c>
      <c r="H60" s="13">
        <v>45.219099999999997</v>
      </c>
      <c r="I60" s="13">
        <v>43.344499999999996</v>
      </c>
      <c r="J60" s="13">
        <v>41.718899999999998</v>
      </c>
      <c r="K60" s="13">
        <v>42.542499999999997</v>
      </c>
      <c r="L60" s="13">
        <v>46.104599999999998</v>
      </c>
      <c r="M60" s="13">
        <v>49.300400000000003</v>
      </c>
      <c r="N60" s="13">
        <v>56.069800000000001</v>
      </c>
      <c r="O60" s="13">
        <v>57.6569</v>
      </c>
      <c r="P60" s="13">
        <v>56.598500000000001</v>
      </c>
      <c r="Q60" s="13">
        <v>55.81</v>
      </c>
      <c r="R60" s="13">
        <v>50.01</v>
      </c>
      <c r="S60" s="13">
        <v>47.42</v>
      </c>
      <c r="T60" s="13">
        <v>45.67</v>
      </c>
      <c r="U60" s="13">
        <v>44.72</v>
      </c>
      <c r="V60" s="13">
        <v>45.77</v>
      </c>
      <c r="W60" s="13">
        <v>46.66</v>
      </c>
      <c r="X60" s="13">
        <v>43.96</v>
      </c>
      <c r="Y60" s="13">
        <v>40.78</v>
      </c>
      <c r="Z60" s="13">
        <v>46.44</v>
      </c>
      <c r="AA60" s="13">
        <v>40.43</v>
      </c>
      <c r="AB60" s="13">
        <v>37.11</v>
      </c>
      <c r="AC60" s="13">
        <v>33.03</v>
      </c>
      <c r="AD60" s="13">
        <v>32.61</v>
      </c>
      <c r="AE60" s="13">
        <v>32.56</v>
      </c>
      <c r="AF60" s="13">
        <v>35.46</v>
      </c>
      <c r="AG60" s="13">
        <v>37.700000000000003</v>
      </c>
      <c r="AH60" s="13">
        <v>37.75</v>
      </c>
      <c r="AI60" s="13">
        <v>37.72</v>
      </c>
      <c r="AJ60" s="13">
        <v>38.090000000000003</v>
      </c>
      <c r="AK60" s="13">
        <v>39.44</v>
      </c>
      <c r="AL60" s="13">
        <v>43.06</v>
      </c>
      <c r="AM60" s="13">
        <v>44.26</v>
      </c>
      <c r="AN60" s="13">
        <v>43.62</v>
      </c>
      <c r="AO60" s="13">
        <v>43</v>
      </c>
      <c r="AP60" s="13">
        <v>44.3</v>
      </c>
      <c r="AQ60" s="13">
        <v>48.99</v>
      </c>
      <c r="AR60" s="13">
        <v>53.35</v>
      </c>
      <c r="AS60" s="13">
        <v>46.01</v>
      </c>
      <c r="AT60" s="13">
        <v>41.87</v>
      </c>
      <c r="AU60" s="13">
        <v>41.03</v>
      </c>
      <c r="AV60" s="13">
        <v>42.54</v>
      </c>
      <c r="AW60" s="13">
        <v>47.52</v>
      </c>
      <c r="AX60" s="13">
        <v>45.21</v>
      </c>
      <c r="AY60" s="13">
        <v>44.35</v>
      </c>
      <c r="AZ60" s="13">
        <v>46.49</v>
      </c>
      <c r="BA60" s="13">
        <v>49.02</v>
      </c>
      <c r="BB60" s="13">
        <v>49.07</v>
      </c>
      <c r="BC60" s="13">
        <v>52.57</v>
      </c>
      <c r="BD60" s="13">
        <v>54.56</v>
      </c>
      <c r="BE60" s="13">
        <v>58.83</v>
      </c>
      <c r="BF60" s="13">
        <v>65.069999999999993</v>
      </c>
      <c r="BG60" s="13">
        <v>60.86</v>
      </c>
      <c r="BH60" s="13">
        <v>62.28</v>
      </c>
      <c r="BI60" s="13">
        <v>63.38</v>
      </c>
      <c r="BJ60" s="13">
        <v>65.91</v>
      </c>
      <c r="BK60" s="13">
        <v>75.52</v>
      </c>
      <c r="BL60" s="13">
        <v>73.56</v>
      </c>
      <c r="BM60" s="13">
        <v>68.959999999999994</v>
      </c>
      <c r="BN60" s="13">
        <v>64.08</v>
      </c>
      <c r="BO60" s="13">
        <v>68.510000000000005</v>
      </c>
      <c r="BP60" s="13">
        <v>76.37</v>
      </c>
      <c r="BQ60" s="13">
        <v>83.84</v>
      </c>
      <c r="BR60" s="13">
        <v>80.069999999999993</v>
      </c>
      <c r="BS60" s="13">
        <v>80.31</v>
      </c>
      <c r="BT60" s="13">
        <v>83.2</v>
      </c>
      <c r="BU60" s="13">
        <v>90.96</v>
      </c>
      <c r="BV60" s="13">
        <v>96.67</v>
      </c>
      <c r="BW60" s="13">
        <v>102.96</v>
      </c>
      <c r="BX60" s="13">
        <v>93.79</v>
      </c>
    </row>
    <row r="61" spans="2:76"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</row>
    <row r="62" spans="2:76">
      <c r="B62" s="11" t="s">
        <v>53</v>
      </c>
      <c r="C62" s="9" t="s">
        <v>41</v>
      </c>
      <c r="D62" s="9" t="s">
        <v>42</v>
      </c>
      <c r="E62" s="12">
        <v>43558</v>
      </c>
      <c r="F62" s="12">
        <v>47607</v>
      </c>
      <c r="G62" s="12">
        <v>61464</v>
      </c>
      <c r="H62" s="12">
        <v>44294</v>
      </c>
      <c r="I62" s="12">
        <v>64236</v>
      </c>
      <c r="J62" s="12">
        <v>57985</v>
      </c>
      <c r="K62" s="12">
        <v>45312</v>
      </c>
      <c r="L62" s="12">
        <v>31564</v>
      </c>
      <c r="M62" s="12">
        <v>24950</v>
      </c>
      <c r="N62" s="12">
        <v>36725</v>
      </c>
      <c r="O62" s="12">
        <v>43816</v>
      </c>
      <c r="P62" s="12">
        <v>44401</v>
      </c>
      <c r="Q62" s="12">
        <v>15608</v>
      </c>
      <c r="R62" s="12">
        <v>9717</v>
      </c>
      <c r="S62" s="12">
        <v>18692</v>
      </c>
      <c r="T62" s="12">
        <v>13687</v>
      </c>
      <c r="U62" s="12">
        <v>84819</v>
      </c>
      <c r="V62" s="12">
        <v>17316</v>
      </c>
      <c r="W62" s="12">
        <v>9978</v>
      </c>
      <c r="X62" s="12">
        <v>15572</v>
      </c>
      <c r="Y62" s="12">
        <v>24120</v>
      </c>
      <c r="Z62" s="12">
        <v>9501</v>
      </c>
      <c r="AA62" s="12">
        <v>7012</v>
      </c>
      <c r="AB62" s="12">
        <v>12925</v>
      </c>
      <c r="AC62" s="12">
        <v>8691</v>
      </c>
      <c r="AD62" s="12">
        <v>20366</v>
      </c>
      <c r="AE62" s="12">
        <v>27061</v>
      </c>
      <c r="AF62" s="12">
        <v>36842</v>
      </c>
      <c r="AG62" s="12">
        <v>20100</v>
      </c>
      <c r="AH62" s="12">
        <v>29327</v>
      </c>
      <c r="AI62" s="12">
        <v>22061</v>
      </c>
      <c r="AJ62" s="12">
        <v>27512</v>
      </c>
      <c r="AK62" s="12">
        <v>34533</v>
      </c>
      <c r="AL62" s="12">
        <v>33445</v>
      </c>
      <c r="AM62" s="12">
        <v>34530</v>
      </c>
      <c r="AN62" s="12">
        <v>31693</v>
      </c>
      <c r="AO62" s="12">
        <v>26233</v>
      </c>
      <c r="AP62" s="12">
        <v>17893</v>
      </c>
      <c r="AQ62" s="12">
        <v>19767</v>
      </c>
      <c r="AR62" s="12">
        <v>25482</v>
      </c>
      <c r="AS62" s="12">
        <v>28822</v>
      </c>
      <c r="AT62" s="12">
        <v>20696</v>
      </c>
      <c r="AU62" s="12">
        <v>22775</v>
      </c>
      <c r="AV62" s="12">
        <v>22045</v>
      </c>
      <c r="AW62" s="12">
        <v>22733</v>
      </c>
      <c r="AX62" s="12">
        <v>21269</v>
      </c>
      <c r="AY62" s="12">
        <v>18361</v>
      </c>
      <c r="AZ62" s="12">
        <v>17113</v>
      </c>
      <c r="BA62" s="12">
        <v>20332</v>
      </c>
      <c r="BB62" s="12">
        <v>22344</v>
      </c>
      <c r="BC62" s="12">
        <v>26169</v>
      </c>
      <c r="BD62" s="12">
        <v>22340</v>
      </c>
      <c r="BE62" s="12">
        <v>28302</v>
      </c>
      <c r="BF62" s="12">
        <v>19801</v>
      </c>
      <c r="BG62" s="12">
        <v>29471</v>
      </c>
      <c r="BH62" s="12">
        <v>34404</v>
      </c>
      <c r="BI62" s="12">
        <v>25979</v>
      </c>
      <c r="BJ62" s="12">
        <v>37037</v>
      </c>
      <c r="BK62" s="12">
        <v>18954</v>
      </c>
      <c r="BL62" s="12">
        <v>20605</v>
      </c>
      <c r="BM62" s="12">
        <v>34520</v>
      </c>
      <c r="BN62" s="12">
        <v>59120</v>
      </c>
      <c r="BO62" s="12">
        <v>27426</v>
      </c>
      <c r="BP62" s="12">
        <v>25208</v>
      </c>
      <c r="BQ62" s="12">
        <v>35528</v>
      </c>
      <c r="BR62" s="12">
        <v>25167</v>
      </c>
      <c r="BS62" s="12">
        <v>35146</v>
      </c>
      <c r="BT62" s="12">
        <v>47843</v>
      </c>
      <c r="BU62" s="12">
        <v>33682</v>
      </c>
      <c r="BV62" s="12">
        <v>29918</v>
      </c>
      <c r="BW62" s="12">
        <v>27842</v>
      </c>
      <c r="BX62" s="12">
        <v>28002</v>
      </c>
    </row>
    <row r="63" spans="2:76">
      <c r="C63" s="9" t="s">
        <v>5</v>
      </c>
      <c r="D63" s="9" t="s">
        <v>44</v>
      </c>
      <c r="E63" s="13">
        <v>36.923000000000002</v>
      </c>
      <c r="F63" s="13">
        <v>39.027999999999999</v>
      </c>
      <c r="G63" s="13">
        <v>39.862000000000002</v>
      </c>
      <c r="H63" s="13">
        <v>43.212000000000003</v>
      </c>
      <c r="I63" s="13">
        <v>46.006</v>
      </c>
      <c r="J63" s="13">
        <v>37.247999999999998</v>
      </c>
      <c r="K63" s="13">
        <v>40.959000000000003</v>
      </c>
      <c r="L63" s="13">
        <v>41.343000000000004</v>
      </c>
      <c r="M63" s="13">
        <v>43.881999999999998</v>
      </c>
      <c r="N63" s="13">
        <v>44.698999999999998</v>
      </c>
      <c r="O63" s="13">
        <v>55.143000000000001</v>
      </c>
      <c r="P63" s="13">
        <v>55.530999999999999</v>
      </c>
      <c r="Q63" s="13">
        <v>54.783000000000001</v>
      </c>
      <c r="R63" s="13">
        <v>54.244</v>
      </c>
      <c r="S63" s="13">
        <v>50.436</v>
      </c>
      <c r="T63" s="13">
        <v>48.430999999999997</v>
      </c>
      <c r="U63" s="13">
        <v>14.378</v>
      </c>
      <c r="V63" s="13">
        <v>45.5</v>
      </c>
      <c r="W63" s="13">
        <v>45.542999999999999</v>
      </c>
      <c r="X63" s="13">
        <v>45.683999999999997</v>
      </c>
      <c r="Y63" s="13">
        <v>44.847999999999999</v>
      </c>
      <c r="Z63" s="13">
        <v>40.759</v>
      </c>
      <c r="AA63" s="13">
        <v>42.204000000000001</v>
      </c>
      <c r="AB63" s="13">
        <v>41.118000000000002</v>
      </c>
      <c r="AC63" s="13">
        <v>39.048000000000002</v>
      </c>
      <c r="AD63" s="13">
        <v>37.843000000000004</v>
      </c>
      <c r="AE63" s="13">
        <v>35.133000000000003</v>
      </c>
      <c r="AF63" s="13">
        <v>31.234999999999999</v>
      </c>
      <c r="AG63" s="13">
        <v>36.307000000000002</v>
      </c>
      <c r="AH63" s="13">
        <v>36.325000000000003</v>
      </c>
      <c r="AI63" s="13">
        <v>45.354999999999997</v>
      </c>
      <c r="AJ63" s="13">
        <v>35.747999999999998</v>
      </c>
      <c r="AK63" s="13">
        <v>36.487000000000002</v>
      </c>
      <c r="AL63" s="13">
        <v>40.475000000000001</v>
      </c>
      <c r="AM63" s="13">
        <v>40.844000000000001</v>
      </c>
      <c r="AN63" s="13">
        <v>43.863</v>
      </c>
      <c r="AO63" s="13">
        <v>40.590000000000003</v>
      </c>
      <c r="AP63" s="13">
        <v>40.932000000000002</v>
      </c>
      <c r="AQ63" s="13">
        <v>41.820999999999998</v>
      </c>
      <c r="AR63" s="13">
        <v>46.392000000000003</v>
      </c>
      <c r="AS63" s="13">
        <v>50.42</v>
      </c>
      <c r="AT63" s="13">
        <v>43.575000000000003</v>
      </c>
      <c r="AU63" s="13">
        <v>41.417999999999999</v>
      </c>
      <c r="AV63" s="13">
        <v>40.883000000000003</v>
      </c>
      <c r="AW63" s="13">
        <v>41.732999999999997</v>
      </c>
      <c r="AX63" s="13">
        <v>46.262</v>
      </c>
      <c r="AY63" s="13">
        <v>44.343000000000004</v>
      </c>
      <c r="AZ63" s="13">
        <v>43.478999999999999</v>
      </c>
      <c r="BA63" s="13">
        <v>44.802</v>
      </c>
      <c r="BB63" s="13">
        <v>47.612000000000002</v>
      </c>
      <c r="BC63" s="13">
        <v>47.741</v>
      </c>
      <c r="BD63" s="13">
        <v>52.835000000000001</v>
      </c>
      <c r="BE63" s="13">
        <v>40.783000000000001</v>
      </c>
      <c r="BF63" s="13">
        <v>86.843999999999994</v>
      </c>
      <c r="BG63" s="13">
        <v>63.582000000000001</v>
      </c>
      <c r="BH63" s="13">
        <v>63.237000000000002</v>
      </c>
      <c r="BI63" s="13">
        <v>57.527999999999999</v>
      </c>
      <c r="BJ63" s="13">
        <v>62.9</v>
      </c>
      <c r="BK63" s="13">
        <v>65.218999999999994</v>
      </c>
      <c r="BL63" s="13">
        <v>69.822000000000003</v>
      </c>
      <c r="BM63" s="13">
        <v>70.819999999999993</v>
      </c>
      <c r="BN63" s="13">
        <v>66.597999999999999</v>
      </c>
      <c r="BO63" s="13">
        <v>59.966000000000001</v>
      </c>
      <c r="BP63" s="13">
        <v>64.462000000000003</v>
      </c>
      <c r="BQ63" s="13">
        <v>72.783000000000001</v>
      </c>
      <c r="BR63" s="13">
        <v>78.775000000000006</v>
      </c>
      <c r="BS63" s="13">
        <v>78.317999999999998</v>
      </c>
      <c r="BT63" s="13">
        <v>78.082999999999998</v>
      </c>
      <c r="BU63" s="13">
        <v>85.856999999999999</v>
      </c>
      <c r="BV63" s="13">
        <v>93.477999999999994</v>
      </c>
      <c r="BW63" s="13">
        <v>96.447000000000003</v>
      </c>
      <c r="BX63" s="13">
        <v>99.462999999999994</v>
      </c>
    </row>
    <row r="64" spans="2:76">
      <c r="C64" s="9" t="s">
        <v>45</v>
      </c>
      <c r="D64" s="9" t="s">
        <v>44</v>
      </c>
      <c r="E64" s="12">
        <v>1608296</v>
      </c>
      <c r="F64" s="12">
        <v>1858013</v>
      </c>
      <c r="G64" s="12">
        <v>2450054</v>
      </c>
      <c r="H64" s="12">
        <v>1914013</v>
      </c>
      <c r="I64" s="12">
        <v>2955228</v>
      </c>
      <c r="J64" s="12">
        <v>2159813</v>
      </c>
      <c r="K64" s="12">
        <v>1855896</v>
      </c>
      <c r="L64" s="12">
        <v>1304964</v>
      </c>
      <c r="M64" s="12">
        <v>1094859</v>
      </c>
      <c r="N64" s="12">
        <v>1641589</v>
      </c>
      <c r="O64" s="12">
        <v>2416135</v>
      </c>
      <c r="P64" s="12">
        <v>2465598</v>
      </c>
      <c r="Q64" s="12">
        <v>855050</v>
      </c>
      <c r="R64" s="12">
        <v>527078</v>
      </c>
      <c r="S64" s="12">
        <v>942753</v>
      </c>
      <c r="T64" s="12">
        <v>662873</v>
      </c>
      <c r="U64" s="12">
        <v>1219498</v>
      </c>
      <c r="V64" s="12">
        <v>787870</v>
      </c>
      <c r="W64" s="12">
        <v>454426</v>
      </c>
      <c r="X64" s="12">
        <v>711399</v>
      </c>
      <c r="Y64" s="12">
        <v>1081726</v>
      </c>
      <c r="Z64" s="12">
        <v>387252</v>
      </c>
      <c r="AA64" s="12">
        <v>295935</v>
      </c>
      <c r="AB64" s="12">
        <v>531444</v>
      </c>
      <c r="AC64" s="12">
        <v>339365</v>
      </c>
      <c r="AD64" s="12">
        <v>770704</v>
      </c>
      <c r="AE64" s="12">
        <v>950746</v>
      </c>
      <c r="AF64" s="12">
        <v>1150759</v>
      </c>
      <c r="AG64" s="12">
        <v>729776</v>
      </c>
      <c r="AH64" s="12">
        <v>1065311</v>
      </c>
      <c r="AI64" s="12">
        <v>1000574</v>
      </c>
      <c r="AJ64" s="12">
        <v>983488</v>
      </c>
      <c r="AK64" s="12">
        <v>1260001</v>
      </c>
      <c r="AL64" s="12">
        <v>1353687</v>
      </c>
      <c r="AM64" s="12">
        <v>1410327</v>
      </c>
      <c r="AN64" s="12">
        <v>1390162</v>
      </c>
      <c r="AO64" s="12">
        <v>1064786</v>
      </c>
      <c r="AP64" s="12">
        <v>732404</v>
      </c>
      <c r="AQ64" s="12">
        <v>826678</v>
      </c>
      <c r="AR64" s="12">
        <v>1182167</v>
      </c>
      <c r="AS64" s="12">
        <v>1453194</v>
      </c>
      <c r="AT64" s="12">
        <v>901822</v>
      </c>
      <c r="AU64" s="12">
        <v>943291</v>
      </c>
      <c r="AV64" s="12">
        <v>901256</v>
      </c>
      <c r="AW64" s="12">
        <v>948708</v>
      </c>
      <c r="AX64" s="12">
        <v>983939</v>
      </c>
      <c r="AY64" s="12">
        <v>814183</v>
      </c>
      <c r="AZ64" s="12">
        <v>744053</v>
      </c>
      <c r="BA64" s="12">
        <v>910909</v>
      </c>
      <c r="BB64" s="12">
        <v>1063852</v>
      </c>
      <c r="BC64" s="12">
        <v>1249330</v>
      </c>
      <c r="BD64" s="12">
        <v>1180343</v>
      </c>
      <c r="BE64" s="12">
        <v>1154241</v>
      </c>
      <c r="BF64" s="12">
        <v>1719606</v>
      </c>
      <c r="BG64" s="12">
        <v>1873821</v>
      </c>
      <c r="BH64" s="12">
        <v>2175603</v>
      </c>
      <c r="BI64" s="12">
        <v>1494518</v>
      </c>
      <c r="BJ64" s="12">
        <v>2329616</v>
      </c>
      <c r="BK64" s="12">
        <v>1236157</v>
      </c>
      <c r="BL64" s="12">
        <v>1438689</v>
      </c>
      <c r="BM64" s="12">
        <v>2444705</v>
      </c>
      <c r="BN64" s="12">
        <v>3937266</v>
      </c>
      <c r="BO64" s="12">
        <v>1644625</v>
      </c>
      <c r="BP64" s="12">
        <v>1624970</v>
      </c>
      <c r="BQ64" s="12">
        <v>2585851</v>
      </c>
      <c r="BR64" s="12">
        <v>1982535</v>
      </c>
      <c r="BS64" s="12">
        <v>2752560</v>
      </c>
      <c r="BT64" s="12">
        <v>3735731</v>
      </c>
      <c r="BU64" s="12">
        <v>2891841</v>
      </c>
      <c r="BV64" s="12">
        <v>2796685</v>
      </c>
      <c r="BW64" s="12">
        <v>2685270</v>
      </c>
      <c r="BX64" s="12">
        <v>2785149</v>
      </c>
    </row>
    <row r="65" spans="3:76">
      <c r="C65" s="9" t="s">
        <v>46</v>
      </c>
      <c r="D65" s="9" t="s">
        <v>44</v>
      </c>
      <c r="E65" s="15">
        <v>7.6200000000000004E-2</v>
      </c>
      <c r="F65" s="15">
        <v>7.9899999999999999E-2</v>
      </c>
      <c r="G65" s="15">
        <v>8.1500000000000003E-2</v>
      </c>
      <c r="H65" s="15">
        <v>9.1700000000000004E-2</v>
      </c>
      <c r="I65" s="15">
        <v>9.2799999999999994E-2</v>
      </c>
      <c r="J65" s="15">
        <v>7.5899999999999995E-2</v>
      </c>
      <c r="K65" s="15">
        <v>8.4599999999999995E-2</v>
      </c>
      <c r="L65" s="15">
        <v>8.0199999999999994E-2</v>
      </c>
      <c r="M65" s="15">
        <v>8.72E-2</v>
      </c>
      <c r="N65" s="15">
        <v>9.4600000000000004E-2</v>
      </c>
      <c r="O65" s="15">
        <v>0.1164</v>
      </c>
      <c r="P65" s="15">
        <v>0.1162</v>
      </c>
      <c r="Q65" s="15">
        <v>0.1152</v>
      </c>
      <c r="R65" s="15">
        <v>0.11749999999999999</v>
      </c>
      <c r="S65" s="15">
        <v>0.1173</v>
      </c>
      <c r="T65" s="15">
        <v>0.1191</v>
      </c>
      <c r="U65" s="15">
        <v>0.1061</v>
      </c>
      <c r="V65" s="15">
        <v>0.10489999999999999</v>
      </c>
      <c r="W65" s="15">
        <v>9.3899999999999997E-2</v>
      </c>
      <c r="X65" s="15">
        <v>0.10630000000000001</v>
      </c>
      <c r="Y65" s="15">
        <v>0.1012</v>
      </c>
      <c r="Z65" s="15">
        <v>0.1019</v>
      </c>
      <c r="AA65" s="15">
        <v>0.10009999999999999</v>
      </c>
      <c r="AB65" s="15">
        <v>9.1499999999999998E-2</v>
      </c>
      <c r="AC65" s="15">
        <v>9.2200000000000004E-2</v>
      </c>
      <c r="AD65" s="15">
        <v>8.3199999999999996E-2</v>
      </c>
      <c r="AE65" s="15">
        <v>7.5899999999999995E-2</v>
      </c>
      <c r="AF65" s="15">
        <v>6.5600000000000006E-2</v>
      </c>
      <c r="AG65" s="15">
        <v>7.9000000000000001E-2</v>
      </c>
      <c r="AH65" s="15">
        <v>7.3700000000000002E-2</v>
      </c>
      <c r="AI65" s="15">
        <v>7.4700000000000003E-2</v>
      </c>
      <c r="AJ65" s="15">
        <v>7.46E-2</v>
      </c>
      <c r="AK65" s="15">
        <v>7.7100000000000002E-2</v>
      </c>
      <c r="AL65" s="15">
        <v>8.6599999999999996E-2</v>
      </c>
      <c r="AM65" s="15">
        <v>8.8400000000000006E-2</v>
      </c>
      <c r="AN65" s="15">
        <v>9.4700000000000006E-2</v>
      </c>
      <c r="AO65" s="15">
        <v>8.5900000000000004E-2</v>
      </c>
      <c r="AP65" s="15">
        <v>8.0799999999999997E-2</v>
      </c>
      <c r="AQ65" s="15">
        <v>8.5999999999999993E-2</v>
      </c>
      <c r="AR65" s="15">
        <v>9.9099999999999994E-2</v>
      </c>
      <c r="AS65" s="15">
        <v>0.1094</v>
      </c>
      <c r="AT65" s="15">
        <v>9.8100000000000007E-2</v>
      </c>
      <c r="AU65" s="15">
        <v>9.2899999999999996E-2</v>
      </c>
      <c r="AV65" s="15">
        <v>9.06E-2</v>
      </c>
      <c r="AW65" s="15">
        <v>8.9300000000000004E-2</v>
      </c>
      <c r="AX65" s="15">
        <v>0.1051</v>
      </c>
      <c r="AY65" s="15">
        <v>0.10290000000000001</v>
      </c>
      <c r="AZ65" s="15">
        <v>0.1026</v>
      </c>
      <c r="BA65" s="15">
        <v>0.1045</v>
      </c>
      <c r="BB65" s="15">
        <v>0.10879999999999999</v>
      </c>
      <c r="BC65" s="15">
        <v>0.1089</v>
      </c>
      <c r="BD65" s="15">
        <v>0.10059999999999999</v>
      </c>
      <c r="BE65" s="15">
        <v>8.8400000000000006E-2</v>
      </c>
      <c r="BF65" s="15">
        <v>0.1845</v>
      </c>
      <c r="BG65" s="15">
        <v>0.13150000000000001</v>
      </c>
      <c r="BH65" s="15">
        <v>0.1313</v>
      </c>
      <c r="BI65" s="15">
        <v>0.1231</v>
      </c>
      <c r="BJ65" s="15">
        <v>0.129</v>
      </c>
      <c r="BK65" s="15">
        <v>0.1401</v>
      </c>
      <c r="BL65" s="15">
        <v>0.14979999999999999</v>
      </c>
      <c r="BM65" s="15">
        <v>0.1424</v>
      </c>
      <c r="BN65" s="15">
        <v>0.13739999999999999</v>
      </c>
      <c r="BO65" s="15">
        <v>0.12609999999999999</v>
      </c>
      <c r="BP65" s="15">
        <v>0.13420000000000001</v>
      </c>
      <c r="BQ65" s="15">
        <v>0.14680000000000001</v>
      </c>
      <c r="BR65" s="15">
        <v>0.1605</v>
      </c>
      <c r="BS65" s="15">
        <v>0.1603</v>
      </c>
      <c r="BT65" s="15">
        <v>0.1613</v>
      </c>
      <c r="BU65" s="15">
        <v>0.17630000000000001</v>
      </c>
      <c r="BV65" s="15">
        <v>0.19550000000000001</v>
      </c>
      <c r="BW65" s="15">
        <v>0.2099</v>
      </c>
      <c r="BX65" s="15">
        <v>0.2162</v>
      </c>
    </row>
    <row r="66" spans="3:76">
      <c r="C66" s="9" t="s">
        <v>55</v>
      </c>
      <c r="D66" s="9" t="s">
        <v>44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>
        <v>0.43979999999999997</v>
      </c>
      <c r="T66" s="13">
        <v>0.4219</v>
      </c>
      <c r="U66" s="13">
        <v>0.41789999999999999</v>
      </c>
      <c r="V66" s="13">
        <v>0.44640000000000002</v>
      </c>
      <c r="W66" s="13">
        <v>0.45679999999999998</v>
      </c>
      <c r="X66" s="13">
        <v>0.40539999999999998</v>
      </c>
      <c r="Y66" s="13">
        <v>0.3871</v>
      </c>
      <c r="Z66" s="13">
        <v>0.45569999999999999</v>
      </c>
      <c r="AA66" s="13">
        <v>0.37219999999999998</v>
      </c>
      <c r="AB66" s="13">
        <v>0.37140000000000001</v>
      </c>
      <c r="AC66" s="13">
        <v>0.28129999999999999</v>
      </c>
      <c r="AD66" s="13">
        <v>0.20399999999999999</v>
      </c>
      <c r="AE66" s="13">
        <v>0.30640000000000001</v>
      </c>
      <c r="AF66" s="13">
        <v>0.34329999999999999</v>
      </c>
      <c r="AG66" s="13">
        <v>0.37060000000000004</v>
      </c>
      <c r="AH66" s="13">
        <v>0.35899999999999999</v>
      </c>
      <c r="AI66" s="13">
        <v>0.35470000000000002</v>
      </c>
      <c r="AJ66" s="13">
        <v>0.36130000000000001</v>
      </c>
      <c r="AK66" s="13">
        <v>0.38250000000000001</v>
      </c>
      <c r="AL66" s="13">
        <v>0.43810000000000004</v>
      </c>
      <c r="AM66" s="13">
        <v>0.42820000000000003</v>
      </c>
      <c r="AN66" s="13">
        <v>0.40990000000000004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</row>
    <row r="67" spans="3:76">
      <c r="C67" s="9" t="s">
        <v>54</v>
      </c>
      <c r="D67" s="9" t="s">
        <v>44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>
        <v>0.40389999999999998</v>
      </c>
      <c r="AP67" s="13"/>
      <c r="AQ67" s="13">
        <v>0.48530000000000001</v>
      </c>
      <c r="AR67" s="13">
        <v>0.53639999999999999</v>
      </c>
      <c r="AS67" s="13">
        <v>0.4158</v>
      </c>
      <c r="AT67" s="13">
        <v>0.38700000000000001</v>
      </c>
      <c r="AU67" s="13">
        <v>0.39729999999999999</v>
      </c>
      <c r="AV67" s="13">
        <v>0.4163</v>
      </c>
      <c r="AW67" s="13">
        <v>0.46679999999999999</v>
      </c>
      <c r="AX67" s="13">
        <v>0.42380000000000001</v>
      </c>
      <c r="AY67" s="13">
        <v>0.42</v>
      </c>
      <c r="AZ67" s="13">
        <v>0.4461</v>
      </c>
      <c r="BA67" s="13">
        <v>0.47360000000000002</v>
      </c>
      <c r="BB67" s="13">
        <v>0.47350000000000003</v>
      </c>
      <c r="BC67" s="13">
        <v>0.52880000000000005</v>
      </c>
      <c r="BD67" s="13">
        <v>0.53759999999999997</v>
      </c>
      <c r="BE67" s="13">
        <v>0.60340000000000005</v>
      </c>
      <c r="BF67" s="13">
        <v>0.66099999999999992</v>
      </c>
      <c r="BG67" s="13">
        <v>0.56269999999999998</v>
      </c>
      <c r="BH67" s="13">
        <v>0.6079</v>
      </c>
      <c r="BI67" s="13">
        <v>0.61609999999999998</v>
      </c>
      <c r="BJ67" s="13">
        <v>0.64590000000000003</v>
      </c>
      <c r="BK67" s="13">
        <v>0.74809999999999999</v>
      </c>
      <c r="BL67" s="13">
        <v>0.71569999999999989</v>
      </c>
      <c r="BM67" s="13">
        <v>0.62709999999999999</v>
      </c>
      <c r="BN67" s="13">
        <v>0.60670000000000002</v>
      </c>
      <c r="BO67" s="13">
        <v>0.68569999999999998</v>
      </c>
      <c r="BP67" s="13">
        <v>0.7831999999999999</v>
      </c>
      <c r="BQ67" s="13">
        <v>0.8337</v>
      </c>
      <c r="BR67" s="13">
        <v>0.78430000000000011</v>
      </c>
      <c r="BS67" s="13">
        <v>0.78799999999999992</v>
      </c>
      <c r="BT67" s="13">
        <v>0.83629999999999993</v>
      </c>
      <c r="BU67" s="13">
        <v>0.94099999999999995</v>
      </c>
      <c r="BV67" s="13">
        <v>0.98709999999999998</v>
      </c>
      <c r="BW67" s="13">
        <v>1.0695999999999999</v>
      </c>
      <c r="BX67" s="13">
        <v>0.87930000000000008</v>
      </c>
    </row>
  </sheetData>
  <pageMargins left="0.7" right="0.7" top="0.75" bottom="0.75" header="0.3" footer="0.3"/>
  <pageSetup orientation="portrait" horizontalDpi="4294967293" vertic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0"/>
  <sheetViews>
    <sheetView tabSelected="1" workbookViewId="0">
      <pane xSplit="2" ySplit="4" topLeftCell="DK96" activePane="bottomRight" state="frozen"/>
      <selection pane="topRight" activeCell="C1" sqref="C1"/>
      <selection pane="bottomLeft" activeCell="A5" sqref="A5"/>
      <selection pane="bottomRight" activeCell="DV104" sqref="DV104"/>
    </sheetView>
  </sheetViews>
  <sheetFormatPr defaultColWidth="11.44140625" defaultRowHeight="14.4"/>
  <cols>
    <col min="1" max="1" width="48.44140625" style="9" bestFit="1" customWidth="1"/>
    <col min="2" max="2" width="11.44140625" style="9" bestFit="1" customWidth="1"/>
    <col min="3" max="9" width="11.109375" style="9" bestFit="1" customWidth="1"/>
    <col min="10" max="10" width="12.6640625" style="9" bestFit="1" customWidth="1"/>
    <col min="11" max="21" width="11.109375" style="9" bestFit="1" customWidth="1"/>
    <col min="22" max="22" width="12.6640625" style="9" bestFit="1" customWidth="1"/>
    <col min="23" max="110" width="11.109375" style="9" bestFit="1" customWidth="1"/>
    <col min="111" max="120" width="11.109375" style="272" bestFit="1" customWidth="1"/>
    <col min="121" max="121" width="12.44140625" style="272" bestFit="1" customWidth="1"/>
    <col min="122" max="122" width="11.109375" style="272" bestFit="1" customWidth="1"/>
  </cols>
  <sheetData>
    <row r="1" spans="1:122" s="9" customFormat="1">
      <c r="A1" s="9" t="s">
        <v>444</v>
      </c>
      <c r="DG1" s="272"/>
      <c r="DH1" s="272"/>
      <c r="DI1" s="272"/>
      <c r="DJ1" s="272"/>
      <c r="DK1" s="272"/>
      <c r="DL1" s="272"/>
      <c r="DM1" s="272"/>
      <c r="DN1" s="272"/>
      <c r="DO1" s="272"/>
      <c r="DP1" s="272"/>
      <c r="DQ1" s="272"/>
      <c r="DR1" s="272"/>
    </row>
    <row r="2" spans="1:122" s="9" customFormat="1">
      <c r="DG2" s="272"/>
      <c r="DH2" s="272"/>
      <c r="DI2" s="272"/>
      <c r="DJ2" s="272"/>
      <c r="DK2" s="272"/>
      <c r="DL2" s="272"/>
      <c r="DM2" s="272"/>
      <c r="DN2" s="272"/>
      <c r="DO2" s="272"/>
      <c r="DP2" s="272"/>
      <c r="DQ2" s="272"/>
      <c r="DR2" s="272"/>
    </row>
    <row r="3" spans="1:122" s="9" customFormat="1">
      <c r="DG3" s="272"/>
      <c r="DH3" s="272"/>
      <c r="DI3" s="272"/>
      <c r="DJ3" s="272"/>
      <c r="DK3" s="272"/>
      <c r="DL3" s="272"/>
      <c r="DM3" s="272"/>
      <c r="DN3" s="272"/>
      <c r="DO3" s="272"/>
      <c r="DP3" s="272"/>
      <c r="DQ3" s="272"/>
      <c r="DR3" s="272"/>
    </row>
    <row r="4" spans="1:122" s="9" customFormat="1">
      <c r="A4" s="11" t="s">
        <v>372</v>
      </c>
      <c r="B4" s="11" t="s">
        <v>38</v>
      </c>
      <c r="C4" s="10">
        <v>38718</v>
      </c>
      <c r="D4" s="10">
        <v>38749</v>
      </c>
      <c r="E4" s="10">
        <v>38777</v>
      </c>
      <c r="F4" s="10">
        <v>38808</v>
      </c>
      <c r="G4" s="207">
        <v>38838</v>
      </c>
      <c r="H4" s="207">
        <v>38869</v>
      </c>
      <c r="I4" s="207">
        <v>38899</v>
      </c>
      <c r="J4" s="207">
        <v>38930</v>
      </c>
      <c r="K4" s="207">
        <v>38961</v>
      </c>
      <c r="L4" s="207">
        <v>38991</v>
      </c>
      <c r="M4" s="207">
        <v>39022</v>
      </c>
      <c r="N4" s="207">
        <v>39052</v>
      </c>
      <c r="O4" s="207">
        <v>39083</v>
      </c>
      <c r="P4" s="207">
        <v>39114</v>
      </c>
      <c r="Q4" s="207">
        <v>39142</v>
      </c>
      <c r="R4" s="207">
        <v>39173</v>
      </c>
      <c r="S4" s="207">
        <v>39203</v>
      </c>
      <c r="T4" s="207">
        <v>39234</v>
      </c>
      <c r="U4" s="207">
        <v>39264</v>
      </c>
      <c r="V4" s="207">
        <v>39295</v>
      </c>
      <c r="W4" s="207">
        <v>39326</v>
      </c>
      <c r="X4" s="207">
        <v>39356</v>
      </c>
      <c r="Y4" s="207">
        <v>39387</v>
      </c>
      <c r="Z4" s="207">
        <v>39417</v>
      </c>
      <c r="AA4" s="207">
        <v>39448</v>
      </c>
      <c r="AB4" s="207">
        <v>39479</v>
      </c>
      <c r="AC4" s="207">
        <v>39508</v>
      </c>
      <c r="AD4" s="207">
        <v>39539</v>
      </c>
      <c r="AE4" s="207">
        <v>39569</v>
      </c>
      <c r="AF4" s="207">
        <v>39600</v>
      </c>
      <c r="AG4" s="207">
        <v>39630</v>
      </c>
      <c r="AH4" s="207">
        <v>39661</v>
      </c>
      <c r="AI4" s="207">
        <v>39692</v>
      </c>
      <c r="AJ4" s="207">
        <v>39722</v>
      </c>
      <c r="AK4" s="207">
        <v>39753</v>
      </c>
      <c r="AL4" s="207">
        <v>39783</v>
      </c>
      <c r="AM4" s="207">
        <v>39814</v>
      </c>
      <c r="AN4" s="207">
        <v>39845</v>
      </c>
      <c r="AO4" s="207">
        <v>39873</v>
      </c>
      <c r="AP4" s="207">
        <v>39904</v>
      </c>
      <c r="AQ4" s="207">
        <v>39934</v>
      </c>
      <c r="AR4" s="207">
        <v>39965</v>
      </c>
      <c r="AS4" s="207">
        <v>39995</v>
      </c>
      <c r="AT4" s="207">
        <v>40026</v>
      </c>
      <c r="AU4" s="207">
        <v>40057</v>
      </c>
      <c r="AV4" s="207">
        <v>40087</v>
      </c>
      <c r="AW4" s="207">
        <v>40118</v>
      </c>
      <c r="AX4" s="207">
        <v>40148</v>
      </c>
      <c r="AY4" s="207">
        <v>40179</v>
      </c>
      <c r="AZ4" s="207">
        <v>40210</v>
      </c>
      <c r="BA4" s="207">
        <v>40238</v>
      </c>
      <c r="BB4" s="207">
        <v>40269</v>
      </c>
      <c r="BC4" s="207">
        <v>40299</v>
      </c>
      <c r="BD4" s="207">
        <v>40330</v>
      </c>
      <c r="BE4" s="207">
        <v>40360</v>
      </c>
      <c r="BF4" s="207">
        <v>40391</v>
      </c>
      <c r="BG4" s="207">
        <v>40422</v>
      </c>
      <c r="BH4" s="207">
        <v>40452</v>
      </c>
      <c r="BI4" s="207">
        <v>40483</v>
      </c>
      <c r="BJ4" s="207">
        <v>40513</v>
      </c>
      <c r="BK4" s="207">
        <v>40544</v>
      </c>
      <c r="BL4" s="207">
        <v>40575</v>
      </c>
      <c r="BM4" s="207">
        <v>40603</v>
      </c>
      <c r="BN4" s="207">
        <v>40634</v>
      </c>
      <c r="BO4" s="207">
        <v>40664</v>
      </c>
      <c r="BP4" s="207">
        <v>40695</v>
      </c>
      <c r="BQ4" s="207">
        <v>40725</v>
      </c>
      <c r="BR4" s="207">
        <v>40756</v>
      </c>
      <c r="BS4" s="207">
        <v>40787</v>
      </c>
      <c r="BT4" s="207">
        <v>40817</v>
      </c>
      <c r="BU4" s="207">
        <v>40848</v>
      </c>
      <c r="BV4" s="207">
        <v>40878</v>
      </c>
      <c r="BW4" s="207">
        <v>40909</v>
      </c>
      <c r="BX4" s="207">
        <v>40940</v>
      </c>
      <c r="BY4" s="207">
        <v>40969</v>
      </c>
      <c r="BZ4" s="207">
        <v>41000</v>
      </c>
      <c r="CA4" s="207">
        <v>41030</v>
      </c>
      <c r="CB4" s="207">
        <v>41061</v>
      </c>
      <c r="CC4" s="207">
        <v>41091</v>
      </c>
      <c r="CD4" s="207">
        <v>41122</v>
      </c>
      <c r="CE4" s="207">
        <v>41153</v>
      </c>
      <c r="CF4" s="207">
        <v>41183</v>
      </c>
      <c r="CG4" s="207">
        <v>41214</v>
      </c>
      <c r="CH4" s="207">
        <v>41244</v>
      </c>
      <c r="CI4" s="207">
        <v>41275</v>
      </c>
      <c r="CJ4" s="207">
        <v>41306</v>
      </c>
      <c r="CK4" s="207">
        <v>41334</v>
      </c>
      <c r="CL4" s="207">
        <v>41365</v>
      </c>
      <c r="CM4" s="207">
        <v>41395</v>
      </c>
      <c r="CN4" s="207">
        <v>41426</v>
      </c>
      <c r="CO4" s="207">
        <v>41456</v>
      </c>
      <c r="CP4" s="207">
        <v>41487</v>
      </c>
      <c r="CQ4" s="207">
        <v>41518</v>
      </c>
      <c r="CR4" s="207">
        <v>41548</v>
      </c>
      <c r="CS4" s="207">
        <v>41579</v>
      </c>
      <c r="CT4" s="207">
        <v>41609</v>
      </c>
      <c r="CU4" s="207">
        <v>41640</v>
      </c>
      <c r="CV4" s="207">
        <v>41671</v>
      </c>
      <c r="CW4" s="207">
        <v>41699</v>
      </c>
      <c r="CX4" s="207">
        <v>41730</v>
      </c>
      <c r="CY4" s="207">
        <v>41760</v>
      </c>
      <c r="CZ4" s="207">
        <v>41791</v>
      </c>
      <c r="DA4" s="207">
        <v>41821</v>
      </c>
      <c r="DB4" s="207">
        <v>41852</v>
      </c>
      <c r="DC4" s="207">
        <v>41883</v>
      </c>
      <c r="DD4" s="207">
        <v>41913</v>
      </c>
      <c r="DE4" s="207">
        <v>41944</v>
      </c>
      <c r="DF4" s="207">
        <v>41974</v>
      </c>
      <c r="DG4" s="207">
        <v>42005</v>
      </c>
      <c r="DH4" s="207">
        <v>42036</v>
      </c>
      <c r="DI4" s="207">
        <v>42064</v>
      </c>
      <c r="DJ4" s="207">
        <v>42095</v>
      </c>
      <c r="DK4" s="207">
        <v>42125</v>
      </c>
      <c r="DL4" s="207">
        <v>42156</v>
      </c>
      <c r="DM4" s="207">
        <v>42186</v>
      </c>
      <c r="DN4" s="207">
        <v>42217</v>
      </c>
      <c r="DO4" s="207">
        <v>42248</v>
      </c>
      <c r="DP4" s="207">
        <v>42278</v>
      </c>
      <c r="DQ4" s="207">
        <v>42309</v>
      </c>
      <c r="DR4" s="207">
        <v>42339</v>
      </c>
    </row>
    <row r="5" spans="1:122" s="9" customFormat="1">
      <c r="DG5" s="272"/>
      <c r="DH5" s="272"/>
      <c r="DI5" s="272"/>
      <c r="DJ5" s="272"/>
      <c r="DK5" s="272"/>
      <c r="DL5" s="272"/>
      <c r="DM5" s="272"/>
      <c r="DN5" s="272"/>
      <c r="DO5" s="272"/>
      <c r="DP5" s="272"/>
      <c r="DQ5" s="272"/>
      <c r="DR5" s="272"/>
    </row>
    <row r="6" spans="1:122" s="9" customFormat="1">
      <c r="A6" s="9" t="s">
        <v>373</v>
      </c>
      <c r="B6" s="9" t="s">
        <v>374</v>
      </c>
      <c r="C6" s="13">
        <v>65.537499999999994</v>
      </c>
      <c r="D6" s="13">
        <v>61.925789473684219</v>
      </c>
      <c r="E6" s="13">
        <v>62.96608695652175</v>
      </c>
      <c r="F6" s="13">
        <v>70.16105263157894</v>
      </c>
      <c r="G6" s="13">
        <v>70.96090909090907</v>
      </c>
      <c r="H6" s="13">
        <v>70.969545454545454</v>
      </c>
      <c r="I6" s="13">
        <v>74.463157894736838</v>
      </c>
      <c r="J6" s="13">
        <v>73.083478260869569</v>
      </c>
      <c r="K6" s="13">
        <v>63.895000000000003</v>
      </c>
      <c r="L6" s="13">
        <v>59.136818181818178</v>
      </c>
      <c r="M6" s="13">
        <v>59.403000000000006</v>
      </c>
      <c r="N6" s="13">
        <v>62.086499999999987</v>
      </c>
      <c r="O6" s="13">
        <v>54.672380952380955</v>
      </c>
      <c r="P6" s="13">
        <v>59.3878947368421</v>
      </c>
      <c r="Q6" s="13">
        <v>60.740454545454547</v>
      </c>
      <c r="R6" s="13">
        <v>64.036000000000001</v>
      </c>
      <c r="S6" s="13">
        <v>63.530909090909091</v>
      </c>
      <c r="T6" s="13">
        <v>67.529523809523809</v>
      </c>
      <c r="U6" s="13">
        <v>74.150476190476198</v>
      </c>
      <c r="V6" s="13">
        <v>72.358695652173907</v>
      </c>
      <c r="W6" s="13">
        <v>79.626315789473679</v>
      </c>
      <c r="X6" s="13">
        <v>85.658260869565197</v>
      </c>
      <c r="Y6" s="13">
        <v>94.631428571428572</v>
      </c>
      <c r="Z6" s="13">
        <v>91.742499999999993</v>
      </c>
      <c r="AA6" s="13">
        <v>92.929047619047623</v>
      </c>
      <c r="AB6" s="13">
        <v>95.34899999999999</v>
      </c>
      <c r="AC6" s="13">
        <v>105.42</v>
      </c>
      <c r="AD6" s="13">
        <v>112.46272727272729</v>
      </c>
      <c r="AE6" s="13">
        <v>125.42380952380951</v>
      </c>
      <c r="AF6" s="13">
        <v>134.0157142857143</v>
      </c>
      <c r="AG6" s="13">
        <v>133.48454545454544</v>
      </c>
      <c r="AH6" s="13">
        <v>116.68809523809526</v>
      </c>
      <c r="AI6" s="13">
        <v>103.76380952380954</v>
      </c>
      <c r="AJ6" s="13">
        <v>76.723913043478262</v>
      </c>
      <c r="AK6" s="13">
        <v>57.441052631578955</v>
      </c>
      <c r="AL6" s="13">
        <v>42.042272727272739</v>
      </c>
      <c r="AM6" s="13">
        <v>41.923999999999999</v>
      </c>
      <c r="AN6" s="13">
        <v>39.258421052631583</v>
      </c>
      <c r="AO6" s="13">
        <v>48.061818181818175</v>
      </c>
      <c r="AP6" s="13">
        <v>49.949523809523811</v>
      </c>
      <c r="AQ6" s="13">
        <v>59.213000000000001</v>
      </c>
      <c r="AR6" s="13">
        <v>69.695454545454524</v>
      </c>
      <c r="AS6" s="13">
        <v>64.293000000000006</v>
      </c>
      <c r="AT6" s="13">
        <v>71.138999999999996</v>
      </c>
      <c r="AU6" s="13">
        <v>69.47</v>
      </c>
      <c r="AV6" s="13">
        <v>75.819999999999993</v>
      </c>
      <c r="AW6" s="13">
        <v>78.150000000000006</v>
      </c>
      <c r="AX6" s="13">
        <v>74.599999999999994</v>
      </c>
      <c r="AY6" s="13">
        <v>78.400000000000006</v>
      </c>
      <c r="AZ6" s="13">
        <v>76.45</v>
      </c>
      <c r="BA6" s="13">
        <v>81.290000000000006</v>
      </c>
      <c r="BB6" s="13">
        <v>84.58</v>
      </c>
      <c r="BC6" s="13">
        <v>74.12</v>
      </c>
      <c r="BD6" s="13">
        <v>75.400000000000006</v>
      </c>
      <c r="BE6" s="13">
        <v>76.38</v>
      </c>
      <c r="BF6" s="13">
        <v>76.67</v>
      </c>
      <c r="BG6" s="13">
        <v>75.55</v>
      </c>
      <c r="BH6" s="13">
        <v>81.97</v>
      </c>
      <c r="BI6" s="13">
        <v>84.31</v>
      </c>
      <c r="BJ6" s="13">
        <v>89.23</v>
      </c>
      <c r="BK6" s="13">
        <v>89.58</v>
      </c>
      <c r="BL6" s="13">
        <v>89.74</v>
      </c>
      <c r="BM6" s="13">
        <v>102.98</v>
      </c>
      <c r="BN6" s="13">
        <v>110.04</v>
      </c>
      <c r="BO6" s="13">
        <v>101.36</v>
      </c>
      <c r="BP6" s="13">
        <v>96.29</v>
      </c>
      <c r="BQ6" s="13">
        <v>97.34</v>
      </c>
      <c r="BR6" s="13">
        <v>86.34</v>
      </c>
      <c r="BS6" s="13">
        <v>85.61</v>
      </c>
      <c r="BT6" s="13">
        <v>86.43</v>
      </c>
      <c r="BU6" s="13">
        <v>97.16</v>
      </c>
      <c r="BV6" s="13">
        <v>98.58</v>
      </c>
      <c r="BW6" s="13">
        <v>100.3185</v>
      </c>
      <c r="BX6" s="13">
        <v>102.2625</v>
      </c>
      <c r="BY6" s="13">
        <v>106.20499999999998</v>
      </c>
      <c r="BZ6" s="13">
        <v>103.346</v>
      </c>
      <c r="CA6" s="13">
        <v>94.715909090909093</v>
      </c>
      <c r="CB6" s="13">
        <v>82.405238095238076</v>
      </c>
      <c r="CC6" s="13">
        <v>87.931428571428583</v>
      </c>
      <c r="CD6" s="13">
        <v>94.160869565217382</v>
      </c>
      <c r="CE6" s="13">
        <v>94.558421052631573</v>
      </c>
      <c r="CF6" s="13">
        <v>89.570869565217393</v>
      </c>
      <c r="CG6" s="13">
        <v>86.689473684210526</v>
      </c>
      <c r="CH6" s="13">
        <v>88.191999999999993</v>
      </c>
      <c r="CI6" s="13">
        <v>94.828571428571436</v>
      </c>
      <c r="CJ6" s="13">
        <v>95.461578947368437</v>
      </c>
      <c r="CK6" s="13">
        <v>92.724705882352936</v>
      </c>
      <c r="CL6" s="13">
        <v>92.113500000000016</v>
      </c>
      <c r="CM6" s="13">
        <v>94.799545454545466</v>
      </c>
      <c r="CN6" s="13">
        <v>95.901764705882329</v>
      </c>
      <c r="CO6" s="13">
        <v>104.5395238095238</v>
      </c>
      <c r="CP6" s="13">
        <v>106.4415789473684</v>
      </c>
      <c r="CQ6" s="13">
        <v>106.23499999999999</v>
      </c>
      <c r="CR6" s="13">
        <v>100.74227272727272</v>
      </c>
      <c r="CS6" s="13">
        <v>93.780555555555523</v>
      </c>
      <c r="CT6" s="13">
        <v>97.867999999999981</v>
      </c>
      <c r="CU6" s="13">
        <v>94.856666666666683</v>
      </c>
      <c r="CV6" s="13">
        <v>100.67526315789475</v>
      </c>
      <c r="CW6" s="13">
        <v>100.5215</v>
      </c>
      <c r="CX6" s="13">
        <v>102.03142857142856</v>
      </c>
      <c r="CY6" s="13">
        <v>101.90950000000001</v>
      </c>
      <c r="CZ6" s="13">
        <v>105.18500000000002</v>
      </c>
      <c r="DA6" s="13">
        <v>102.5141666666667</v>
      </c>
      <c r="DB6" s="13">
        <v>95.926315789473676</v>
      </c>
      <c r="DC6" s="13">
        <v>93.034285714285701</v>
      </c>
      <c r="DD6" s="13">
        <v>84.441363636363633</v>
      </c>
      <c r="DE6" s="13">
        <v>75.810000000000031</v>
      </c>
      <c r="DF6" s="13">
        <v>59.289545454545447</v>
      </c>
      <c r="DG6" s="13">
        <v>47.325499999999998</v>
      </c>
      <c r="DH6" s="13">
        <v>50.724736842105266</v>
      </c>
      <c r="DI6" s="13">
        <v>47.854090909090907</v>
      </c>
      <c r="DJ6" s="13">
        <v>54.433181818181815</v>
      </c>
      <c r="DK6" s="13">
        <v>59.372</v>
      </c>
      <c r="DL6" s="13">
        <v>59.828636363636363</v>
      </c>
      <c r="DM6" s="13">
        <v>50.93</v>
      </c>
      <c r="DN6" s="13">
        <v>42.889047619047616</v>
      </c>
      <c r="DO6" s="13">
        <v>45.506999999999991</v>
      </c>
      <c r="DP6" s="13">
        <v>46.36333333333333</v>
      </c>
      <c r="DQ6" s="13">
        <v>42.922631578947374</v>
      </c>
      <c r="DR6" s="13">
        <v>37.327272727272735</v>
      </c>
    </row>
    <row r="7" spans="1:122" s="9" customFormat="1"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</row>
    <row r="8" spans="1:122" s="9" customFormat="1">
      <c r="A8" s="9" t="s">
        <v>375</v>
      </c>
      <c r="B8" s="9" t="s">
        <v>374</v>
      </c>
      <c r="C8" s="13">
        <v>62.99</v>
      </c>
      <c r="D8" s="13">
        <v>60.21</v>
      </c>
      <c r="E8" s="13">
        <v>62.06</v>
      </c>
      <c r="F8" s="13">
        <v>70.260000000000005</v>
      </c>
      <c r="G8" s="13">
        <v>69.78</v>
      </c>
      <c r="H8" s="13">
        <v>68.56</v>
      </c>
      <c r="I8" s="13">
        <v>73.67</v>
      </c>
      <c r="J8" s="13">
        <v>73.23</v>
      </c>
      <c r="K8" s="13">
        <v>61.96</v>
      </c>
      <c r="L8" s="13">
        <v>57.81</v>
      </c>
      <c r="M8" s="13">
        <v>58.76</v>
      </c>
      <c r="N8" s="13">
        <v>62.47</v>
      </c>
      <c r="O8" s="13">
        <v>53.68</v>
      </c>
      <c r="P8" s="13">
        <v>57.56</v>
      </c>
      <c r="Q8" s="13">
        <v>62.05</v>
      </c>
      <c r="R8" s="13">
        <v>67.489999999999995</v>
      </c>
      <c r="S8" s="13">
        <v>67.209999999999994</v>
      </c>
      <c r="T8" s="13">
        <v>71.05</v>
      </c>
      <c r="U8" s="13">
        <v>76.930000000000007</v>
      </c>
      <c r="V8" s="13">
        <v>70.760000000000005</v>
      </c>
      <c r="W8" s="13">
        <v>77.17</v>
      </c>
      <c r="X8" s="13">
        <v>82.34</v>
      </c>
      <c r="Y8" s="13">
        <v>92.41</v>
      </c>
      <c r="Z8" s="13">
        <v>90.93</v>
      </c>
      <c r="AA8" s="13">
        <v>92.18</v>
      </c>
      <c r="AB8" s="13">
        <v>94.99</v>
      </c>
      <c r="AC8" s="13">
        <v>103.64</v>
      </c>
      <c r="AD8" s="13">
        <v>109.07</v>
      </c>
      <c r="AE8" s="13">
        <v>122.8</v>
      </c>
      <c r="AF8" s="13">
        <v>132.32</v>
      </c>
      <c r="AG8" s="13">
        <v>132.72</v>
      </c>
      <c r="AH8" s="13">
        <v>113.24</v>
      </c>
      <c r="AI8" s="13">
        <v>97.23</v>
      </c>
      <c r="AJ8" s="13">
        <v>71.58</v>
      </c>
      <c r="AK8" s="13">
        <v>52.45</v>
      </c>
      <c r="AL8" s="13">
        <v>39.950000000000003</v>
      </c>
      <c r="AM8" s="13">
        <v>43.44</v>
      </c>
      <c r="AN8" s="13">
        <v>43.32</v>
      </c>
      <c r="AO8" s="13">
        <v>46.54</v>
      </c>
      <c r="AP8" s="13">
        <v>50.18</v>
      </c>
      <c r="AQ8" s="13">
        <v>57.3</v>
      </c>
      <c r="AR8" s="13">
        <v>68.61</v>
      </c>
      <c r="AS8" s="13">
        <v>64.44</v>
      </c>
      <c r="AT8" s="13">
        <v>72.510000000000005</v>
      </c>
      <c r="AU8" s="13">
        <v>67.650000000000006</v>
      </c>
      <c r="AV8" s="13">
        <v>72.77</v>
      </c>
      <c r="AW8" s="13">
        <v>76.66</v>
      </c>
      <c r="AX8" s="13">
        <v>74.459999999999994</v>
      </c>
      <c r="AY8" s="13">
        <v>76.17</v>
      </c>
      <c r="AZ8" s="13">
        <v>73.75</v>
      </c>
      <c r="BA8" s="13">
        <v>78.83</v>
      </c>
      <c r="BB8" s="13">
        <v>84.82</v>
      </c>
      <c r="BC8" s="13">
        <v>75.95</v>
      </c>
      <c r="BD8" s="13">
        <v>74.760000000000005</v>
      </c>
      <c r="BE8" s="13">
        <v>75.58</v>
      </c>
      <c r="BF8" s="13">
        <v>77.040000000000006</v>
      </c>
      <c r="BG8" s="13">
        <v>77.84</v>
      </c>
      <c r="BH8" s="13">
        <v>82.67</v>
      </c>
      <c r="BI8" s="13">
        <v>85.28</v>
      </c>
      <c r="BJ8" s="13">
        <v>91.45</v>
      </c>
      <c r="BK8" s="13">
        <v>96.52</v>
      </c>
      <c r="BL8" s="13">
        <v>103.72</v>
      </c>
      <c r="BM8" s="13">
        <v>114.64</v>
      </c>
      <c r="BN8" s="13">
        <v>123.26</v>
      </c>
      <c r="BO8" s="13">
        <v>114.99</v>
      </c>
      <c r="BP8" s="13">
        <v>113.83</v>
      </c>
      <c r="BQ8" s="13">
        <v>116.97</v>
      </c>
      <c r="BR8" s="13">
        <v>110.22</v>
      </c>
      <c r="BS8" s="13">
        <v>112.83</v>
      </c>
      <c r="BT8" s="13">
        <v>109.55</v>
      </c>
      <c r="BU8" s="13">
        <v>110.77</v>
      </c>
      <c r="BV8" s="13">
        <v>107.87</v>
      </c>
      <c r="BW8" s="13">
        <v>110.69</v>
      </c>
      <c r="BX8" s="13">
        <v>119.33</v>
      </c>
      <c r="BY8" s="13">
        <v>125.45</v>
      </c>
      <c r="BZ8" s="13">
        <v>119.75</v>
      </c>
      <c r="CA8" s="13">
        <v>110.34</v>
      </c>
      <c r="CB8" s="13">
        <v>95.16</v>
      </c>
      <c r="CC8" s="13">
        <v>102.62</v>
      </c>
      <c r="CD8" s="13">
        <v>113.36</v>
      </c>
      <c r="CE8" s="13">
        <v>112.86</v>
      </c>
      <c r="CF8" s="13">
        <v>111.71</v>
      </c>
      <c r="CG8" s="13">
        <v>109.06</v>
      </c>
      <c r="CH8" s="13">
        <v>109.49</v>
      </c>
      <c r="CI8" s="13">
        <v>112.96</v>
      </c>
      <c r="CJ8" s="13">
        <v>116.05</v>
      </c>
      <c r="CK8" s="13">
        <v>108.47</v>
      </c>
      <c r="CL8" s="13">
        <v>102.25</v>
      </c>
      <c r="CM8" s="13">
        <v>102.56</v>
      </c>
      <c r="CN8" s="13">
        <v>102.92</v>
      </c>
      <c r="CO8" s="13">
        <v>107.93</v>
      </c>
      <c r="CP8" s="13">
        <v>111.28</v>
      </c>
      <c r="CQ8" s="13">
        <v>111.6</v>
      </c>
      <c r="CR8" s="13">
        <v>109.08</v>
      </c>
      <c r="CS8" s="13">
        <v>107.79</v>
      </c>
      <c r="CT8" s="13">
        <v>110.76</v>
      </c>
      <c r="CU8" s="13">
        <v>108.12</v>
      </c>
      <c r="CV8" s="13">
        <v>108.9</v>
      </c>
      <c r="CW8" s="13">
        <v>107.48</v>
      </c>
      <c r="CX8" s="13">
        <v>107.76</v>
      </c>
      <c r="CY8" s="13">
        <v>109.54</v>
      </c>
      <c r="CZ8" s="13">
        <v>111.8</v>
      </c>
      <c r="DA8" s="13">
        <v>106.77</v>
      </c>
      <c r="DB8" s="13">
        <v>101.61</v>
      </c>
      <c r="DC8" s="13">
        <v>97.09</v>
      </c>
      <c r="DD8" s="13">
        <v>87.43</v>
      </c>
      <c r="DE8" s="13">
        <v>79.44</v>
      </c>
      <c r="DF8" s="13">
        <v>62.34</v>
      </c>
      <c r="DG8" s="13">
        <v>47.76</v>
      </c>
      <c r="DH8" s="13">
        <v>58.1</v>
      </c>
      <c r="DI8" s="13">
        <v>55.89</v>
      </c>
      <c r="DJ8" s="13">
        <v>59.52</v>
      </c>
      <c r="DK8" s="13">
        <v>64.08</v>
      </c>
      <c r="DL8" s="13">
        <v>61.48</v>
      </c>
      <c r="DM8" s="13">
        <v>56.56</v>
      </c>
      <c r="DN8" s="13">
        <v>46.52</v>
      </c>
      <c r="DO8" s="13">
        <v>47.62</v>
      </c>
      <c r="DP8" s="13">
        <v>48.43</v>
      </c>
      <c r="DQ8" s="13">
        <v>44.27</v>
      </c>
      <c r="DR8" s="13">
        <v>38.01</v>
      </c>
    </row>
    <row r="9" spans="1:122" s="9" customFormat="1"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</row>
    <row r="10" spans="1:122" s="9" customFormat="1">
      <c r="A10" s="9" t="s">
        <v>376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</row>
    <row r="11" spans="1:122" s="9" customFormat="1">
      <c r="A11" s="9" t="s">
        <v>377</v>
      </c>
      <c r="B11" s="9" t="s">
        <v>378</v>
      </c>
      <c r="C11" s="15">
        <v>2.3138999999999998</v>
      </c>
      <c r="D11" s="15">
        <v>2.285428571428572</v>
      </c>
      <c r="E11" s="15">
        <v>2.4180000000000006</v>
      </c>
      <c r="F11" s="15">
        <v>2.7695517241379313</v>
      </c>
      <c r="G11" s="15">
        <v>2.892066666666667</v>
      </c>
      <c r="H11" s="15">
        <v>2.8730000000000002</v>
      </c>
      <c r="I11" s="15">
        <v>2.9725161290322584</v>
      </c>
      <c r="J11" s="15">
        <v>2.9515483870967745</v>
      </c>
      <c r="K11" s="15">
        <v>2.5329333333333333</v>
      </c>
      <c r="L11" s="15">
        <v>2.2387999999999999</v>
      </c>
      <c r="M11" s="15">
        <v>2.2263333333333333</v>
      </c>
      <c r="N11" s="15">
        <v>2.3092903225806451</v>
      </c>
      <c r="O11" s="15">
        <v>2.2245161290322581</v>
      </c>
      <c r="P11" s="15">
        <v>2.2543214285714281</v>
      </c>
      <c r="Q11" s="15">
        <v>2.5512903225806451</v>
      </c>
      <c r="R11" s="15">
        <v>2.8286333333333338</v>
      </c>
      <c r="S11" s="15">
        <v>3.1184838709677418</v>
      </c>
      <c r="T11" s="15">
        <v>3.0428999999999991</v>
      </c>
      <c r="U11" s="15">
        <v>2.9699999999999998</v>
      </c>
      <c r="V11" s="15">
        <v>2.7870322580645159</v>
      </c>
      <c r="W11" s="15">
        <v>2.8024333333333327</v>
      </c>
      <c r="X11" s="15">
        <v>2.8016000000000001</v>
      </c>
      <c r="Y11" s="15">
        <v>3.0730666666666662</v>
      </c>
      <c r="Z11" s="15">
        <v>3.004633333333333</v>
      </c>
      <c r="AA11" s="15">
        <v>3.0410322580645164</v>
      </c>
      <c r="AB11" s="15">
        <v>3.034214285714286</v>
      </c>
      <c r="AC11" s="15">
        <v>3.2470322580645163</v>
      </c>
      <c r="AD11" s="15">
        <v>3.4458965517241373</v>
      </c>
      <c r="AE11" s="15">
        <v>3.7867096774193549</v>
      </c>
      <c r="AF11" s="15">
        <v>4.0496666666666679</v>
      </c>
      <c r="AG11" s="15">
        <v>4.0557419354838711</v>
      </c>
      <c r="AH11" s="15">
        <v>3.7595161290322583</v>
      </c>
      <c r="AI11" s="15">
        <v>3.7137000000000007</v>
      </c>
      <c r="AJ11" s="15">
        <v>3.0528064516129039</v>
      </c>
      <c r="AK11" s="15">
        <v>2.0977000000000001</v>
      </c>
      <c r="AL11" s="15">
        <v>1.679516129032258</v>
      </c>
      <c r="AM11" s="15">
        <v>1.7953548387096774</v>
      </c>
      <c r="AN11" s="15">
        <v>1.9236071428571424</v>
      </c>
      <c r="AO11" s="15">
        <v>1.9597419354838708</v>
      </c>
      <c r="AP11" s="15">
        <v>2.0509333333333331</v>
      </c>
      <c r="AQ11" s="15">
        <v>2.2989999999999999</v>
      </c>
      <c r="AR11" s="15">
        <v>2.6419333333333337</v>
      </c>
      <c r="AS11" s="15">
        <v>2.528</v>
      </c>
      <c r="AT11" s="15">
        <v>2.62</v>
      </c>
      <c r="AU11" s="9">
        <v>2.5510000000000002</v>
      </c>
      <c r="AV11" s="9">
        <v>2.5569999999999999</v>
      </c>
      <c r="AW11" s="9">
        <v>2.6480000000000001</v>
      </c>
      <c r="AX11" s="9">
        <v>2.6110000000000002</v>
      </c>
      <c r="AY11" s="9">
        <v>2.714</v>
      </c>
      <c r="AZ11" s="9">
        <v>2.6509999999999998</v>
      </c>
      <c r="BA11" s="9">
        <v>2.7810000000000001</v>
      </c>
      <c r="BB11" s="9">
        <v>2.855</v>
      </c>
      <c r="BC11" s="15">
        <v>2.8438709677419354</v>
      </c>
      <c r="BD11" s="15">
        <v>2.7269999999999999</v>
      </c>
      <c r="BE11" s="15">
        <v>2.7269999999999999</v>
      </c>
      <c r="BF11" s="15">
        <v>2.7320000000000002</v>
      </c>
      <c r="BG11" s="15">
        <v>2.7029999999999998</v>
      </c>
      <c r="BH11" s="15">
        <v>2.7989999999999999</v>
      </c>
      <c r="BI11" s="15">
        <v>2.8610000000000002</v>
      </c>
      <c r="BJ11" s="15">
        <v>2.9910000000000001</v>
      </c>
      <c r="BK11" s="15">
        <v>3.0960000000000001</v>
      </c>
      <c r="BL11" s="15">
        <v>3.177</v>
      </c>
      <c r="BM11" s="15">
        <v>3.54</v>
      </c>
      <c r="BN11" s="15">
        <v>3.8050000000000002</v>
      </c>
      <c r="BO11" s="15">
        <v>3.9020000000000001</v>
      </c>
      <c r="BP11" s="15">
        <v>3.67</v>
      </c>
      <c r="BQ11" s="15">
        <v>3.6539999999999999</v>
      </c>
      <c r="BR11" s="15">
        <v>3.6190000000000002</v>
      </c>
      <c r="BS11" s="15">
        <v>3.585</v>
      </c>
      <c r="BT11" s="15">
        <v>3.4340000000000002</v>
      </c>
      <c r="BU11" s="15">
        <v>3.375</v>
      </c>
      <c r="BV11" s="15">
        <v>3.2559999999999998</v>
      </c>
      <c r="BW11" s="15">
        <v>3.3760967741935484</v>
      </c>
      <c r="BX11" s="15">
        <v>3.5594482758620685</v>
      </c>
      <c r="BY11" s="15">
        <v>3.8352258064516134</v>
      </c>
      <c r="BZ11" s="15">
        <v>3.885933333333333</v>
      </c>
      <c r="CA11" s="15">
        <v>3.7107419354838713</v>
      </c>
      <c r="CB11" s="15">
        <v>3.4887333333333337</v>
      </c>
      <c r="CC11" s="15">
        <v>3.4218387096774192</v>
      </c>
      <c r="CD11" s="15">
        <v>3.7024193548387094</v>
      </c>
      <c r="CE11" s="15">
        <v>3.8278666666666665</v>
      </c>
      <c r="CF11" s="15">
        <v>3.7056451612903234</v>
      </c>
      <c r="CG11" s="15">
        <v>3.4362222222222223</v>
      </c>
      <c r="CH11" s="15">
        <v>3.2977499999999997</v>
      </c>
      <c r="CI11" s="15">
        <v>3.3250909090909091</v>
      </c>
      <c r="CJ11" s="15">
        <v>3.6594705882352945</v>
      </c>
      <c r="CK11" s="15">
        <v>3.6937058823529414</v>
      </c>
      <c r="CL11" s="15">
        <v>3.5516666666666676</v>
      </c>
      <c r="CM11" s="15">
        <v>3.59352380952381</v>
      </c>
      <c r="CN11" s="15">
        <v>3.6018823529411765</v>
      </c>
      <c r="CO11" s="15">
        <v>3.5879047619047615</v>
      </c>
      <c r="CP11" s="15">
        <v>3.5626315789473684</v>
      </c>
      <c r="CQ11" s="15">
        <v>3.5086190476190473</v>
      </c>
      <c r="CR11" s="15">
        <v>3.3352608695652179</v>
      </c>
      <c r="CS11" s="15">
        <v>3.2321250000000004</v>
      </c>
      <c r="CT11" s="15">
        <v>3.2544210526315789</v>
      </c>
      <c r="CU11" s="15">
        <v>3.2982380952380947</v>
      </c>
      <c r="CV11" s="15">
        <v>3.3524444444444441</v>
      </c>
      <c r="CW11" s="15">
        <v>3.5092857142857139</v>
      </c>
      <c r="CX11" s="15">
        <v>3.6401428571428562</v>
      </c>
      <c r="CY11" s="15">
        <v>3.6542777777777768</v>
      </c>
      <c r="CZ11" s="15">
        <v>3.6676190476190476</v>
      </c>
      <c r="DA11" s="15">
        <v>3.5791666666666662</v>
      </c>
      <c r="DB11" s="15">
        <v>3.4569444444444448</v>
      </c>
      <c r="DC11" s="15">
        <v>3.38185</v>
      </c>
      <c r="DD11" s="15">
        <v>3.1534399999999994</v>
      </c>
      <c r="DE11" s="15">
        <v>2.8850000000000002</v>
      </c>
      <c r="DF11" s="15">
        <v>2.503857142857143</v>
      </c>
      <c r="DG11" s="15">
        <v>2.0934285714285719</v>
      </c>
      <c r="DH11" s="15">
        <v>2.243208333333333</v>
      </c>
      <c r="DI11" s="15">
        <v>2.4319642857142862</v>
      </c>
      <c r="DJ11" s="15">
        <v>2.4500666666666664</v>
      </c>
      <c r="DK11" s="15">
        <v>2.6939333333333333</v>
      </c>
      <c r="DL11" s="15">
        <v>2.776333333333334</v>
      </c>
      <c r="DM11" s="15">
        <v>2.7482758620689647</v>
      </c>
      <c r="DN11" s="15">
        <v>2.5962000000000005</v>
      </c>
      <c r="DO11" s="15">
        <v>2.3252173913043483</v>
      </c>
      <c r="DP11" s="15">
        <v>2.2627931034482756</v>
      </c>
      <c r="DQ11" s="15">
        <v>2.143214285714286</v>
      </c>
      <c r="DR11" s="15">
        <v>2.0164583333333335</v>
      </c>
    </row>
    <row r="12" spans="1:122" s="9" customFormat="1">
      <c r="A12" s="9" t="s">
        <v>379</v>
      </c>
      <c r="B12" s="9" t="s">
        <v>378</v>
      </c>
      <c r="C12" s="15">
        <v>2.4565666666666668</v>
      </c>
      <c r="D12" s="15">
        <v>2.4269285714285718</v>
      </c>
      <c r="E12" s="15">
        <v>2.5674516129032261</v>
      </c>
      <c r="F12" s="15">
        <v>2.9404482758620687</v>
      </c>
      <c r="G12" s="15">
        <v>3.0703666666666662</v>
      </c>
      <c r="H12" s="15" t="e">
        <v>#NAME?</v>
      </c>
      <c r="I12" s="15">
        <v>3.1557096774193547</v>
      </c>
      <c r="J12" s="15">
        <v>3.1332903225806463</v>
      </c>
      <c r="K12" s="15">
        <v>2.6891333333333325</v>
      </c>
      <c r="L12" s="15">
        <v>2.3766333333333329</v>
      </c>
      <c r="M12" s="15">
        <v>2.3633333333333328</v>
      </c>
      <c r="N12" s="15">
        <v>2.4509999999999996</v>
      </c>
      <c r="O12" s="15">
        <v>2.3613225806451612</v>
      </c>
      <c r="P12" s="15">
        <v>2.3927142857142862</v>
      </c>
      <c r="Q12" s="15">
        <v>2.7080000000000011</v>
      </c>
      <c r="R12" s="15">
        <v>3.0025333333333335</v>
      </c>
      <c r="S12" s="15">
        <v>3.3100967741935481</v>
      </c>
      <c r="T12" s="15">
        <v>3.2304333333333344</v>
      </c>
      <c r="U12" s="15">
        <v>3.1526774193548386</v>
      </c>
      <c r="V12" s="15">
        <v>2.9585806451612915</v>
      </c>
      <c r="W12" s="15">
        <v>2.9749999999999996</v>
      </c>
      <c r="X12" s="15">
        <v>2.9746666666666663</v>
      </c>
      <c r="Y12" s="15">
        <v>3.2628333333333335</v>
      </c>
      <c r="Z12" s="15">
        <v>3.1906666666666661</v>
      </c>
      <c r="AA12" s="15">
        <v>3.2292580645161291</v>
      </c>
      <c r="AB12" s="15">
        <v>3.2219642857142854</v>
      </c>
      <c r="AC12" s="15">
        <v>3.4476774193548385</v>
      </c>
      <c r="AD12" s="15">
        <v>3.6591379310344823</v>
      </c>
      <c r="AE12" s="15">
        <v>4.0212580645161289</v>
      </c>
      <c r="AF12" s="15">
        <v>4.3001333333333323</v>
      </c>
      <c r="AG12" s="15">
        <v>4.2872903225806445</v>
      </c>
      <c r="AH12" s="15">
        <v>3.9208709677419353</v>
      </c>
      <c r="AI12" s="15">
        <v>3.8732333333333329</v>
      </c>
      <c r="AJ12" s="15">
        <v>3.1840645161290326</v>
      </c>
      <c r="AK12" s="15">
        <v>2.1931333333333334</v>
      </c>
      <c r="AL12" s="15">
        <v>1.7837741935483873</v>
      </c>
      <c r="AM12" s="15">
        <v>1.9066129032258068</v>
      </c>
      <c r="AN12" s="15">
        <v>2.0426428571428574</v>
      </c>
      <c r="AO12" s="15">
        <v>2.081064516129032</v>
      </c>
      <c r="AP12" s="15">
        <v>2.1777333333333333</v>
      </c>
      <c r="AQ12" s="15">
        <v>2.4409999999999998</v>
      </c>
      <c r="AR12" s="15">
        <v>2.805133333333333</v>
      </c>
      <c r="AS12" s="15">
        <v>2.6840000000000002</v>
      </c>
      <c r="AT12" s="15">
        <v>2.782</v>
      </c>
      <c r="AU12" s="9">
        <v>2.7090000000000001</v>
      </c>
      <c r="AV12" s="9">
        <v>2.7149999999999999</v>
      </c>
      <c r="AW12" s="9">
        <v>2.8119999999999998</v>
      </c>
      <c r="AX12" s="9">
        <v>2.7730000000000001</v>
      </c>
      <c r="AY12" s="9">
        <v>2.8820000000000001</v>
      </c>
      <c r="AZ12" s="9">
        <v>2.8159999999999998</v>
      </c>
      <c r="BA12" s="9">
        <v>2.9529999999999998</v>
      </c>
      <c r="BB12" s="9">
        <v>3.0310000000000001</v>
      </c>
      <c r="BC12" s="15">
        <v>3.0193870967741927</v>
      </c>
      <c r="BD12" s="15">
        <v>2.895</v>
      </c>
      <c r="BE12" s="15">
        <v>2.895</v>
      </c>
      <c r="BF12" s="15">
        <v>2.9</v>
      </c>
      <c r="BG12" s="15">
        <v>2.8690000000000002</v>
      </c>
      <c r="BH12" s="15">
        <v>2.972</v>
      </c>
      <c r="BI12" s="15">
        <v>3.0379999999999998</v>
      </c>
      <c r="BJ12" s="15">
        <v>3.177</v>
      </c>
      <c r="BK12" s="15">
        <v>3.2879999999999998</v>
      </c>
      <c r="BL12" s="15">
        <v>3.3090000000000002</v>
      </c>
      <c r="BM12" s="15">
        <v>3.6739999999999999</v>
      </c>
      <c r="BN12" s="15">
        <v>3.9409999999999998</v>
      </c>
      <c r="BO12" s="15">
        <v>4.0430000000000001</v>
      </c>
      <c r="BP12" s="15">
        <v>3.81</v>
      </c>
      <c r="BQ12" s="15">
        <v>3.7789999999999999</v>
      </c>
      <c r="BR12" s="15">
        <v>3.7469999999999999</v>
      </c>
      <c r="BS12" s="15">
        <v>3.7240000000000002</v>
      </c>
      <c r="BT12" s="15">
        <v>3.5750000000000002</v>
      </c>
      <c r="BU12" s="15">
        <v>3.5209999999999999</v>
      </c>
      <c r="BV12" s="15">
        <v>3.4</v>
      </c>
      <c r="BW12" s="15">
        <v>3.5100322580645167</v>
      </c>
      <c r="BX12" s="15">
        <v>3.6905517241379315</v>
      </c>
      <c r="BY12" s="15">
        <v>3.9784193548387092</v>
      </c>
      <c r="BZ12" s="15">
        <v>4.0244666666666671</v>
      </c>
      <c r="CA12" s="15">
        <v>3.8714516129032264</v>
      </c>
      <c r="CB12" s="15">
        <v>3.6541666666666659</v>
      </c>
      <c r="CC12" s="15">
        <v>3.5707096774193543</v>
      </c>
      <c r="CD12" s="15">
        <v>3.8462258064516126</v>
      </c>
      <c r="CE12" s="15">
        <v>3.9758333333333331</v>
      </c>
      <c r="CF12" s="15">
        <v>3.8814516129032248</v>
      </c>
      <c r="CG12" s="15">
        <v>3.6056111111111115</v>
      </c>
      <c r="CH12" s="15">
        <v>3.4601499999999996</v>
      </c>
      <c r="CI12" s="15">
        <v>3.4783636363636363</v>
      </c>
      <c r="CJ12" s="15">
        <v>3.8147647058823528</v>
      </c>
      <c r="CK12" s="15">
        <v>3.8582941176470587</v>
      </c>
      <c r="CL12" s="15">
        <v>3.7232777777777772</v>
      </c>
      <c r="CM12" s="15">
        <v>3.7671904761904758</v>
      </c>
      <c r="CN12" s="15">
        <v>3.780470588235294</v>
      </c>
      <c r="CO12" s="15">
        <v>3.7580000000000005</v>
      </c>
      <c r="CP12" s="15">
        <v>3.7314736842105267</v>
      </c>
      <c r="CQ12" s="15">
        <v>3.6864761904761902</v>
      </c>
      <c r="CR12" s="15">
        <v>3.5165652173913045</v>
      </c>
      <c r="CS12" s="15">
        <v>3.4074999999999993</v>
      </c>
      <c r="CT12" s="15">
        <v>3.4286842105263156</v>
      </c>
      <c r="CU12" s="15">
        <v>3.4780952380952384</v>
      </c>
      <c r="CV12" s="15">
        <v>3.5322777777777778</v>
      </c>
      <c r="CW12" s="15">
        <v>3.6915714285714292</v>
      </c>
      <c r="CX12" s="15">
        <v>3.8172380952380949</v>
      </c>
      <c r="CY12" s="15">
        <v>3.8383888888888884</v>
      </c>
      <c r="CZ12" s="15">
        <v>3.8530476190476186</v>
      </c>
      <c r="DA12" s="15">
        <v>3.7712083333333326</v>
      </c>
      <c r="DB12" s="15">
        <v>3.6559999999999997</v>
      </c>
      <c r="DC12" s="15">
        <v>3.5799500000000002</v>
      </c>
      <c r="DD12" s="15">
        <v>3.3623599999999998</v>
      </c>
      <c r="DE12" s="15">
        <v>3.09815</v>
      </c>
      <c r="DF12" s="15">
        <v>2.7245714285714282</v>
      </c>
      <c r="DG12" s="15">
        <v>2.3160476190476182</v>
      </c>
      <c r="DH12" s="15">
        <v>2.4492499999999997</v>
      </c>
      <c r="DI12" s="15">
        <v>2.6505000000000001</v>
      </c>
      <c r="DJ12" s="15">
        <v>2.6615666666666673</v>
      </c>
      <c r="DK12" s="15">
        <v>2.9026333333333332</v>
      </c>
      <c r="DL12" s="15">
        <v>2.983133333333333</v>
      </c>
      <c r="DM12" s="15">
        <v>2.9760689655172401</v>
      </c>
      <c r="DN12" s="15">
        <v>2.8575666666666666</v>
      </c>
      <c r="DO12" s="15">
        <v>2.6115652173913046</v>
      </c>
      <c r="DP12" s="15">
        <v>2.5319655172413791</v>
      </c>
      <c r="DQ12" s="15">
        <v>2.413928571428571</v>
      </c>
      <c r="DR12" s="15">
        <v>2.2913333333333328</v>
      </c>
    </row>
    <row r="13" spans="1:122" s="9" customFormat="1">
      <c r="A13" s="9" t="s">
        <v>380</v>
      </c>
      <c r="B13" s="9" t="s">
        <v>378</v>
      </c>
      <c r="C13" s="15">
        <v>2.5459000000000005</v>
      </c>
      <c r="D13" s="15">
        <v>2.5145714285714282</v>
      </c>
      <c r="E13" s="15">
        <v>2.6604516129032265</v>
      </c>
      <c r="F13" s="15">
        <v>3.0468965517241378</v>
      </c>
      <c r="G13" s="15">
        <v>3.1813666666666669</v>
      </c>
      <c r="H13" s="15">
        <v>3.1604666666666668</v>
      </c>
      <c r="I13" s="15">
        <v>3.270258064516129</v>
      </c>
      <c r="J13" s="15">
        <v>3.2473225806451604</v>
      </c>
      <c r="K13" s="15">
        <v>2.7864999999999998</v>
      </c>
      <c r="L13" s="15">
        <v>2.4628000000000001</v>
      </c>
      <c r="M13" s="15">
        <v>2.4491999999999994</v>
      </c>
      <c r="N13" s="15">
        <v>2.5400322580645165</v>
      </c>
      <c r="O13" s="15">
        <v>2.4469354838709676</v>
      </c>
      <c r="P13" s="15">
        <v>2.479714285714286</v>
      </c>
      <c r="Q13" s="15">
        <v>2.8061612903225805</v>
      </c>
      <c r="R13" s="15">
        <v>3.1115666666666666</v>
      </c>
      <c r="S13" s="15">
        <v>3.430548387096775</v>
      </c>
      <c r="T13" s="15">
        <v>3.3479000000000001</v>
      </c>
      <c r="U13" s="15">
        <v>3.2674193548387098</v>
      </c>
      <c r="V13" s="15">
        <v>3.0663548387096777</v>
      </c>
      <c r="W13" s="15">
        <v>3.0832999999999999</v>
      </c>
      <c r="X13" s="15">
        <v>3.0825999999999998</v>
      </c>
      <c r="Y13" s="15">
        <v>3.3811666666666671</v>
      </c>
      <c r="Z13" s="15">
        <v>3.3061333333333338</v>
      </c>
      <c r="AA13" s="15">
        <v>3.3464193548387104</v>
      </c>
      <c r="AB13" s="15">
        <v>3.3389642857142854</v>
      </c>
      <c r="AC13" s="15">
        <v>3.5727096774193541</v>
      </c>
      <c r="AD13" s="15">
        <v>3.7908620689655175</v>
      </c>
      <c r="AE13" s="15">
        <v>4.1659354838709666</v>
      </c>
      <c r="AF13" s="15">
        <v>4.4545666666666666</v>
      </c>
      <c r="AG13" s="15">
        <v>4.4364838709677423</v>
      </c>
      <c r="AH13" s="15">
        <v>4.039419354838711</v>
      </c>
      <c r="AI13" s="15">
        <v>3.9902000000000002</v>
      </c>
      <c r="AJ13" s="15">
        <v>3.2799677419354838</v>
      </c>
      <c r="AK13" s="15">
        <v>2.2604333333333329</v>
      </c>
      <c r="AL13" s="15">
        <v>1.847258064516129</v>
      </c>
      <c r="AM13" s="15">
        <v>1.9743548387096768</v>
      </c>
      <c r="AN13" s="15">
        <v>2.1153214285714288</v>
      </c>
      <c r="AO13" s="15">
        <v>2.1552903225806448</v>
      </c>
      <c r="AP13" s="15">
        <v>2.255433333333333</v>
      </c>
      <c r="AQ13" s="15">
        <v>2.528</v>
      </c>
      <c r="AR13" s="15">
        <v>2.9057333333333331</v>
      </c>
      <c r="AS13" s="15">
        <v>2.78</v>
      </c>
      <c r="AT13" s="15">
        <v>2.8809999999999998</v>
      </c>
      <c r="AU13" s="9">
        <v>2.806</v>
      </c>
      <c r="AV13" s="9">
        <v>2.8119999999999998</v>
      </c>
      <c r="AW13" s="9">
        <v>2.9129999999999998</v>
      </c>
      <c r="AX13" s="9">
        <v>2.8719999999999999</v>
      </c>
      <c r="AY13" s="9">
        <v>2.9849999999999999</v>
      </c>
      <c r="AZ13" s="9">
        <v>2.9169999999999998</v>
      </c>
      <c r="BA13" s="14">
        <v>3.06</v>
      </c>
      <c r="BB13" s="14">
        <v>3.14</v>
      </c>
      <c r="BC13" s="15">
        <v>3.128354838709678</v>
      </c>
      <c r="BD13" s="15">
        <v>3</v>
      </c>
      <c r="BE13" s="15">
        <v>2.9990000000000001</v>
      </c>
      <c r="BF13" s="15">
        <v>3.0049999999999999</v>
      </c>
      <c r="BG13" s="15">
        <v>2.9729999999999999</v>
      </c>
      <c r="BH13" s="15">
        <v>3.0790000000000002</v>
      </c>
      <c r="BI13" s="15">
        <v>3.1469999999999998</v>
      </c>
      <c r="BJ13" s="15">
        <v>3.2909999999999999</v>
      </c>
      <c r="BK13" s="15">
        <v>3.4060000000000001</v>
      </c>
      <c r="BL13" s="15">
        <v>3.4390000000000001</v>
      </c>
      <c r="BM13" s="15">
        <v>3.8050000000000002</v>
      </c>
      <c r="BN13" s="15">
        <v>4.069</v>
      </c>
      <c r="BO13" s="15">
        <v>4.17</v>
      </c>
      <c r="BP13" s="15">
        <v>3.94</v>
      </c>
      <c r="BQ13" s="15">
        <v>3.9060000000000001</v>
      </c>
      <c r="BR13" s="15">
        <v>3.875</v>
      </c>
      <c r="BS13" s="15">
        <v>3.8530000000000002</v>
      </c>
      <c r="BT13" s="15">
        <v>3.7069999999999999</v>
      </c>
      <c r="BU13" s="15">
        <v>3.6549999999999998</v>
      </c>
      <c r="BV13" s="15">
        <v>3.536</v>
      </c>
      <c r="BW13" s="15">
        <v>3.6466129032258063</v>
      </c>
      <c r="BX13" s="15">
        <v>3.8245862068965515</v>
      </c>
      <c r="BY13" s="15">
        <v>4.1096129032258073</v>
      </c>
      <c r="BZ13" s="15">
        <v>4.1574333333333335</v>
      </c>
      <c r="CA13" s="15">
        <v>4.0086451612903238</v>
      </c>
      <c r="CB13" s="15">
        <v>3.7892999999999999</v>
      </c>
      <c r="CC13" s="15">
        <v>3.7059032258064515</v>
      </c>
      <c r="CD13" s="15">
        <v>3.9847096774193544</v>
      </c>
      <c r="CE13" s="15">
        <v>4.1153999999999984</v>
      </c>
      <c r="CF13" s="15">
        <v>4.0305806451612902</v>
      </c>
      <c r="CG13" s="15">
        <v>3.7578888888888886</v>
      </c>
      <c r="CH13" s="15">
        <v>3.6124499999999999</v>
      </c>
      <c r="CI13" s="15">
        <v>3.6347727272727268</v>
      </c>
      <c r="CJ13" s="15">
        <v>3.9651764705882355</v>
      </c>
      <c r="CK13" s="15">
        <v>4.0121764705882361</v>
      </c>
      <c r="CL13" s="15">
        <v>3.8815555555555554</v>
      </c>
      <c r="CM13" s="15">
        <v>3.9178571428571431</v>
      </c>
      <c r="CN13" s="15">
        <v>3.9374117647058817</v>
      </c>
      <c r="CO13" s="15">
        <v>3.9203809523809516</v>
      </c>
      <c r="CP13" s="15">
        <v>3.8957368421052636</v>
      </c>
      <c r="CQ13" s="15">
        <v>3.8515714285714298</v>
      </c>
      <c r="CR13" s="15">
        <v>3.6888695652173911</v>
      </c>
      <c r="CS13" s="15">
        <v>3.5838125000000005</v>
      </c>
      <c r="CT13" s="15">
        <v>3.6046315789473682</v>
      </c>
      <c r="CU13" s="15">
        <v>3.6472380952380954</v>
      </c>
      <c r="CV13" s="15">
        <v>3.6997777777777774</v>
      </c>
      <c r="CW13" s="15">
        <v>3.8563333333333327</v>
      </c>
      <c r="CX13" s="15">
        <v>3.9843333333333337</v>
      </c>
      <c r="CY13" s="15">
        <v>4.0078888888888882</v>
      </c>
      <c r="CZ13" s="15">
        <v>4.0222857142857134</v>
      </c>
      <c r="DA13" s="15">
        <v>3.9425416666666666</v>
      </c>
      <c r="DB13" s="15">
        <v>3.8285555555555555</v>
      </c>
      <c r="DC13" s="15">
        <v>3.753950000000001</v>
      </c>
      <c r="DD13" s="15">
        <v>3.5403600000000006</v>
      </c>
      <c r="DE13" s="15">
        <v>3.2789000000000001</v>
      </c>
      <c r="DF13" s="15">
        <v>2.9114761904761908</v>
      </c>
      <c r="DG13" s="15">
        <v>2.5038571428571426</v>
      </c>
      <c r="DH13" s="15">
        <v>2.6313333333333335</v>
      </c>
      <c r="DI13" s="15">
        <v>2.8338214285714285</v>
      </c>
      <c r="DJ13" s="15">
        <v>2.845966666666667</v>
      </c>
      <c r="DK13" s="15">
        <v>3.0862333333333334</v>
      </c>
      <c r="DL13" s="15">
        <v>3.1719000000000004</v>
      </c>
      <c r="DM13" s="15">
        <v>3.1724827586206894</v>
      </c>
      <c r="DN13" s="15">
        <v>3.063699999999999</v>
      </c>
      <c r="DO13" s="15">
        <v>2.8319999999999999</v>
      </c>
      <c r="DP13" s="15">
        <v>2.7534137931034479</v>
      </c>
      <c r="DQ13" s="15">
        <v>2.6402857142857141</v>
      </c>
      <c r="DR13" s="15">
        <v>2.5204166666666667</v>
      </c>
    </row>
    <row r="14" spans="1:122" s="9" customFormat="1"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</row>
    <row r="15" spans="1:122" s="9" customFormat="1">
      <c r="A15" s="9" t="s">
        <v>381</v>
      </c>
      <c r="B15" s="9" t="s">
        <v>378</v>
      </c>
      <c r="C15" s="15">
        <v>2.5678000000000001</v>
      </c>
      <c r="D15" s="15">
        <v>2.5675714285714286</v>
      </c>
      <c r="E15" s="15">
        <v>2.6293548387096775</v>
      </c>
      <c r="F15" s="15">
        <v>2.8115862068965511</v>
      </c>
      <c r="G15" s="15">
        <v>2.9601000000000002</v>
      </c>
      <c r="H15" s="15">
        <v>2.9589666666666661</v>
      </c>
      <c r="I15" s="15">
        <v>2.9969677419354843</v>
      </c>
      <c r="J15" s="15">
        <v>3.099806451612904</v>
      </c>
      <c r="K15" s="15">
        <v>2.8780333333333328</v>
      </c>
      <c r="L15" s="15">
        <v>2.6200333333333328</v>
      </c>
      <c r="M15" s="15">
        <v>2.6284666666666672</v>
      </c>
      <c r="N15" s="15">
        <v>2.6936129032258069</v>
      </c>
      <c r="O15" s="15">
        <v>2.5953548387096781</v>
      </c>
      <c r="P15" s="15">
        <v>2.5739285714285716</v>
      </c>
      <c r="Q15" s="15">
        <v>2.7359032258064513</v>
      </c>
      <c r="R15" s="15">
        <v>2.912466666666667</v>
      </c>
      <c r="S15" s="15">
        <v>2.9126129032258055</v>
      </c>
      <c r="T15" s="15">
        <v>2.9018000000000002</v>
      </c>
      <c r="U15" s="15">
        <v>2.9385161290322577</v>
      </c>
      <c r="V15" s="15">
        <v>2.9374193548387098</v>
      </c>
      <c r="W15" s="15">
        <v>3.0025333333333322</v>
      </c>
      <c r="X15" s="15">
        <v>3.1272333333333333</v>
      </c>
      <c r="Y15" s="15">
        <v>3.4306999999999999</v>
      </c>
      <c r="Z15" s="15">
        <v>3.4268666666666672</v>
      </c>
      <c r="AA15" s="15">
        <v>3.4143870967741945</v>
      </c>
      <c r="AB15" s="15">
        <v>3.4581428571428572</v>
      </c>
      <c r="AC15" s="15">
        <v>3.919225806451613</v>
      </c>
      <c r="AD15" s="15">
        <v>4.1369655172413795</v>
      </c>
      <c r="AE15" s="15">
        <v>4.5003225806451619</v>
      </c>
      <c r="AF15" s="15">
        <v>4.7778333333333327</v>
      </c>
      <c r="AG15" s="15">
        <v>4.7885483870967738</v>
      </c>
      <c r="AH15" s="15">
        <v>4.43541935483871</v>
      </c>
      <c r="AI15" s="15">
        <v>4.1686333333333332</v>
      </c>
      <c r="AJ15" s="15">
        <v>3.7210000000000001</v>
      </c>
      <c r="AK15" s="15">
        <v>2.9876000000000005</v>
      </c>
      <c r="AL15" s="15">
        <v>2.5526774193548381</v>
      </c>
      <c r="AM15" s="15">
        <v>2.4137096774193556</v>
      </c>
      <c r="AN15" s="15">
        <v>2.3152499999999994</v>
      </c>
      <c r="AO15" s="15">
        <v>2.1822258064516125</v>
      </c>
      <c r="AP15" s="15">
        <v>2.2689000000000008</v>
      </c>
      <c r="AQ15" s="9">
        <v>2.2970000000000002</v>
      </c>
      <c r="AR15" s="15">
        <v>2.5715333333333339</v>
      </c>
      <c r="AS15" s="15">
        <v>2.5739999999999998</v>
      </c>
      <c r="AT15" s="15">
        <v>2.6669999999999998</v>
      </c>
      <c r="AU15" s="9">
        <v>2.6640000000000001</v>
      </c>
      <c r="AV15" s="9">
        <v>2.706</v>
      </c>
      <c r="AW15" s="9">
        <v>2.8239999999999998</v>
      </c>
      <c r="AX15" s="9">
        <v>2.8010000000000002</v>
      </c>
      <c r="AY15" s="9">
        <v>2.887</v>
      </c>
      <c r="AZ15" s="9">
        <v>2.8439999999999999</v>
      </c>
      <c r="BA15" s="9">
        <v>2.9220000000000002</v>
      </c>
      <c r="BB15" s="9">
        <v>3.0470000000000002</v>
      </c>
      <c r="BC15" s="15">
        <v>3.0806129032258069</v>
      </c>
      <c r="BD15" s="15">
        <v>2.9790000000000001</v>
      </c>
      <c r="BE15" s="15">
        <v>2.9540000000000002</v>
      </c>
      <c r="BF15" s="15">
        <v>2.9740000000000002</v>
      </c>
      <c r="BG15" s="15">
        <v>2.9630000000000001</v>
      </c>
      <c r="BH15" s="15">
        <v>3.077</v>
      </c>
      <c r="BI15" s="15">
        <v>3.1629999999999998</v>
      </c>
      <c r="BJ15" s="15">
        <v>3.2570000000000001</v>
      </c>
      <c r="BK15" s="15">
        <v>3.379</v>
      </c>
      <c r="BL15" s="15">
        <v>3.552</v>
      </c>
      <c r="BM15" s="15">
        <v>3.9129999999999998</v>
      </c>
      <c r="BN15" s="15">
        <v>4.0940000000000003</v>
      </c>
      <c r="BO15" s="15">
        <v>4.0979999999999999</v>
      </c>
      <c r="BP15" s="15">
        <v>3.9689999999999999</v>
      </c>
      <c r="BQ15" s="15">
        <v>3.9329999999999998</v>
      </c>
      <c r="BR15" s="15">
        <v>3.907</v>
      </c>
      <c r="BS15" s="15">
        <v>3.887</v>
      </c>
      <c r="BT15" s="15">
        <v>3.83</v>
      </c>
      <c r="BU15" s="15">
        <v>3.95</v>
      </c>
      <c r="BV15" s="9">
        <v>3.875</v>
      </c>
      <c r="BW15" s="15">
        <v>3.859645161290322</v>
      </c>
      <c r="BX15" s="15">
        <v>3.9449655172413793</v>
      </c>
      <c r="BY15" s="15">
        <v>4.1252258064516134</v>
      </c>
      <c r="BZ15" s="15">
        <v>4.1372333333333335</v>
      </c>
      <c r="CA15" s="15">
        <v>4.0167741935483869</v>
      </c>
      <c r="CB15" s="15">
        <v>3.7822000000000013</v>
      </c>
      <c r="CC15" s="15">
        <v>3.7093870967741949</v>
      </c>
      <c r="CD15" s="15">
        <v>3.9477741935483865</v>
      </c>
      <c r="CE15" s="15">
        <v>4.1079666666666661</v>
      </c>
      <c r="CF15" s="15">
        <v>4.1011612903225805</v>
      </c>
      <c r="CG15" s="15">
        <v>4.0114444444444448</v>
      </c>
      <c r="CH15" s="15">
        <v>3.9542000000000002</v>
      </c>
      <c r="CI15" s="15">
        <v>3.9091818181818181</v>
      </c>
      <c r="CJ15" s="15">
        <v>4.0784117647058826</v>
      </c>
      <c r="CK15" s="15">
        <v>4.0671176470588239</v>
      </c>
      <c r="CL15" s="15">
        <v>3.9496111111111114</v>
      </c>
      <c r="CM15" s="15">
        <v>3.8810476190476195</v>
      </c>
      <c r="CN15" s="15">
        <v>3.8527647058823531</v>
      </c>
      <c r="CO15" s="15">
        <v>3.8542380952380957</v>
      </c>
      <c r="CP15" s="15">
        <v>3.8826842105263157</v>
      </c>
      <c r="CQ15" s="15">
        <v>3.9326190476190472</v>
      </c>
      <c r="CR15" s="15">
        <v>3.8734347826086961</v>
      </c>
      <c r="CS15" s="15">
        <v>3.8286875000000009</v>
      </c>
      <c r="CT15" s="15">
        <v>3.8514736842105264</v>
      </c>
      <c r="CU15" s="15">
        <v>3.8703333333333334</v>
      </c>
      <c r="CV15" s="15">
        <v>3.9591666666666665</v>
      </c>
      <c r="CW15" s="15">
        <v>3.9973333333333336</v>
      </c>
      <c r="CX15" s="15">
        <v>3.9636190476190469</v>
      </c>
      <c r="CY15" s="15">
        <v>3.9376666666666669</v>
      </c>
      <c r="CZ15" s="15">
        <v>3.9023809523809518</v>
      </c>
      <c r="DA15" s="15">
        <v>3.8674166666666667</v>
      </c>
      <c r="DB15" s="15">
        <v>3.8179444444444446</v>
      </c>
      <c r="DC15" s="15">
        <v>3.7708500000000003</v>
      </c>
      <c r="DD15" s="15">
        <v>3.6588800000000004</v>
      </c>
      <c r="DE15" s="15">
        <v>3.6096500000000007</v>
      </c>
      <c r="DF15" s="15">
        <v>3.3600476190476192</v>
      </c>
      <c r="DG15" s="15">
        <v>2.9301904761904765</v>
      </c>
      <c r="DH15" s="15">
        <v>2.8383333333333334</v>
      </c>
      <c r="DI15" s="15">
        <v>2.8858571428571436</v>
      </c>
      <c r="DJ15" s="15">
        <v>2.7981999999999996</v>
      </c>
      <c r="DK15" s="15">
        <v>2.8642999999999996</v>
      </c>
      <c r="DL15" s="15">
        <v>2.8652666666666664</v>
      </c>
      <c r="DM15" s="15">
        <v>2.8063448275862068</v>
      </c>
      <c r="DN15" s="15">
        <v>2.6453333333333333</v>
      </c>
      <c r="DO15" s="15">
        <v>2.5208695652173914</v>
      </c>
      <c r="DP15" s="15">
        <v>2.5085517241379311</v>
      </c>
      <c r="DQ15" s="15">
        <v>2.4621785714285713</v>
      </c>
      <c r="DR15" s="15">
        <v>2.3432499999999998</v>
      </c>
    </row>
    <row r="16" spans="1:122" s="9" customFormat="1"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</row>
    <row r="17" spans="1:122" s="9" customFormat="1">
      <c r="A17" s="9" t="s">
        <v>382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208"/>
      <c r="AJ17" s="12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</row>
    <row r="18" spans="1:122" s="9" customFormat="1">
      <c r="A18" s="9" t="s">
        <v>377</v>
      </c>
      <c r="B18" s="9" t="s">
        <v>378</v>
      </c>
      <c r="C18" s="15">
        <v>2.7997666666666672</v>
      </c>
      <c r="D18" s="15">
        <v>2.8267857142857147</v>
      </c>
      <c r="E18" s="15">
        <v>2.8014193548387092</v>
      </c>
      <c r="F18" s="15">
        <v>3.111413793103448</v>
      </c>
      <c r="G18" s="15">
        <v>3.4035666666666673</v>
      </c>
      <c r="H18" s="15">
        <v>3.3915666666666664</v>
      </c>
      <c r="I18" s="15">
        <v>3.3739354838709685</v>
      </c>
      <c r="J18" s="15">
        <v>3.3648387096774188</v>
      </c>
      <c r="K18" s="15">
        <v>3.2365333333333335</v>
      </c>
      <c r="L18" s="15">
        <v>2.9916</v>
      </c>
      <c r="M18" s="15">
        <v>2.8606999999999991</v>
      </c>
      <c r="N18" s="15">
        <v>2.8304838709677416</v>
      </c>
      <c r="O18" s="15">
        <v>2.9078709677419341</v>
      </c>
      <c r="P18" s="15">
        <v>2.8640714285714286</v>
      </c>
      <c r="Q18" s="15">
        <v>2.9308387096774191</v>
      </c>
      <c r="R18" s="15">
        <v>3.0794666666666668</v>
      </c>
      <c r="S18" s="15">
        <v>3.3488709677419353</v>
      </c>
      <c r="T18" s="15">
        <v>3.412066666666667</v>
      </c>
      <c r="U18" s="15">
        <v>3.2883870967741937</v>
      </c>
      <c r="V18" s="15">
        <v>3.2561935483870976</v>
      </c>
      <c r="W18" s="15">
        <v>3.2171666666666656</v>
      </c>
      <c r="X18" s="15">
        <v>3.2008999999999999</v>
      </c>
      <c r="Y18" s="15">
        <v>3.3281666666666672</v>
      </c>
      <c r="Z18" s="15">
        <v>3.4600000000000004</v>
      </c>
      <c r="AA18" s="15">
        <v>3.4794193548387096</v>
      </c>
      <c r="AB18" s="15">
        <v>3.4890357142857136</v>
      </c>
      <c r="AC18" s="15">
        <v>3.6116774193548387</v>
      </c>
      <c r="AD18" s="15">
        <v>3.7299310344827599</v>
      </c>
      <c r="AE18" s="15">
        <v>3.951709677419355</v>
      </c>
      <c r="AF18" s="15">
        <v>4.2935333333333325</v>
      </c>
      <c r="AG18" s="15">
        <v>4.4714193548387087</v>
      </c>
      <c r="AH18" s="15">
        <v>4.4310000000000009</v>
      </c>
      <c r="AI18" s="15">
        <v>4.3054000000000006</v>
      </c>
      <c r="AJ18" s="15">
        <v>3.8633225806451605</v>
      </c>
      <c r="AK18" s="15">
        <v>3.0346666666666664</v>
      </c>
      <c r="AL18" s="15">
        <v>2.4521612903225805</v>
      </c>
      <c r="AM18" s="15">
        <v>2.3239999999999998</v>
      </c>
      <c r="AN18" s="15">
        <v>2.4014999999999995</v>
      </c>
      <c r="AO18" s="15">
        <v>2.440451612903225</v>
      </c>
      <c r="AP18" s="15">
        <v>2.4572666666666669</v>
      </c>
      <c r="AQ18" s="15">
        <v>2.613</v>
      </c>
      <c r="AR18" s="15">
        <v>2.9942333333333329</v>
      </c>
      <c r="AS18" s="15">
        <v>3.2120000000000002</v>
      </c>
      <c r="AT18" s="15">
        <v>3.234</v>
      </c>
      <c r="AU18" s="15">
        <v>3.3490000000000002</v>
      </c>
      <c r="AV18" s="15">
        <v>3.262</v>
      </c>
      <c r="AW18" s="15">
        <v>3.3330000000000002</v>
      </c>
      <c r="AX18" s="15">
        <v>3.3330000000000002</v>
      </c>
      <c r="AY18" s="15">
        <v>3.3820000000000001</v>
      </c>
      <c r="AZ18" s="15">
        <v>3.4289999999999998</v>
      </c>
      <c r="BA18" s="15">
        <v>3.4670000000000001</v>
      </c>
      <c r="BB18" s="15">
        <v>3.544</v>
      </c>
      <c r="BC18" s="15">
        <v>3.5629032258064512</v>
      </c>
      <c r="BD18" s="15">
        <v>3.4750000000000001</v>
      </c>
      <c r="BE18" s="15">
        <v>3.4609999999999999</v>
      </c>
      <c r="BF18" s="15">
        <v>3.4860000000000002</v>
      </c>
      <c r="BG18" s="15">
        <v>3.448</v>
      </c>
      <c r="BH18" s="15">
        <v>3.4809999999999999</v>
      </c>
      <c r="BI18" s="15">
        <v>3.5190000000000001</v>
      </c>
      <c r="BJ18" s="15">
        <v>3.5939999999999999</v>
      </c>
      <c r="BK18" s="15">
        <v>3.694</v>
      </c>
      <c r="BL18" s="15">
        <v>3.746</v>
      </c>
      <c r="BM18" s="15">
        <v>4.0469999999999997</v>
      </c>
      <c r="BN18" s="15">
        <v>4.4610000000000003</v>
      </c>
      <c r="BO18" s="15">
        <v>4.3769999999999998</v>
      </c>
      <c r="BP18" s="15">
        <v>4.0469999999999997</v>
      </c>
      <c r="BQ18" s="15">
        <v>4.0629999999999997</v>
      </c>
      <c r="BR18" s="15">
        <v>4.1159999999999997</v>
      </c>
      <c r="BS18" s="15">
        <v>4.1900000000000004</v>
      </c>
      <c r="BT18" s="15">
        <v>4.2119999999999997</v>
      </c>
      <c r="BU18" s="15">
        <v>4.149</v>
      </c>
      <c r="BV18" s="15">
        <v>4.048</v>
      </c>
      <c r="BW18" s="15">
        <v>4.0614838709677423</v>
      </c>
      <c r="BX18" s="15">
        <v>4.2257586206896569</v>
      </c>
      <c r="BY18" s="15">
        <v>4.4736129032258072</v>
      </c>
      <c r="BZ18" s="15">
        <v>4.6068666666666678</v>
      </c>
      <c r="CA18" s="15">
        <v>4.5466774193548396</v>
      </c>
      <c r="CB18" s="15">
        <v>4.4084666666666665</v>
      </c>
      <c r="CC18" s="15">
        <v>4.194387096774193</v>
      </c>
      <c r="CD18" s="15">
        <v>4.2133548387096775</v>
      </c>
      <c r="CE18" s="15">
        <v>4.3933333333333326</v>
      </c>
      <c r="CF18" s="15">
        <v>4.4082580645161302</v>
      </c>
      <c r="CG18" s="15">
        <v>4.1496666666666666</v>
      </c>
      <c r="CH18" s="15">
        <v>3.9988000000000006</v>
      </c>
      <c r="CI18" s="15">
        <v>4.0601818181818166</v>
      </c>
      <c r="CJ18" s="15">
        <v>4.2659411764705872</v>
      </c>
      <c r="CK18" s="15">
        <v>4.3943529411764706</v>
      </c>
      <c r="CL18" s="15">
        <v>4.3780555555555551</v>
      </c>
      <c r="CM18" s="15">
        <v>4.3525714285714283</v>
      </c>
      <c r="CN18" s="15">
        <v>4.3479411764705871</v>
      </c>
      <c r="CO18" s="15">
        <v>4.339952380952381</v>
      </c>
      <c r="CP18" s="15">
        <v>4.3457368421052633</v>
      </c>
      <c r="CQ18" s="15">
        <v>4.3073333333333341</v>
      </c>
      <c r="CR18" s="15">
        <v>4.1588695652173913</v>
      </c>
      <c r="CS18" s="15">
        <v>4.0145625000000003</v>
      </c>
      <c r="CT18" s="15">
        <v>3.9252105263157899</v>
      </c>
      <c r="CU18" s="15">
        <v>4.0024761904761901</v>
      </c>
      <c r="CV18" s="15">
        <v>4.044666666666668</v>
      </c>
      <c r="CW18" s="15">
        <v>4.1693809523809531</v>
      </c>
      <c r="CX18" s="15">
        <v>4.3212380952380958</v>
      </c>
      <c r="CY18" s="15">
        <v>4.3717777777777771</v>
      </c>
      <c r="CZ18" s="15">
        <v>4.3527142857142858</v>
      </c>
      <c r="DA18" s="15">
        <v>4.3392916666666661</v>
      </c>
      <c r="DB18" s="15">
        <v>4.3125</v>
      </c>
      <c r="DC18" s="15">
        <v>4.2448500000000013</v>
      </c>
      <c r="DD18" s="15">
        <v>4.1084000000000005</v>
      </c>
      <c r="DE18" s="15">
        <v>3.9554500000000004</v>
      </c>
      <c r="DF18" s="15">
        <v>3.6710952380952389</v>
      </c>
      <c r="DG18" s="15">
        <v>3.3301904761904768</v>
      </c>
      <c r="DH18" s="15">
        <v>3.0530416666666667</v>
      </c>
      <c r="DI18" s="15">
        <v>3.1298571428571438</v>
      </c>
      <c r="DJ18" s="15">
        <v>3.0973666666666668</v>
      </c>
      <c r="DK18" s="15">
        <v>3.2508333333333326</v>
      </c>
      <c r="DL18" s="15">
        <v>3.3419666666666661</v>
      </c>
      <c r="DM18" s="15">
        <v>3.3412068965517245</v>
      </c>
      <c r="DN18" s="15">
        <v>3.1950333333333338</v>
      </c>
      <c r="DO18" s="15">
        <v>2.9536956521739119</v>
      </c>
      <c r="DP18" s="15">
        <v>2.8884827586206892</v>
      </c>
      <c r="DQ18" s="15">
        <v>2.8527142857142858</v>
      </c>
      <c r="DR18" s="15">
        <v>2.751208333333333</v>
      </c>
    </row>
    <row r="19" spans="1:122" s="9" customFormat="1">
      <c r="A19" s="9" t="s">
        <v>379</v>
      </c>
      <c r="B19" s="9" t="s">
        <v>378</v>
      </c>
      <c r="C19" s="15">
        <v>2.9605999999999999</v>
      </c>
      <c r="D19" s="15">
        <v>2.9891071428571427</v>
      </c>
      <c r="E19" s="15">
        <v>2.9624516129032252</v>
      </c>
      <c r="F19" s="15">
        <v>3.2902413793103449</v>
      </c>
      <c r="G19" s="15">
        <v>3.5990999999999991</v>
      </c>
      <c r="H19" s="15">
        <v>3.5863999999999998</v>
      </c>
      <c r="I19" s="15">
        <v>3.5678709677419347</v>
      </c>
      <c r="J19" s="15">
        <v>3.5581290322580648</v>
      </c>
      <c r="K19" s="15">
        <v>3.4226333333333345</v>
      </c>
      <c r="L19" s="15">
        <v>3.1634666666666664</v>
      </c>
      <c r="M19" s="15">
        <v>3.025033333333333</v>
      </c>
      <c r="N19" s="15">
        <v>2.9930967741935484</v>
      </c>
      <c r="O19" s="15">
        <v>3.0750000000000002</v>
      </c>
      <c r="P19" s="15">
        <v>3.0285714285714289</v>
      </c>
      <c r="Q19" s="15">
        <v>3.0993548387096768</v>
      </c>
      <c r="R19" s="15">
        <v>3.2564666666666673</v>
      </c>
      <c r="S19" s="15">
        <v>3.5413870967741925</v>
      </c>
      <c r="T19" s="15">
        <v>3.6080666666666654</v>
      </c>
      <c r="U19" s="15">
        <v>3.4773548387096769</v>
      </c>
      <c r="V19" s="15">
        <v>3.4433225806451597</v>
      </c>
      <c r="W19" s="15">
        <v>3.4020666666666672</v>
      </c>
      <c r="X19" s="15">
        <v>3.3848333333333338</v>
      </c>
      <c r="Y19" s="15">
        <v>3.5194666666666672</v>
      </c>
      <c r="Z19" s="15">
        <v>3.6589000000000005</v>
      </c>
      <c r="AA19" s="15">
        <v>3.6793225806451617</v>
      </c>
      <c r="AB19" s="15">
        <v>3.6896071428571431</v>
      </c>
      <c r="AC19" s="15">
        <v>3.8192258064516138</v>
      </c>
      <c r="AD19" s="15">
        <v>3.9442413793103457</v>
      </c>
      <c r="AE19" s="15">
        <v>4.1788709677419353</v>
      </c>
      <c r="AF19" s="15">
        <v>4.5402666666666658</v>
      </c>
      <c r="AG19" s="15">
        <v>4.7002903225806456</v>
      </c>
      <c r="AH19" s="15">
        <v>4.5736129032258059</v>
      </c>
      <c r="AI19" s="15">
        <v>4.4439000000000002</v>
      </c>
      <c r="AJ19" s="15">
        <v>3.987774193548387</v>
      </c>
      <c r="AK19" s="15">
        <v>3.1432333333333333</v>
      </c>
      <c r="AL19" s="15">
        <v>2.593193548387096</v>
      </c>
      <c r="AM19" s="15">
        <v>2.4576451612903232</v>
      </c>
      <c r="AN19" s="15">
        <v>2.5394999999999999</v>
      </c>
      <c r="AO19" s="15">
        <v>2.5809354838709693</v>
      </c>
      <c r="AP19" s="15">
        <v>2.5986333333333338</v>
      </c>
      <c r="AQ19" s="15">
        <v>2.7629999999999999</v>
      </c>
      <c r="AR19" s="15">
        <v>3.166466666666667</v>
      </c>
      <c r="AS19" s="15">
        <v>3.3959999999999999</v>
      </c>
      <c r="AT19" s="15">
        <v>3.42</v>
      </c>
      <c r="AU19" s="15">
        <v>3.5419999999999998</v>
      </c>
      <c r="AV19" s="15">
        <v>3.4489999999999998</v>
      </c>
      <c r="AW19" s="15">
        <v>3.524</v>
      </c>
      <c r="AX19" s="15">
        <v>3.5249999999999999</v>
      </c>
      <c r="AY19" s="15">
        <v>3.5760000000000001</v>
      </c>
      <c r="AZ19" s="15">
        <v>3.6259999999999999</v>
      </c>
      <c r="BA19" s="15">
        <v>3.6659999999999999</v>
      </c>
      <c r="BB19" s="15">
        <v>3.7480000000000002</v>
      </c>
      <c r="BC19" s="15">
        <v>3.7677741935483882</v>
      </c>
      <c r="BD19" s="15">
        <v>3.6749999999999998</v>
      </c>
      <c r="BE19" s="15">
        <v>3.66</v>
      </c>
      <c r="BF19" s="15">
        <v>3.6859999999999999</v>
      </c>
      <c r="BG19" s="15">
        <v>3.6459999999999999</v>
      </c>
      <c r="BH19" s="15">
        <v>3.6819999999999999</v>
      </c>
      <c r="BI19" s="15">
        <v>3.7210000000000001</v>
      </c>
      <c r="BJ19" s="15">
        <v>3.8010000000000002</v>
      </c>
      <c r="BK19" s="15">
        <v>3.9060000000000001</v>
      </c>
      <c r="BL19" s="15">
        <v>3.8279999999999998</v>
      </c>
      <c r="BM19" s="15">
        <v>4.1269999999999998</v>
      </c>
      <c r="BN19" s="15">
        <v>4.548</v>
      </c>
      <c r="BO19" s="15">
        <v>4.452</v>
      </c>
      <c r="BP19" s="15">
        <v>4.1109999999999998</v>
      </c>
      <c r="BQ19" s="15">
        <v>4.1379999999999999</v>
      </c>
      <c r="BR19" s="15">
        <v>4.1890000000000001</v>
      </c>
      <c r="BS19" s="15">
        <v>4.2670000000000003</v>
      </c>
      <c r="BT19" s="15">
        <v>4.2809999999999997</v>
      </c>
      <c r="BU19" s="15">
        <v>4.2149999999999999</v>
      </c>
      <c r="BV19" s="15">
        <v>4.1219999999999999</v>
      </c>
      <c r="BW19" s="15">
        <v>4.1359354838709681</v>
      </c>
      <c r="BX19" s="15">
        <v>4.3023793103448273</v>
      </c>
      <c r="BY19" s="15">
        <v>4.5605806451612905</v>
      </c>
      <c r="BZ19" s="15">
        <v>4.693933333333332</v>
      </c>
      <c r="CA19" s="15">
        <v>4.6266451612903232</v>
      </c>
      <c r="CB19" s="15">
        <v>4.5009333333333332</v>
      </c>
      <c r="CC19" s="15">
        <v>4.2898387096774186</v>
      </c>
      <c r="CD19" s="15">
        <v>4.2998387096774202</v>
      </c>
      <c r="CE19" s="15">
        <v>4.4864666666666668</v>
      </c>
      <c r="CF19" s="15">
        <v>4.4965161290322593</v>
      </c>
      <c r="CG19" s="15">
        <v>4.2377777777777776</v>
      </c>
      <c r="CH19" s="15">
        <v>4.0843499999999997</v>
      </c>
      <c r="CI19" s="15">
        <v>4.1476363636363631</v>
      </c>
      <c r="CJ19" s="15">
        <v>4.3554117647058836</v>
      </c>
      <c r="CK19" s="15">
        <v>4.4818235294117645</v>
      </c>
      <c r="CL19" s="15">
        <v>4.4684444444444456</v>
      </c>
      <c r="CM19" s="15">
        <v>4.4466190476190475</v>
      </c>
      <c r="CN19" s="15">
        <v>4.4304705882352939</v>
      </c>
      <c r="CO19" s="15">
        <v>4.4213333333333331</v>
      </c>
      <c r="CP19" s="15">
        <v>4.4312105263157893</v>
      </c>
      <c r="CQ19" s="15">
        <v>4.3949523809523825</v>
      </c>
      <c r="CR19" s="15">
        <v>4.2432608695652174</v>
      </c>
      <c r="CS19" s="15">
        <v>4.0995625000000002</v>
      </c>
      <c r="CT19" s="15">
        <v>4.017631578947368</v>
      </c>
      <c r="CU19" s="15">
        <v>4.0979047619047639</v>
      </c>
      <c r="CV19" s="15">
        <v>4.1389999999999993</v>
      </c>
      <c r="CW19" s="15">
        <v>4.2596666666666669</v>
      </c>
      <c r="CX19" s="15">
        <v>4.4130476190476191</v>
      </c>
      <c r="CY19" s="15">
        <v>4.4716666666666667</v>
      </c>
      <c r="CZ19" s="15">
        <v>4.4535238095238094</v>
      </c>
      <c r="DA19" s="15">
        <v>4.43825</v>
      </c>
      <c r="DB19" s="15">
        <v>4.4098333333333324</v>
      </c>
      <c r="DC19" s="15">
        <v>4.3409499999999994</v>
      </c>
      <c r="DD19" s="15">
        <v>4.1988399999999988</v>
      </c>
      <c r="DE19" s="15">
        <v>4.0516500000000004</v>
      </c>
      <c r="DF19" s="15">
        <v>3.7680476190476191</v>
      </c>
      <c r="DG19" s="15">
        <v>3.4236666666666671</v>
      </c>
      <c r="DH19" s="15">
        <v>3.1504583333333334</v>
      </c>
      <c r="DI19" s="15">
        <v>3.2274642857142846</v>
      </c>
      <c r="DJ19" s="15">
        <v>3.1920666666666664</v>
      </c>
      <c r="DK19" s="15">
        <v>3.3503333333333334</v>
      </c>
      <c r="DL19" s="15">
        <v>3.4422666666666677</v>
      </c>
      <c r="DM19" s="15">
        <v>3.4424482758620689</v>
      </c>
      <c r="DN19" s="15">
        <v>3.3057333333333321</v>
      </c>
      <c r="DO19" s="15">
        <v>3.0759565217391298</v>
      </c>
      <c r="DP19" s="15">
        <v>2.9919655172413795</v>
      </c>
      <c r="DQ19" s="15">
        <v>2.9603571428571418</v>
      </c>
      <c r="DR19" s="15">
        <v>2.8650833333333332</v>
      </c>
    </row>
    <row r="20" spans="1:122" s="9" customFormat="1">
      <c r="A20" s="9" t="s">
        <v>380</v>
      </c>
      <c r="B20" s="9" t="s">
        <v>378</v>
      </c>
      <c r="C20" s="15">
        <v>3.0158333333333327</v>
      </c>
      <c r="D20" s="15">
        <v>3.045035714285715</v>
      </c>
      <c r="E20" s="15">
        <v>3.0178709677419358</v>
      </c>
      <c r="F20" s="15">
        <v>3.3518275862068965</v>
      </c>
      <c r="G20" s="15">
        <v>3.6664000000000012</v>
      </c>
      <c r="H20" s="15">
        <v>3.6533333333333338</v>
      </c>
      <c r="I20" s="15">
        <v>3.6345806451612903</v>
      </c>
      <c r="J20" s="15">
        <v>3.624709677419355</v>
      </c>
      <c r="K20" s="15">
        <v>3.4865999999999997</v>
      </c>
      <c r="L20" s="15">
        <v>3.2226666666666666</v>
      </c>
      <c r="M20" s="15">
        <v>3.0816333333333339</v>
      </c>
      <c r="N20" s="15">
        <v>3.0490322580645168</v>
      </c>
      <c r="O20" s="15">
        <v>3.1323870967741927</v>
      </c>
      <c r="P20" s="15">
        <v>3.0852142857142852</v>
      </c>
      <c r="Q20" s="15">
        <v>3.1572580645161277</v>
      </c>
      <c r="R20" s="15">
        <v>3.3172333333333333</v>
      </c>
      <c r="S20" s="15">
        <v>3.6075483870967746</v>
      </c>
      <c r="T20" s="15">
        <v>3.6756000000000002</v>
      </c>
      <c r="U20" s="15">
        <v>3.5424516129032257</v>
      </c>
      <c r="V20" s="15">
        <v>3.5076774193548395</v>
      </c>
      <c r="W20" s="15">
        <v>3.4658000000000002</v>
      </c>
      <c r="X20" s="15">
        <v>3.4480999999999997</v>
      </c>
      <c r="Y20" s="15">
        <v>3.5852999999999997</v>
      </c>
      <c r="Z20" s="15">
        <v>3.7272666666666656</v>
      </c>
      <c r="AA20" s="15">
        <v>3.7480967741935483</v>
      </c>
      <c r="AB20" s="15">
        <v>3.7585714285714285</v>
      </c>
      <c r="AC20" s="15">
        <v>3.890612903225807</v>
      </c>
      <c r="AD20" s="15">
        <v>4.017965517241378</v>
      </c>
      <c r="AE20" s="15">
        <v>4.2568709677419356</v>
      </c>
      <c r="AF20" s="15">
        <v>4.6251666666666669</v>
      </c>
      <c r="AG20" s="15">
        <v>4.7879677419354838</v>
      </c>
      <c r="AH20" s="15">
        <v>4.6589677419354834</v>
      </c>
      <c r="AI20" s="15">
        <v>4.5268666666666659</v>
      </c>
      <c r="AJ20" s="15">
        <v>4.0620967741935479</v>
      </c>
      <c r="AK20" s="15">
        <v>3.2018</v>
      </c>
      <c r="AL20" s="15">
        <v>2.64158064516129</v>
      </c>
      <c r="AM20" s="15">
        <v>2.5033870967741927</v>
      </c>
      <c r="AN20" s="15">
        <v>2.5868214285714286</v>
      </c>
      <c r="AO20" s="15">
        <v>2.6289354838709689</v>
      </c>
      <c r="AP20" s="15">
        <v>2.6469666666666671</v>
      </c>
      <c r="AQ20" s="15">
        <v>2.8149999999999999</v>
      </c>
      <c r="AR20" s="15">
        <v>3.2256</v>
      </c>
      <c r="AS20" s="15">
        <v>3.46</v>
      </c>
      <c r="AT20" s="15">
        <v>3.484</v>
      </c>
      <c r="AU20" s="15">
        <v>3.6080000000000001</v>
      </c>
      <c r="AV20" s="15">
        <v>3.5139999999999998</v>
      </c>
      <c r="AW20" s="15">
        <v>3.59</v>
      </c>
      <c r="AX20" s="15">
        <v>3.5910000000000002</v>
      </c>
      <c r="AY20" s="15">
        <v>3.6429999999999998</v>
      </c>
      <c r="AZ20" s="15">
        <v>3.6930000000000001</v>
      </c>
      <c r="BA20" s="15">
        <v>3.7349999999999999</v>
      </c>
      <c r="BB20" s="15">
        <v>3.8180000000000001</v>
      </c>
      <c r="BC20" s="15">
        <v>3.8378709677419338</v>
      </c>
      <c r="BD20" s="15">
        <v>3.7429999999999999</v>
      </c>
      <c r="BE20" s="15">
        <v>3.7280000000000002</v>
      </c>
      <c r="BF20" s="15">
        <v>3.7549999999999999</v>
      </c>
      <c r="BG20" s="15">
        <v>3.714</v>
      </c>
      <c r="BH20" s="15">
        <v>3.75</v>
      </c>
      <c r="BI20" s="15">
        <v>3.7909999999999999</v>
      </c>
      <c r="BJ20" s="15">
        <v>3.8719999999999999</v>
      </c>
      <c r="BK20" s="15">
        <v>3.9790000000000001</v>
      </c>
      <c r="BL20" s="15">
        <v>3.9060000000000001</v>
      </c>
      <c r="BM20" s="15">
        <v>4.2119999999999997</v>
      </c>
      <c r="BN20" s="15">
        <v>4.6280000000000001</v>
      </c>
      <c r="BO20" s="15">
        <v>4.5430000000000001</v>
      </c>
      <c r="BP20" s="15">
        <v>4.2</v>
      </c>
      <c r="BQ20" s="15">
        <v>4.2240000000000002</v>
      </c>
      <c r="BR20" s="15">
        <v>4.2789999999999999</v>
      </c>
      <c r="BS20" s="15">
        <v>4.3579999999999997</v>
      </c>
      <c r="BT20" s="15">
        <v>4.3710000000000004</v>
      </c>
      <c r="BU20" s="15">
        <v>4.3070000000000004</v>
      </c>
      <c r="BV20" s="15">
        <v>4.2080000000000002</v>
      </c>
      <c r="BW20" s="15">
        <v>4.2255483870967741</v>
      </c>
      <c r="BX20" s="15">
        <v>4.3954827586206893</v>
      </c>
      <c r="BY20" s="15">
        <v>4.6559032258064494</v>
      </c>
      <c r="BZ20" s="15">
        <v>4.7867666666666668</v>
      </c>
      <c r="CA20" s="15">
        <v>4.7141290322580627</v>
      </c>
      <c r="CB20" s="15">
        <v>4.5867666666666667</v>
      </c>
      <c r="CC20" s="15">
        <v>4.3785161290322581</v>
      </c>
      <c r="CD20" s="15">
        <v>4.3898387096774183</v>
      </c>
      <c r="CE20" s="15">
        <v>4.5779666666666659</v>
      </c>
      <c r="CF20" s="15">
        <v>4.5870967741935482</v>
      </c>
      <c r="CG20" s="15">
        <v>4.3283888888888891</v>
      </c>
      <c r="CH20" s="15">
        <v>4.1797000000000004</v>
      </c>
      <c r="CI20" s="15">
        <v>4.2408636363636356</v>
      </c>
      <c r="CJ20" s="15">
        <v>4.4500588235294112</v>
      </c>
      <c r="CK20" s="15">
        <v>4.5715294117647067</v>
      </c>
      <c r="CL20" s="15">
        <v>4.5585555555555555</v>
      </c>
      <c r="CM20" s="15">
        <v>4.5369999999999999</v>
      </c>
      <c r="CN20" s="15">
        <v>4.5195882352941172</v>
      </c>
      <c r="CO20" s="15">
        <v>4.5156666666666672</v>
      </c>
      <c r="CP20" s="15">
        <v>4.5248947368421044</v>
      </c>
      <c r="CQ20" s="15">
        <v>4.4888571428571433</v>
      </c>
      <c r="CR20" s="15">
        <v>4.3361739130434778</v>
      </c>
      <c r="CS20" s="15">
        <v>4.1910000000000007</v>
      </c>
      <c r="CT20" s="15">
        <v>4.1128421052631579</v>
      </c>
      <c r="CU20" s="15">
        <v>4.1855714285714294</v>
      </c>
      <c r="CV20" s="15">
        <v>4.2244999999999999</v>
      </c>
      <c r="CW20" s="15">
        <v>4.3542380952380944</v>
      </c>
      <c r="CX20" s="15">
        <v>4.5058571428571437</v>
      </c>
      <c r="CY20" s="15">
        <v>4.5596111111111108</v>
      </c>
      <c r="CZ20" s="15">
        <v>4.5442857142857145</v>
      </c>
      <c r="DA20" s="15">
        <v>4.5300416666666665</v>
      </c>
      <c r="DB20" s="15">
        <v>4.5016666666666669</v>
      </c>
      <c r="DC20" s="15">
        <v>4.4341999999999988</v>
      </c>
      <c r="DD20" s="15">
        <v>4.2897600000000002</v>
      </c>
      <c r="DE20" s="15">
        <v>4.14175</v>
      </c>
      <c r="DF20" s="15">
        <v>3.8609047619047621</v>
      </c>
      <c r="DG20" s="15">
        <v>3.5150476190476185</v>
      </c>
      <c r="DH20" s="15">
        <v>3.2410833333333327</v>
      </c>
      <c r="DI20" s="15">
        <v>3.3205</v>
      </c>
      <c r="DJ20" s="15">
        <v>3.284666666666666</v>
      </c>
      <c r="DK20" s="15">
        <v>3.4414000000000007</v>
      </c>
      <c r="DL20" s="15">
        <v>3.5327666666666668</v>
      </c>
      <c r="DM20" s="15">
        <v>3.5386206896551715</v>
      </c>
      <c r="DN20" s="15">
        <v>3.3935333333333326</v>
      </c>
      <c r="DO20" s="15">
        <v>3.156565217391305</v>
      </c>
      <c r="DP20" s="15">
        <v>3.0827931034482763</v>
      </c>
      <c r="DQ20" s="15">
        <v>3.0496428571428562</v>
      </c>
      <c r="DR20" s="15">
        <v>2.9548333333333332</v>
      </c>
    </row>
    <row r="21" spans="1:122" s="9" customFormat="1"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</row>
    <row r="22" spans="1:122" s="9" customFormat="1">
      <c r="A22" s="9" t="s">
        <v>383</v>
      </c>
      <c r="B22" s="9" t="s">
        <v>378</v>
      </c>
      <c r="C22" s="15">
        <v>3.2706000000000004</v>
      </c>
      <c r="D22" s="15">
        <v>3.2644285714285721</v>
      </c>
      <c r="E22" s="15">
        <v>3.2771612903225802</v>
      </c>
      <c r="F22" s="15">
        <v>3.3436896551724145</v>
      </c>
      <c r="G22" s="15">
        <v>3.4597333333333324</v>
      </c>
      <c r="H22" s="15">
        <v>3.4899000000000004</v>
      </c>
      <c r="I22" s="15">
        <v>3.5088709677419359</v>
      </c>
      <c r="J22" s="15">
        <v>3.5254838709677419</v>
      </c>
      <c r="K22" s="15">
        <v>3.526533333333334</v>
      </c>
      <c r="L22" s="15">
        <v>3.4961333333333333</v>
      </c>
      <c r="M22" s="15">
        <v>3.4722666666666671</v>
      </c>
      <c r="N22" s="15">
        <v>3.487387096774194</v>
      </c>
      <c r="O22" s="15">
        <v>3.4990322580645157</v>
      </c>
      <c r="P22" s="15">
        <v>3.4667499999999998</v>
      </c>
      <c r="Q22" s="15">
        <v>3.4641290322580631</v>
      </c>
      <c r="R22" s="15">
        <v>3.5030000000000001</v>
      </c>
      <c r="S22" s="15">
        <v>3.5519677419354849</v>
      </c>
      <c r="T22" s="15">
        <v>3.5631333333333335</v>
      </c>
      <c r="U22" s="15">
        <v>3.5801935483870966</v>
      </c>
      <c r="V22" s="15">
        <v>3.6022903225806457</v>
      </c>
      <c r="W22" s="15">
        <v>3.6086999999999994</v>
      </c>
      <c r="X22" s="15">
        <v>3.659133333333334</v>
      </c>
      <c r="Y22" s="15">
        <v>3.8053666666666657</v>
      </c>
      <c r="Z22" s="15">
        <v>3.8892999999999995</v>
      </c>
      <c r="AA22" s="15">
        <v>3.9044193548387098</v>
      </c>
      <c r="AB22" s="15">
        <v>3.8971785714285714</v>
      </c>
      <c r="AC22" s="15">
        <v>4.0659032258064522</v>
      </c>
      <c r="AD22" s="15">
        <v>4.3086551724137925</v>
      </c>
      <c r="AE22" s="15">
        <v>4.7123870967741945</v>
      </c>
      <c r="AF22" s="15">
        <v>5.2134333333333336</v>
      </c>
      <c r="AG22" s="15">
        <v>5.3794516129032255</v>
      </c>
      <c r="AH22" s="15">
        <v>5.3338709677419356</v>
      </c>
      <c r="AI22" s="15">
        <v>5.1796000000000015</v>
      </c>
      <c r="AJ22" s="15">
        <v>4.9636451612903221</v>
      </c>
      <c r="AK22" s="15">
        <v>4.561233333333333</v>
      </c>
      <c r="AL22" s="15">
        <v>4.0765483870967749</v>
      </c>
      <c r="AM22" s="15">
        <v>3.9321935483870969</v>
      </c>
      <c r="AN22" s="15">
        <v>3.8871785714285711</v>
      </c>
      <c r="AO22" s="15">
        <v>3.8381612903225806</v>
      </c>
      <c r="AP22" s="15">
        <v>3.8242333333333334</v>
      </c>
      <c r="AQ22" s="15">
        <v>3.81</v>
      </c>
      <c r="AR22" s="15">
        <v>3.873933333333333</v>
      </c>
      <c r="AS22" s="15">
        <v>3.891</v>
      </c>
      <c r="AT22" s="15">
        <v>3.9239999999999999</v>
      </c>
      <c r="AU22" s="9">
        <v>3.9239999999999999</v>
      </c>
      <c r="AV22" s="9">
        <v>3.895</v>
      </c>
      <c r="AW22" s="9">
        <v>3.915</v>
      </c>
      <c r="AX22" s="9">
        <v>3.911</v>
      </c>
      <c r="AY22" s="9">
        <v>3.9329999999999998</v>
      </c>
      <c r="AZ22" s="9">
        <v>3.9249999999999998</v>
      </c>
      <c r="BA22" s="9">
        <v>3.9340000000000002</v>
      </c>
      <c r="BB22" s="9">
        <v>3.964</v>
      </c>
      <c r="BC22" s="15">
        <v>3.9933548387096778</v>
      </c>
      <c r="BD22" s="15">
        <v>3.9590000000000001</v>
      </c>
      <c r="BE22" s="15">
        <v>3.9769999999999999</v>
      </c>
      <c r="BF22" s="15">
        <v>3.9889999999999999</v>
      </c>
      <c r="BG22" s="15">
        <v>3.9780000000000002</v>
      </c>
      <c r="BH22" s="15">
        <v>4.0430000000000001</v>
      </c>
      <c r="BI22" s="15">
        <v>4.0670000000000002</v>
      </c>
      <c r="BJ22" s="15">
        <v>4.0869999999999997</v>
      </c>
      <c r="BK22" s="15">
        <v>4.1139999999999999</v>
      </c>
      <c r="BL22" s="15">
        <v>4.173</v>
      </c>
      <c r="BM22" s="15">
        <v>4.4550000000000001</v>
      </c>
      <c r="BN22" s="15">
        <v>4.7830000000000004</v>
      </c>
      <c r="BO22" s="15">
        <v>4.8460000000000001</v>
      </c>
      <c r="BP22" s="15">
        <v>4.7640000000000002</v>
      </c>
      <c r="BQ22" s="15">
        <v>4.7270000000000003</v>
      </c>
      <c r="BR22" s="15">
        <v>4.7130000000000001</v>
      </c>
      <c r="BS22" s="15">
        <v>4.7519999999999998</v>
      </c>
      <c r="BT22" s="15">
        <v>4.75</v>
      </c>
      <c r="BU22" s="15">
        <v>4.8140000000000001</v>
      </c>
      <c r="BV22" s="15">
        <v>4.7880000000000003</v>
      </c>
      <c r="BW22" s="15">
        <v>4.7859032258064511</v>
      </c>
      <c r="BX22" s="15">
        <v>4.8162758620689647</v>
      </c>
      <c r="BY22" s="15">
        <v>4.9618709677419348</v>
      </c>
      <c r="BZ22" s="15">
        <v>4.9963999999999995</v>
      </c>
      <c r="CA22" s="15">
        <v>4.9736129032258072</v>
      </c>
      <c r="CB22" s="15">
        <v>4.8458999999999985</v>
      </c>
      <c r="CC22" s="15">
        <v>4.7391612903225804</v>
      </c>
      <c r="CD22" s="15">
        <v>4.7824516129032268</v>
      </c>
      <c r="CE22" s="15">
        <v>4.9511333333333329</v>
      </c>
      <c r="CF22" s="15">
        <v>4.9689677419354839</v>
      </c>
      <c r="CG22" s="15">
        <v>4.9312777777777779</v>
      </c>
      <c r="CH22" s="15">
        <v>4.878750000000001</v>
      </c>
      <c r="CI22" s="15">
        <v>4.8921363636363635</v>
      </c>
      <c r="CJ22" s="15">
        <v>4.9257058823529416</v>
      </c>
      <c r="CK22" s="15">
        <v>4.9417647058823526</v>
      </c>
      <c r="CL22" s="15">
        <v>4.9364999999999997</v>
      </c>
      <c r="CM22" s="15">
        <v>4.8846190476190481</v>
      </c>
      <c r="CN22" s="15">
        <v>4.891</v>
      </c>
      <c r="CO22" s="15">
        <v>4.8933333333333335</v>
      </c>
      <c r="CP22" s="15">
        <v>4.8854736842105266</v>
      </c>
      <c r="CQ22" s="15">
        <v>4.9044761904761902</v>
      </c>
      <c r="CR22" s="15">
        <v>4.8829130434782613</v>
      </c>
      <c r="CS22" s="15">
        <v>4.8736250000000005</v>
      </c>
      <c r="CT22" s="15">
        <v>4.8490000000000011</v>
      </c>
      <c r="CU22" s="15">
        <v>4.8560952380952385</v>
      </c>
      <c r="CV22" s="15">
        <v>4.8626666666666658</v>
      </c>
      <c r="CW22" s="15">
        <v>4.8435238095238091</v>
      </c>
      <c r="CX22" s="15">
        <v>4.8446666666666669</v>
      </c>
      <c r="CY22" s="15">
        <v>4.863666666666667</v>
      </c>
      <c r="CZ22" s="15">
        <v>4.8502857142857136</v>
      </c>
      <c r="DA22" s="15">
        <v>4.8621249999999998</v>
      </c>
      <c r="DB22" s="15">
        <v>4.8624999999999998</v>
      </c>
      <c r="DC22" s="15">
        <v>4.8607000000000014</v>
      </c>
      <c r="DD22" s="15">
        <v>4.8555599999999997</v>
      </c>
      <c r="DE22" s="15">
        <v>4.8372999999999999</v>
      </c>
      <c r="DF22" s="15">
        <v>4.7529523809523813</v>
      </c>
      <c r="DG22" s="15">
        <v>4.6229523809523805</v>
      </c>
      <c r="DH22" s="15">
        <v>4.5041666666666673</v>
      </c>
      <c r="DI22" s="15">
        <v>4.4996071428571423</v>
      </c>
      <c r="DJ22" s="15">
        <v>4.4785000000000004</v>
      </c>
      <c r="DK22" s="15">
        <v>4.4965000000000002</v>
      </c>
      <c r="DL22" s="15">
        <v>4.4994999999999994</v>
      </c>
      <c r="DM22" s="15">
        <v>4.4863103448275865</v>
      </c>
      <c r="DN22" s="15">
        <v>4.4786333333333328</v>
      </c>
      <c r="DO22" s="15">
        <v>4.4492608695652169</v>
      </c>
      <c r="DP22" s="15">
        <v>4.424896551724137</v>
      </c>
      <c r="DQ22" s="15">
        <v>4.3950714285714296</v>
      </c>
      <c r="DR22" s="15">
        <v>4.3452500000000009</v>
      </c>
    </row>
    <row r="23" spans="1:122" s="9" customFormat="1"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</row>
    <row r="24" spans="1:122" s="9" customFormat="1">
      <c r="A24" s="9" t="s">
        <v>384</v>
      </c>
      <c r="C24" s="2"/>
      <c r="F24" s="2"/>
      <c r="H24" s="2"/>
      <c r="L24" s="2"/>
      <c r="M24" s="2"/>
      <c r="O24" s="2"/>
      <c r="Q24" s="2"/>
      <c r="S24" s="2"/>
      <c r="V24" s="2"/>
      <c r="Z24" s="2"/>
      <c r="AA24" s="12"/>
      <c r="AB24" s="2"/>
      <c r="AC24" s="12"/>
      <c r="AD24" s="2"/>
      <c r="AE24" s="12"/>
      <c r="AF24" s="1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</row>
    <row r="25" spans="1:122" s="9" customFormat="1">
      <c r="A25" s="9" t="s">
        <v>385</v>
      </c>
      <c r="B25" s="9" t="s">
        <v>386</v>
      </c>
      <c r="C25" s="7">
        <v>0.15</v>
      </c>
      <c r="D25" s="7">
        <v>0.15</v>
      </c>
      <c r="E25" s="7">
        <v>0.15</v>
      </c>
      <c r="F25" s="7">
        <v>0.18383333333333332</v>
      </c>
      <c r="G25" s="7">
        <v>0.185</v>
      </c>
      <c r="H25" s="7">
        <v>0.20975000000000002</v>
      </c>
      <c r="I25" s="7">
        <v>0.21249999999999999</v>
      </c>
      <c r="J25" s="7">
        <v>0.21249999999999999</v>
      </c>
      <c r="K25" s="7">
        <v>0.21249999999999999</v>
      </c>
      <c r="L25" s="7">
        <v>0.19750000000000001</v>
      </c>
      <c r="M25" s="7">
        <v>0.18883333333333333</v>
      </c>
      <c r="N25" s="7">
        <v>0.1875</v>
      </c>
      <c r="O25" s="7">
        <v>0.18588709677419357</v>
      </c>
      <c r="P25" s="7">
        <v>0.17499999999999999</v>
      </c>
      <c r="Q25" s="7">
        <v>0.18854838709677421</v>
      </c>
      <c r="R25" s="7">
        <v>0.19500000000000001</v>
      </c>
      <c r="S25" s="7">
        <v>0.20830645161290323</v>
      </c>
      <c r="T25" s="7">
        <v>0.22500000000000001</v>
      </c>
      <c r="U25" s="7">
        <v>0.22500000000000001</v>
      </c>
      <c r="V25" s="7">
        <v>0.23129032258064516</v>
      </c>
      <c r="W25" s="7">
        <v>0.24</v>
      </c>
      <c r="X25" s="7">
        <v>0.24</v>
      </c>
      <c r="Y25" s="7">
        <v>0.24</v>
      </c>
      <c r="Z25" s="7">
        <v>0.26903225806451614</v>
      </c>
      <c r="AA25" s="7">
        <v>0.28999999999999998</v>
      </c>
      <c r="AB25" s="7">
        <v>0.3124137931034483</v>
      </c>
      <c r="AC25" s="7">
        <v>0.315</v>
      </c>
      <c r="AD25" s="7">
        <v>0.33374999999999999</v>
      </c>
      <c r="AE25" s="7">
        <v>0.33750000000000002</v>
      </c>
      <c r="AF25" s="7">
        <v>0.33750000000000002</v>
      </c>
      <c r="AG25" s="7">
        <v>0.3650806451612903</v>
      </c>
      <c r="AH25" s="7">
        <v>0.38379032258064522</v>
      </c>
      <c r="AI25" s="7">
        <v>0.40666666666666662</v>
      </c>
      <c r="AJ25" s="7">
        <v>0.32080645161290322</v>
      </c>
      <c r="AK25" s="7">
        <v>0.221667</v>
      </c>
      <c r="AL25" s="7">
        <v>0.15</v>
      </c>
      <c r="AM25" s="7">
        <v>0.15</v>
      </c>
      <c r="AN25" s="7">
        <v>0.15</v>
      </c>
      <c r="AO25" s="7">
        <v>0.15</v>
      </c>
      <c r="AP25" s="7">
        <v>0.15</v>
      </c>
      <c r="AQ25" s="7">
        <v>0.15390000000000001</v>
      </c>
      <c r="AR25" s="7">
        <v>0.1767</v>
      </c>
      <c r="AS25" s="7">
        <v>0.2697</v>
      </c>
      <c r="AT25" s="7">
        <v>0.28000000000000003</v>
      </c>
      <c r="AU25" s="7">
        <v>0.28000000000000003</v>
      </c>
      <c r="AV25" s="7">
        <v>0.24390000000000001</v>
      </c>
      <c r="AW25" s="7">
        <v>0.24</v>
      </c>
      <c r="AX25" s="7">
        <v>0.24</v>
      </c>
      <c r="AY25" s="7">
        <v>0.24</v>
      </c>
      <c r="AZ25" s="7">
        <v>0.26750000000000002</v>
      </c>
      <c r="BA25" s="7">
        <v>0.27500000000000002</v>
      </c>
      <c r="BB25" s="7">
        <v>0.27500000000000002</v>
      </c>
      <c r="BC25" s="7">
        <v>0.27500000000000002</v>
      </c>
      <c r="BD25" s="7">
        <v>0.27500000000000002</v>
      </c>
      <c r="BE25" s="7">
        <v>0.26600000000000001</v>
      </c>
      <c r="BF25" s="7">
        <v>0.255</v>
      </c>
      <c r="BG25" s="7">
        <v>0.23125000000000001</v>
      </c>
      <c r="BH25" s="7">
        <v>0.2175</v>
      </c>
      <c r="BI25" s="7">
        <v>0.2175</v>
      </c>
      <c r="BJ25" s="7">
        <v>0.2175</v>
      </c>
      <c r="BK25" s="7">
        <v>0.2175</v>
      </c>
      <c r="BL25" s="7">
        <v>0.22090000000000001</v>
      </c>
      <c r="BM25" s="7">
        <v>0.2787</v>
      </c>
      <c r="BN25" s="7">
        <v>0.35</v>
      </c>
      <c r="BO25" s="7">
        <v>0.435</v>
      </c>
      <c r="BP25" s="7">
        <v>0.46033333333333337</v>
      </c>
      <c r="BQ25" s="7">
        <v>0.47499999999999998</v>
      </c>
      <c r="BR25" s="7">
        <v>0.47239999999999999</v>
      </c>
      <c r="BS25" s="7">
        <v>0.44900000000000001</v>
      </c>
      <c r="BT25" s="7">
        <v>0.4101612903225807</v>
      </c>
      <c r="BU25" s="7">
        <v>0.40500000000000003</v>
      </c>
      <c r="BV25" s="7">
        <v>0.40500000000000003</v>
      </c>
      <c r="BW25" s="7">
        <v>0.40500000000000003</v>
      </c>
      <c r="BX25" s="7">
        <v>0.41189655172413792</v>
      </c>
      <c r="BY25" s="7">
        <v>0.45500000000000002</v>
      </c>
      <c r="BZ25" s="7">
        <v>0.45500000000000002</v>
      </c>
      <c r="CA25" s="7">
        <v>0.45500000000000002</v>
      </c>
      <c r="CB25" s="7">
        <v>0.43866666666666665</v>
      </c>
      <c r="CC25" s="7">
        <v>0.40354838709677421</v>
      </c>
      <c r="CD25" s="7">
        <v>0.39</v>
      </c>
      <c r="CE25" s="7">
        <v>0.39</v>
      </c>
      <c r="CF25" s="7">
        <v>0.42629032258064514</v>
      </c>
      <c r="CG25" s="7">
        <v>0.435</v>
      </c>
      <c r="CH25" s="7">
        <v>0.435</v>
      </c>
      <c r="CI25" s="7">
        <v>0.435</v>
      </c>
      <c r="CJ25" s="7">
        <v>0.435</v>
      </c>
      <c r="CK25" s="7">
        <v>0.41806451612903228</v>
      </c>
      <c r="CL25" s="7">
        <v>0.39650000000000002</v>
      </c>
      <c r="CM25" s="7">
        <v>0.36499999999999999</v>
      </c>
      <c r="CN25" s="7">
        <v>0.36499999999999999</v>
      </c>
      <c r="CO25" s="7">
        <v>0.36049999999999999</v>
      </c>
      <c r="CP25" s="7">
        <v>0.34499999999999997</v>
      </c>
      <c r="CQ25" s="7">
        <v>0.34499999999999997</v>
      </c>
      <c r="CR25" s="7">
        <v>0.34499999999999997</v>
      </c>
      <c r="CS25" s="7">
        <v>0.34499999999999997</v>
      </c>
      <c r="CT25" s="7">
        <v>0.34499999999999997</v>
      </c>
      <c r="CU25" s="7">
        <v>0.34499999999999997</v>
      </c>
      <c r="CV25" s="7">
        <v>0.34499999999999997</v>
      </c>
      <c r="CW25" s="7">
        <v>0.35951612903225805</v>
      </c>
      <c r="CX25" s="7">
        <v>0.39500000000000002</v>
      </c>
      <c r="CY25" s="7">
        <v>0.39500000000000002</v>
      </c>
      <c r="CZ25" s="7">
        <v>0.41699999999999998</v>
      </c>
      <c r="DA25" s="7">
        <v>0.42499999999999999</v>
      </c>
      <c r="DB25" s="7">
        <v>0.42499999999999999</v>
      </c>
      <c r="DC25" s="7">
        <v>0.42499999999999999</v>
      </c>
      <c r="DD25" s="7">
        <v>0.42499999999999999</v>
      </c>
      <c r="DE25" s="7">
        <v>0.37666666666666665</v>
      </c>
      <c r="DF25" s="7">
        <v>0.36790322580645157</v>
      </c>
      <c r="DG25" s="7">
        <v>0.33693548387096778</v>
      </c>
      <c r="DH25" s="7">
        <v>0.28250000000000003</v>
      </c>
      <c r="DI25" s="7">
        <v>0.245</v>
      </c>
      <c r="DJ25" s="7">
        <v>0.245</v>
      </c>
      <c r="DK25" s="7">
        <v>0.245</v>
      </c>
      <c r="DL25" s="7">
        <v>0.245</v>
      </c>
      <c r="DM25" s="7">
        <v>0.245</v>
      </c>
      <c r="DN25" s="7">
        <v>0.245</v>
      </c>
      <c r="DO25" s="7">
        <v>0.245</v>
      </c>
      <c r="DP25" s="7">
        <v>0.245</v>
      </c>
      <c r="DQ25" s="7">
        <v>0.245</v>
      </c>
      <c r="DR25" s="7">
        <v>0.245</v>
      </c>
    </row>
    <row r="26" spans="1:122" s="9" customFormat="1"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</row>
    <row r="27" spans="1:122" s="9" customFormat="1">
      <c r="A27" s="9" t="s">
        <v>387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</row>
    <row r="28" spans="1:122" s="9" customFormat="1">
      <c r="A28" s="9" t="s">
        <v>388</v>
      </c>
      <c r="B28" s="9" t="s">
        <v>389</v>
      </c>
      <c r="C28" s="209">
        <v>4138</v>
      </c>
      <c r="D28" s="209">
        <v>4009</v>
      </c>
      <c r="E28" s="209">
        <v>4573</v>
      </c>
      <c r="F28" s="209">
        <v>4689</v>
      </c>
      <c r="G28" s="209">
        <v>4238</v>
      </c>
      <c r="H28" s="209">
        <v>3994</v>
      </c>
      <c r="I28" s="209">
        <v>3875</v>
      </c>
      <c r="J28" s="209">
        <v>4276</v>
      </c>
      <c r="K28" s="209">
        <v>4639</v>
      </c>
      <c r="L28" s="209">
        <v>3437</v>
      </c>
      <c r="M28" s="209">
        <v>3956</v>
      </c>
      <c r="N28" s="209">
        <v>3209</v>
      </c>
      <c r="O28" s="209">
        <v>3475</v>
      </c>
      <c r="P28" s="209">
        <v>3803</v>
      </c>
      <c r="Q28" s="209">
        <v>3690</v>
      </c>
      <c r="R28" s="209">
        <v>4334</v>
      </c>
      <c r="S28" s="209">
        <v>4476</v>
      </c>
      <c r="T28" s="209">
        <v>3112</v>
      </c>
      <c r="U28" s="209">
        <v>3991</v>
      </c>
      <c r="V28" s="209">
        <v>4271</v>
      </c>
      <c r="W28" s="209">
        <v>4266</v>
      </c>
      <c r="X28" s="209">
        <v>3600</v>
      </c>
      <c r="Y28" s="209">
        <v>3904</v>
      </c>
      <c r="Z28" s="209">
        <v>3215</v>
      </c>
      <c r="AA28" s="209">
        <v>3234</v>
      </c>
      <c r="AB28" s="209">
        <v>3701</v>
      </c>
      <c r="AC28" s="209">
        <v>3321</v>
      </c>
      <c r="AD28" s="209">
        <v>1936</v>
      </c>
      <c r="AE28" s="209">
        <v>2379</v>
      </c>
      <c r="AF28" s="209">
        <v>4783</v>
      </c>
      <c r="AG28" s="209">
        <v>3574</v>
      </c>
      <c r="AH28" s="209">
        <v>3939</v>
      </c>
      <c r="AI28" s="209">
        <v>4514</v>
      </c>
      <c r="AJ28" s="209">
        <v>2693</v>
      </c>
      <c r="AK28" s="209">
        <v>3711</v>
      </c>
      <c r="AL28" s="209">
        <v>3662</v>
      </c>
      <c r="AM28" s="209">
        <v>2558</v>
      </c>
      <c r="AN28" s="209">
        <v>4335</v>
      </c>
      <c r="AO28" s="209">
        <v>4046</v>
      </c>
      <c r="AP28" s="209">
        <v>3202</v>
      </c>
      <c r="AQ28" s="209">
        <v>3373</v>
      </c>
      <c r="AR28" s="209">
        <v>3381</v>
      </c>
      <c r="AS28" s="209">
        <v>3871</v>
      </c>
      <c r="AT28" s="209">
        <v>3288</v>
      </c>
      <c r="AU28" s="209">
        <v>2424</v>
      </c>
      <c r="AV28" s="209">
        <v>5035</v>
      </c>
      <c r="AW28" s="209">
        <v>4122</v>
      </c>
      <c r="AX28" s="209">
        <v>1346</v>
      </c>
      <c r="AY28" s="209">
        <v>5021</v>
      </c>
      <c r="AZ28" s="209">
        <v>3375</v>
      </c>
      <c r="BA28" s="209">
        <v>2607</v>
      </c>
      <c r="BB28" s="209">
        <v>3314</v>
      </c>
      <c r="BC28" s="209">
        <v>3792</v>
      </c>
      <c r="BD28" s="209">
        <v>3931</v>
      </c>
      <c r="BE28" s="209">
        <v>2900</v>
      </c>
      <c r="BF28" s="209">
        <v>3690</v>
      </c>
      <c r="BG28" s="209">
        <v>1694</v>
      </c>
      <c r="BH28" s="209">
        <v>4531</v>
      </c>
      <c r="BI28" s="209">
        <v>3634</v>
      </c>
      <c r="BJ28" s="209">
        <v>3842</v>
      </c>
      <c r="BK28" s="209">
        <v>3924</v>
      </c>
      <c r="BL28" s="209">
        <v>2910</v>
      </c>
      <c r="BM28" s="209">
        <v>3899</v>
      </c>
      <c r="BN28" s="209">
        <v>1883</v>
      </c>
      <c r="BO28" s="209">
        <v>3821</v>
      </c>
      <c r="BP28" s="209">
        <v>5146</v>
      </c>
      <c r="BQ28" s="209">
        <v>3342</v>
      </c>
      <c r="BR28" s="209">
        <v>3185</v>
      </c>
      <c r="BS28" s="209">
        <v>2976</v>
      </c>
      <c r="BT28" s="209">
        <v>5286</v>
      </c>
      <c r="BU28" s="209">
        <v>2807</v>
      </c>
      <c r="BV28" s="209">
        <v>3137</v>
      </c>
      <c r="BW28" s="209">
        <v>4519</v>
      </c>
      <c r="BX28" s="209">
        <v>2322</v>
      </c>
      <c r="BY28" s="209">
        <v>2545</v>
      </c>
      <c r="BZ28" s="209">
        <v>4019</v>
      </c>
      <c r="CA28" s="209">
        <v>2860</v>
      </c>
      <c r="CB28" s="209">
        <v>3070</v>
      </c>
      <c r="CC28" s="209">
        <v>3620</v>
      </c>
      <c r="CD28" s="209">
        <v>2504</v>
      </c>
      <c r="CE28" s="209">
        <v>3675</v>
      </c>
      <c r="CF28" s="209">
        <v>4194</v>
      </c>
      <c r="CG28" s="209">
        <v>3535</v>
      </c>
      <c r="CH28" s="209">
        <v>2705</v>
      </c>
      <c r="CI28" s="209">
        <v>3997</v>
      </c>
      <c r="CJ28" s="209">
        <v>4131</v>
      </c>
      <c r="CK28" s="209">
        <v>2115</v>
      </c>
      <c r="CL28" s="209">
        <v>1669</v>
      </c>
      <c r="CM28" s="209">
        <v>700</v>
      </c>
      <c r="CN28" s="209">
        <v>1543</v>
      </c>
      <c r="CO28" s="209">
        <v>1396</v>
      </c>
      <c r="CP28" s="209">
        <v>2123</v>
      </c>
      <c r="CQ28" s="209">
        <v>2127</v>
      </c>
      <c r="CR28" s="209">
        <v>4299</v>
      </c>
      <c r="CS28" s="209">
        <v>3533</v>
      </c>
      <c r="CT28" s="209">
        <v>3675</v>
      </c>
      <c r="CU28" s="209">
        <v>992</v>
      </c>
      <c r="CV28" s="209">
        <v>2291</v>
      </c>
      <c r="CW28" s="209">
        <v>3108</v>
      </c>
      <c r="CX28" s="209">
        <v>2875</v>
      </c>
      <c r="CY28" s="209">
        <v>1390</v>
      </c>
      <c r="CZ28" s="209">
        <v>1742</v>
      </c>
      <c r="DA28" s="209">
        <v>3648</v>
      </c>
      <c r="DB28" s="209">
        <v>3236</v>
      </c>
      <c r="DC28" s="209">
        <v>2226</v>
      </c>
      <c r="DD28" s="209">
        <v>2280</v>
      </c>
      <c r="DE28" s="209">
        <v>1773</v>
      </c>
      <c r="DF28" s="209">
        <v>2557</v>
      </c>
      <c r="DG28" s="209">
        <v>2945</v>
      </c>
      <c r="DH28" s="209">
        <v>2644</v>
      </c>
      <c r="DI28" s="209">
        <v>2985</v>
      </c>
      <c r="DJ28" s="209">
        <v>1550</v>
      </c>
      <c r="DK28" s="209">
        <v>3304</v>
      </c>
      <c r="DL28" s="209">
        <v>1288</v>
      </c>
      <c r="DM28" s="209">
        <v>1287</v>
      </c>
      <c r="DN28" s="209">
        <v>1304</v>
      </c>
      <c r="DO28" s="209">
        <v>3026</v>
      </c>
      <c r="DP28" s="209">
        <v>3719</v>
      </c>
      <c r="DQ28" s="209">
        <v>2367</v>
      </c>
      <c r="DR28" s="209">
        <v>2404</v>
      </c>
    </row>
    <row r="29" spans="1:122" s="9" customFormat="1">
      <c r="A29" s="9" t="s">
        <v>390</v>
      </c>
      <c r="B29" s="9" t="s">
        <v>389</v>
      </c>
      <c r="C29" s="209">
        <v>0</v>
      </c>
      <c r="D29" s="209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80</v>
      </c>
      <c r="L29" s="209">
        <v>0</v>
      </c>
      <c r="M29" s="209">
        <v>95</v>
      </c>
      <c r="N29" s="209">
        <v>63</v>
      </c>
      <c r="O29" s="209">
        <v>58</v>
      </c>
      <c r="P29" s="209">
        <v>0</v>
      </c>
      <c r="Q29" s="209">
        <v>35</v>
      </c>
      <c r="R29" s="209">
        <v>0</v>
      </c>
      <c r="S29" s="209">
        <v>0</v>
      </c>
      <c r="T29" s="209">
        <v>50</v>
      </c>
      <c r="U29" s="209">
        <v>38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35</v>
      </c>
      <c r="AD29" s="209">
        <v>0</v>
      </c>
      <c r="AE29" s="209">
        <v>41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311</v>
      </c>
      <c r="CN29" s="209">
        <v>215</v>
      </c>
      <c r="CO29" s="209">
        <v>0</v>
      </c>
      <c r="CP29" s="209">
        <v>270</v>
      </c>
      <c r="CQ29" s="209">
        <v>0</v>
      </c>
      <c r="CR29" s="209">
        <v>0</v>
      </c>
      <c r="CS29" s="209">
        <v>0</v>
      </c>
      <c r="CT29" s="209">
        <v>0</v>
      </c>
      <c r="CU29" s="209">
        <v>80</v>
      </c>
      <c r="CV29" s="209">
        <v>83</v>
      </c>
      <c r="CW29" s="209">
        <v>0</v>
      </c>
      <c r="CX29" s="209">
        <v>86</v>
      </c>
      <c r="CY29" s="209">
        <v>11</v>
      </c>
      <c r="CZ29" s="209">
        <v>0</v>
      </c>
      <c r="DA29" s="209">
        <v>105</v>
      </c>
      <c r="DB29" s="209">
        <v>47</v>
      </c>
      <c r="DC29" s="209">
        <v>39</v>
      </c>
      <c r="DD29" s="209">
        <v>146</v>
      </c>
      <c r="DE29" s="209">
        <v>60</v>
      </c>
      <c r="DF29" s="209">
        <v>75</v>
      </c>
      <c r="DG29" s="209">
        <v>75</v>
      </c>
      <c r="DH29" s="209">
        <v>64</v>
      </c>
      <c r="DI29" s="209">
        <v>75</v>
      </c>
      <c r="DJ29" s="209">
        <v>99</v>
      </c>
      <c r="DK29" s="209">
        <v>58</v>
      </c>
      <c r="DL29" s="209">
        <v>94</v>
      </c>
      <c r="DM29" s="209">
        <v>58</v>
      </c>
      <c r="DN29" s="209">
        <v>0</v>
      </c>
      <c r="DO29" s="209">
        <v>93</v>
      </c>
      <c r="DP29" s="209">
        <v>40</v>
      </c>
      <c r="DQ29" s="209">
        <v>58</v>
      </c>
      <c r="DR29" s="209">
        <v>47</v>
      </c>
    </row>
    <row r="30" spans="1:122" s="9" customFormat="1">
      <c r="A30" s="9" t="s">
        <v>391</v>
      </c>
      <c r="B30" s="9" t="s">
        <v>389</v>
      </c>
      <c r="C30" s="209">
        <v>241</v>
      </c>
      <c r="D30" s="209">
        <v>0</v>
      </c>
      <c r="E30" s="209">
        <v>0</v>
      </c>
      <c r="F30" s="209">
        <v>607</v>
      </c>
      <c r="G30" s="209">
        <v>0</v>
      </c>
      <c r="H30" s="209">
        <v>312</v>
      </c>
      <c r="I30" s="209">
        <v>0</v>
      </c>
      <c r="J30" s="209">
        <v>0</v>
      </c>
      <c r="K30" s="209">
        <v>319</v>
      </c>
      <c r="L30" s="209">
        <v>304</v>
      </c>
      <c r="M30" s="209">
        <v>220</v>
      </c>
      <c r="N30" s="209">
        <v>539</v>
      </c>
      <c r="O30" s="209">
        <v>675</v>
      </c>
      <c r="P30" s="209">
        <v>308</v>
      </c>
      <c r="Q30" s="209">
        <v>302</v>
      </c>
      <c r="R30" s="209">
        <v>310</v>
      </c>
      <c r="S30" s="209">
        <v>252</v>
      </c>
      <c r="T30" s="209">
        <v>607</v>
      </c>
      <c r="U30" s="209">
        <v>565</v>
      </c>
      <c r="V30" s="209">
        <v>151</v>
      </c>
      <c r="W30" s="209">
        <v>304</v>
      </c>
      <c r="X30" s="209">
        <v>619</v>
      </c>
      <c r="Y30" s="209">
        <v>200</v>
      </c>
      <c r="Z30" s="209">
        <v>663</v>
      </c>
      <c r="AA30" s="209">
        <v>590</v>
      </c>
      <c r="AB30" s="209">
        <v>327</v>
      </c>
      <c r="AC30" s="209">
        <v>464</v>
      </c>
      <c r="AD30" s="209">
        <v>466</v>
      </c>
      <c r="AE30" s="209">
        <v>505</v>
      </c>
      <c r="AF30" s="209">
        <v>314</v>
      </c>
      <c r="AG30" s="209">
        <v>0</v>
      </c>
      <c r="AH30" s="209">
        <v>592</v>
      </c>
      <c r="AI30" s="209">
        <v>213</v>
      </c>
      <c r="AJ30" s="209">
        <v>0</v>
      </c>
      <c r="AK30" s="209">
        <v>0</v>
      </c>
      <c r="AL30" s="209">
        <v>310</v>
      </c>
      <c r="AM30" s="209">
        <v>0</v>
      </c>
      <c r="AN30" s="209">
        <v>0</v>
      </c>
      <c r="AO30" s="209">
        <v>413</v>
      </c>
      <c r="AP30" s="209">
        <v>0</v>
      </c>
      <c r="AQ30" s="209">
        <v>0</v>
      </c>
      <c r="AR30" s="209">
        <v>0</v>
      </c>
      <c r="AS30" s="209">
        <v>453</v>
      </c>
      <c r="AT30" s="209">
        <v>76</v>
      </c>
      <c r="AU30" s="209">
        <v>196</v>
      </c>
      <c r="AV30" s="209">
        <v>318</v>
      </c>
      <c r="AW30" s="209">
        <v>152</v>
      </c>
      <c r="AX30" s="209">
        <v>0</v>
      </c>
      <c r="AY30" s="209">
        <v>278</v>
      </c>
      <c r="AZ30" s="209">
        <v>626</v>
      </c>
      <c r="BA30" s="209">
        <v>0</v>
      </c>
      <c r="BB30" s="209">
        <v>0</v>
      </c>
      <c r="BC30" s="209">
        <v>627</v>
      </c>
      <c r="BD30" s="209">
        <v>626</v>
      </c>
      <c r="BE30" s="209">
        <v>506</v>
      </c>
      <c r="BF30" s="209">
        <v>0</v>
      </c>
      <c r="BG30" s="209">
        <v>319</v>
      </c>
      <c r="BH30" s="209">
        <v>297</v>
      </c>
      <c r="BI30" s="209">
        <v>594</v>
      </c>
      <c r="BJ30" s="209">
        <v>0</v>
      </c>
      <c r="BK30" s="209">
        <v>315</v>
      </c>
      <c r="BL30" s="209">
        <v>311</v>
      </c>
      <c r="BM30" s="209">
        <v>0</v>
      </c>
      <c r="BN30" s="209">
        <v>298</v>
      </c>
      <c r="BO30" s="209">
        <v>300</v>
      </c>
      <c r="BP30" s="209">
        <v>325</v>
      </c>
      <c r="BQ30" s="209">
        <v>890</v>
      </c>
      <c r="BR30" s="209">
        <v>601</v>
      </c>
      <c r="BS30" s="209">
        <v>0</v>
      </c>
      <c r="BT30" s="209">
        <v>300</v>
      </c>
      <c r="BU30" s="209">
        <v>301</v>
      </c>
      <c r="BV30" s="209">
        <v>0</v>
      </c>
      <c r="BW30" s="209">
        <v>0</v>
      </c>
      <c r="BX30" s="209">
        <v>310</v>
      </c>
      <c r="BY30" s="209">
        <v>0</v>
      </c>
      <c r="BZ30" s="209">
        <v>0</v>
      </c>
      <c r="CA30" s="209">
        <v>625</v>
      </c>
      <c r="CB30" s="209">
        <v>0</v>
      </c>
      <c r="CC30" s="209">
        <v>315</v>
      </c>
      <c r="CD30" s="209">
        <v>645</v>
      </c>
      <c r="CE30" s="209">
        <v>328</v>
      </c>
      <c r="CF30" s="209">
        <v>315</v>
      </c>
      <c r="CG30" s="209">
        <v>0</v>
      </c>
      <c r="CH30" s="209">
        <v>320</v>
      </c>
      <c r="CI30" s="209">
        <v>314</v>
      </c>
      <c r="CJ30" s="209">
        <v>315</v>
      </c>
      <c r="CK30" s="209">
        <v>300</v>
      </c>
      <c r="CL30" s="209">
        <v>1095</v>
      </c>
      <c r="CM30" s="209">
        <v>1004</v>
      </c>
      <c r="CN30" s="209">
        <v>1347</v>
      </c>
      <c r="CO30" s="209">
        <v>1030</v>
      </c>
      <c r="CP30" s="209">
        <v>514</v>
      </c>
      <c r="CQ30" s="209">
        <v>489</v>
      </c>
      <c r="CR30" s="209">
        <v>459</v>
      </c>
      <c r="CS30" s="209">
        <v>0</v>
      </c>
      <c r="CT30" s="209">
        <v>314</v>
      </c>
      <c r="CU30" s="209">
        <v>315</v>
      </c>
      <c r="CV30" s="209">
        <v>286</v>
      </c>
      <c r="CW30" s="209">
        <v>0</v>
      </c>
      <c r="CX30" s="209">
        <v>563</v>
      </c>
      <c r="CY30" s="209">
        <v>327</v>
      </c>
      <c r="CZ30" s="209">
        <v>0</v>
      </c>
      <c r="DA30" s="209">
        <v>350</v>
      </c>
      <c r="DB30" s="209">
        <v>174</v>
      </c>
      <c r="DC30" s="209">
        <v>639</v>
      </c>
      <c r="DD30" s="209">
        <v>468</v>
      </c>
      <c r="DE30" s="209">
        <v>315</v>
      </c>
      <c r="DF30" s="209">
        <v>315</v>
      </c>
      <c r="DG30" s="209">
        <v>315</v>
      </c>
      <c r="DH30" s="209">
        <v>315</v>
      </c>
      <c r="DI30" s="209">
        <v>672</v>
      </c>
      <c r="DJ30" s="209">
        <v>315</v>
      </c>
      <c r="DK30" s="209">
        <v>390</v>
      </c>
      <c r="DL30" s="209">
        <v>370</v>
      </c>
      <c r="DM30" s="209">
        <v>480</v>
      </c>
      <c r="DN30" s="209">
        <v>664</v>
      </c>
      <c r="DO30" s="209">
        <v>0</v>
      </c>
      <c r="DP30" s="209">
        <v>415</v>
      </c>
      <c r="DQ30" s="209">
        <v>453</v>
      </c>
      <c r="DR30" s="209">
        <v>446</v>
      </c>
    </row>
    <row r="31" spans="1:122" s="9" customFormat="1">
      <c r="A31" s="9" t="s">
        <v>279</v>
      </c>
      <c r="B31" s="9" t="s">
        <v>389</v>
      </c>
      <c r="C31" s="209">
        <v>0</v>
      </c>
      <c r="D31" s="209">
        <v>0</v>
      </c>
      <c r="E31" s="209">
        <v>0</v>
      </c>
      <c r="F31" s="209">
        <v>0</v>
      </c>
      <c r="G31" s="209">
        <v>0</v>
      </c>
      <c r="H31" s="209">
        <v>0</v>
      </c>
      <c r="I31" s="209">
        <v>367</v>
      </c>
      <c r="J31" s="209">
        <v>0</v>
      </c>
      <c r="K31" s="209">
        <v>217</v>
      </c>
      <c r="L31" s="209">
        <v>0</v>
      </c>
      <c r="M31" s="209">
        <v>0</v>
      </c>
      <c r="N31" s="209">
        <v>0</v>
      </c>
      <c r="O31" s="209">
        <v>64</v>
      </c>
      <c r="P31" s="209">
        <v>0</v>
      </c>
      <c r="Q31" s="209">
        <v>0</v>
      </c>
      <c r="R31" s="209">
        <v>0</v>
      </c>
      <c r="S31" s="209">
        <v>98</v>
      </c>
      <c r="T31" s="209">
        <v>405</v>
      </c>
      <c r="U31" s="209">
        <v>0</v>
      </c>
      <c r="V31" s="209">
        <v>0</v>
      </c>
      <c r="W31" s="209">
        <v>0</v>
      </c>
      <c r="X31" s="209">
        <v>0</v>
      </c>
      <c r="Y31" s="209">
        <v>0</v>
      </c>
      <c r="Z31" s="209">
        <v>0</v>
      </c>
      <c r="AA31" s="209">
        <v>0</v>
      </c>
      <c r="AB31" s="209">
        <v>0</v>
      </c>
      <c r="AC31" s="209">
        <v>0</v>
      </c>
      <c r="AD31" s="209">
        <v>0</v>
      </c>
      <c r="AE31" s="209">
        <v>95</v>
      </c>
      <c r="AF31" s="209">
        <v>101</v>
      </c>
      <c r="AG31" s="209">
        <v>0</v>
      </c>
      <c r="AH31" s="209">
        <v>0</v>
      </c>
      <c r="AI31" s="209">
        <v>0</v>
      </c>
      <c r="AJ31" s="209">
        <v>0</v>
      </c>
      <c r="AK31" s="209">
        <v>0</v>
      </c>
      <c r="AL31" s="209">
        <v>0</v>
      </c>
      <c r="AM31" s="209">
        <v>78</v>
      </c>
      <c r="AN31" s="209">
        <v>0</v>
      </c>
      <c r="AO31" s="209">
        <v>0</v>
      </c>
      <c r="AP31" s="209">
        <v>0</v>
      </c>
      <c r="AQ31" s="209">
        <v>0</v>
      </c>
      <c r="AR31" s="209">
        <v>0</v>
      </c>
      <c r="AS31" s="209">
        <v>0</v>
      </c>
      <c r="AT31" s="209">
        <v>0</v>
      </c>
      <c r="AU31" s="209">
        <v>0</v>
      </c>
      <c r="AV31" s="209">
        <v>0</v>
      </c>
      <c r="AW31" s="209">
        <v>0</v>
      </c>
      <c r="AX31" s="209">
        <v>0</v>
      </c>
      <c r="AY31" s="209">
        <v>0</v>
      </c>
      <c r="AZ31" s="209">
        <v>0</v>
      </c>
      <c r="BA31" s="209">
        <v>0</v>
      </c>
      <c r="BB31" s="209">
        <v>0</v>
      </c>
      <c r="BC31" s="209">
        <v>0</v>
      </c>
      <c r="BD31" s="209">
        <v>0</v>
      </c>
      <c r="BE31" s="209">
        <v>297</v>
      </c>
      <c r="BF31" s="209">
        <v>0</v>
      </c>
      <c r="BG31" s="209">
        <v>0</v>
      </c>
      <c r="BH31" s="209">
        <v>0</v>
      </c>
      <c r="BI31" s="209">
        <v>0</v>
      </c>
      <c r="BJ31" s="209">
        <v>0</v>
      </c>
      <c r="BK31" s="209">
        <v>0</v>
      </c>
      <c r="BL31" s="209">
        <v>0</v>
      </c>
      <c r="BM31" s="209">
        <v>0</v>
      </c>
      <c r="BN31" s="209">
        <v>0</v>
      </c>
      <c r="BO31" s="209">
        <v>0</v>
      </c>
      <c r="BP31" s="209">
        <v>0</v>
      </c>
      <c r="BQ31" s="209">
        <v>0</v>
      </c>
      <c r="BR31" s="209">
        <v>0</v>
      </c>
      <c r="BS31" s="209">
        <v>0</v>
      </c>
      <c r="BT31" s="209">
        <v>0</v>
      </c>
      <c r="BU31" s="209">
        <v>0</v>
      </c>
      <c r="BV31" s="209">
        <v>0</v>
      </c>
      <c r="BW31" s="209">
        <v>0</v>
      </c>
      <c r="BX31" s="209">
        <v>0</v>
      </c>
      <c r="BY31" s="209">
        <v>0</v>
      </c>
      <c r="BZ31" s="209">
        <v>0</v>
      </c>
      <c r="CA31" s="209">
        <v>68</v>
      </c>
      <c r="CB31" s="209">
        <v>0</v>
      </c>
      <c r="CC31" s="209">
        <v>0</v>
      </c>
      <c r="CD31" s="209">
        <v>0</v>
      </c>
      <c r="CE31" s="209">
        <v>0</v>
      </c>
      <c r="CF31" s="209">
        <v>0</v>
      </c>
      <c r="CG31" s="209">
        <v>0</v>
      </c>
      <c r="CH31" s="209">
        <v>0</v>
      </c>
      <c r="CI31" s="209">
        <v>0</v>
      </c>
      <c r="CJ31" s="209">
        <v>0</v>
      </c>
      <c r="CK31" s="209">
        <v>0</v>
      </c>
      <c r="CL31" s="209">
        <v>0</v>
      </c>
      <c r="CM31" s="209">
        <v>332</v>
      </c>
      <c r="CN31" s="209">
        <v>306</v>
      </c>
      <c r="CO31" s="209">
        <v>516</v>
      </c>
      <c r="CP31" s="209">
        <v>0</v>
      </c>
      <c r="CQ31" s="209">
        <v>334</v>
      </c>
      <c r="CR31" s="209">
        <v>0</v>
      </c>
      <c r="CS31" s="209">
        <v>221</v>
      </c>
      <c r="CT31" s="209">
        <v>0</v>
      </c>
      <c r="CU31" s="209">
        <v>0</v>
      </c>
      <c r="CV31" s="209">
        <v>241</v>
      </c>
      <c r="CW31" s="209">
        <v>0</v>
      </c>
      <c r="CX31" s="209">
        <v>0</v>
      </c>
      <c r="CY31" s="209">
        <v>42</v>
      </c>
      <c r="CZ31" s="209">
        <v>0</v>
      </c>
      <c r="DA31" s="209">
        <v>0</v>
      </c>
      <c r="DB31" s="209">
        <v>45</v>
      </c>
      <c r="DC31" s="209">
        <v>0</v>
      </c>
      <c r="DD31" s="209">
        <v>115</v>
      </c>
      <c r="DE31" s="209">
        <v>82</v>
      </c>
      <c r="DF31" s="209">
        <v>55</v>
      </c>
      <c r="DG31" s="209">
        <v>42</v>
      </c>
      <c r="DH31" s="209">
        <v>65</v>
      </c>
      <c r="DI31" s="209">
        <v>0</v>
      </c>
      <c r="DJ31" s="209">
        <v>0</v>
      </c>
      <c r="DK31" s="209">
        <v>69</v>
      </c>
      <c r="DL31" s="209">
        <v>119</v>
      </c>
      <c r="DM31" s="209">
        <v>45</v>
      </c>
      <c r="DN31" s="209">
        <v>0</v>
      </c>
      <c r="DO31" s="209">
        <v>155</v>
      </c>
      <c r="DP31" s="209">
        <v>68</v>
      </c>
      <c r="DQ31" s="209">
        <v>97</v>
      </c>
      <c r="DR31" s="209">
        <v>80</v>
      </c>
    </row>
    <row r="32" spans="1:122" s="9" customFormat="1">
      <c r="A32" s="9" t="s">
        <v>392</v>
      </c>
      <c r="B32" s="9" t="s">
        <v>389</v>
      </c>
      <c r="C32" s="209">
        <v>0</v>
      </c>
      <c r="D32" s="209">
        <v>0</v>
      </c>
      <c r="E32" s="209">
        <v>45</v>
      </c>
      <c r="F32" s="209">
        <v>0</v>
      </c>
      <c r="G32" s="209">
        <v>11</v>
      </c>
      <c r="H32" s="209">
        <v>34</v>
      </c>
      <c r="I32" s="209">
        <v>0</v>
      </c>
      <c r="J32" s="209">
        <v>0</v>
      </c>
      <c r="K32" s="209">
        <v>0</v>
      </c>
      <c r="L32" s="209">
        <v>0</v>
      </c>
      <c r="M32" s="209">
        <v>0</v>
      </c>
      <c r="N32" s="209">
        <v>44</v>
      </c>
      <c r="O32" s="209">
        <v>0</v>
      </c>
      <c r="P32" s="209">
        <v>0</v>
      </c>
      <c r="Q32" s="209">
        <v>0</v>
      </c>
      <c r="R32" s="209">
        <v>45</v>
      </c>
      <c r="S32" s="209">
        <v>0</v>
      </c>
      <c r="T32" s="209">
        <v>0</v>
      </c>
      <c r="U32" s="209">
        <v>0</v>
      </c>
      <c r="V32" s="209">
        <v>44</v>
      </c>
      <c r="W32" s="209">
        <v>0</v>
      </c>
      <c r="X32" s="209">
        <v>0</v>
      </c>
      <c r="Y32" s="209">
        <v>0</v>
      </c>
      <c r="Z32" s="209">
        <v>45</v>
      </c>
      <c r="AA32" s="209">
        <v>0</v>
      </c>
      <c r="AB32" s="209">
        <v>0</v>
      </c>
      <c r="AC32" s="209">
        <v>44</v>
      </c>
      <c r="AD32" s="209">
        <v>46</v>
      </c>
      <c r="AE32" s="209">
        <v>45</v>
      </c>
      <c r="AF32" s="209">
        <v>0</v>
      </c>
      <c r="AG32" s="209">
        <v>0</v>
      </c>
      <c r="AH32" s="209">
        <v>45</v>
      </c>
      <c r="AI32" s="209">
        <v>0</v>
      </c>
      <c r="AJ32" s="209">
        <v>0</v>
      </c>
      <c r="AK32" s="209">
        <v>20</v>
      </c>
      <c r="AL32" s="209">
        <v>24</v>
      </c>
      <c r="AM32" s="209">
        <v>0</v>
      </c>
      <c r="AN32" s="209">
        <v>0</v>
      </c>
      <c r="AO32" s="209">
        <v>0</v>
      </c>
      <c r="AP32" s="209">
        <v>40</v>
      </c>
      <c r="AQ32" s="209">
        <v>0</v>
      </c>
      <c r="AR32" s="209">
        <v>0</v>
      </c>
      <c r="AS32" s="209">
        <v>0</v>
      </c>
      <c r="AT32" s="209">
        <v>44</v>
      </c>
      <c r="AU32" s="209">
        <v>0</v>
      </c>
      <c r="AV32" s="209">
        <v>31</v>
      </c>
      <c r="AW32" s="209">
        <v>10</v>
      </c>
      <c r="AX32" s="209">
        <v>0</v>
      </c>
      <c r="AY32" s="209">
        <v>58</v>
      </c>
      <c r="AZ32" s="209">
        <v>0</v>
      </c>
      <c r="BA32" s="209">
        <v>45</v>
      </c>
      <c r="BB32" s="209">
        <v>55</v>
      </c>
      <c r="BC32" s="209">
        <v>0</v>
      </c>
      <c r="BD32" s="209">
        <v>45</v>
      </c>
      <c r="BE32" s="209">
        <v>45</v>
      </c>
      <c r="BF32" s="209">
        <v>45</v>
      </c>
      <c r="BG32" s="209">
        <v>0</v>
      </c>
      <c r="BH32" s="209">
        <v>0</v>
      </c>
      <c r="BI32" s="209">
        <v>0</v>
      </c>
      <c r="BJ32" s="209">
        <v>45</v>
      </c>
      <c r="BK32" s="209">
        <v>52</v>
      </c>
      <c r="BL32" s="209">
        <v>54</v>
      </c>
      <c r="BM32" s="209">
        <v>0</v>
      </c>
      <c r="BN32" s="209">
        <v>54</v>
      </c>
      <c r="BO32" s="209">
        <v>0</v>
      </c>
      <c r="BP32" s="209">
        <v>53</v>
      </c>
      <c r="BQ32" s="209">
        <v>55</v>
      </c>
      <c r="BR32" s="209">
        <v>0</v>
      </c>
      <c r="BS32" s="209">
        <v>2</v>
      </c>
      <c r="BT32" s="209">
        <v>55</v>
      </c>
      <c r="BU32" s="209">
        <v>56</v>
      </c>
      <c r="BV32" s="209">
        <v>0</v>
      </c>
      <c r="BW32" s="209">
        <v>0</v>
      </c>
      <c r="BX32" s="209">
        <v>54</v>
      </c>
      <c r="BY32" s="209">
        <v>39</v>
      </c>
      <c r="BZ32" s="209">
        <v>16</v>
      </c>
      <c r="CA32" s="209">
        <v>57</v>
      </c>
      <c r="CB32" s="209">
        <v>55</v>
      </c>
      <c r="CC32" s="209">
        <v>37</v>
      </c>
      <c r="CD32" s="209">
        <v>18</v>
      </c>
      <c r="CE32" s="209">
        <v>55</v>
      </c>
      <c r="CF32" s="209">
        <v>0</v>
      </c>
      <c r="CG32" s="209">
        <v>55</v>
      </c>
      <c r="CH32" s="209">
        <v>0</v>
      </c>
      <c r="CI32" s="209">
        <v>95</v>
      </c>
      <c r="CJ32" s="209">
        <v>0</v>
      </c>
      <c r="CK32" s="209">
        <v>64</v>
      </c>
      <c r="CL32" s="209">
        <v>51</v>
      </c>
      <c r="CM32" s="209">
        <v>54</v>
      </c>
      <c r="CN32" s="209">
        <v>103</v>
      </c>
      <c r="CO32" s="209">
        <v>53</v>
      </c>
      <c r="CP32" s="209">
        <v>58</v>
      </c>
      <c r="CQ32" s="209">
        <v>53</v>
      </c>
      <c r="CR32" s="209">
        <v>51</v>
      </c>
      <c r="CS32" s="209">
        <v>20</v>
      </c>
      <c r="CT32" s="209">
        <v>40</v>
      </c>
      <c r="CU32" s="209">
        <v>46</v>
      </c>
      <c r="CV32" s="209">
        <v>62</v>
      </c>
      <c r="CW32" s="209">
        <v>44</v>
      </c>
      <c r="CX32" s="209">
        <v>63</v>
      </c>
      <c r="CY32" s="209">
        <v>42</v>
      </c>
      <c r="CZ32" s="209">
        <v>35</v>
      </c>
      <c r="DA32" s="209">
        <v>23</v>
      </c>
      <c r="DB32" s="209">
        <v>47</v>
      </c>
      <c r="DC32" s="209">
        <v>53</v>
      </c>
      <c r="DD32" s="209">
        <v>62</v>
      </c>
      <c r="DE32" s="209">
        <v>33</v>
      </c>
      <c r="DF32" s="209">
        <v>10</v>
      </c>
      <c r="DG32" s="209">
        <v>82</v>
      </c>
      <c r="DH32" s="209">
        <v>23</v>
      </c>
      <c r="DI32" s="209">
        <v>64</v>
      </c>
      <c r="DJ32" s="209">
        <v>32</v>
      </c>
      <c r="DK32" s="209">
        <v>87</v>
      </c>
      <c r="DL32" s="209">
        <v>47</v>
      </c>
      <c r="DM32" s="209">
        <v>37</v>
      </c>
      <c r="DN32" s="209">
        <v>59</v>
      </c>
      <c r="DO32" s="209">
        <v>61</v>
      </c>
      <c r="DP32" s="209">
        <v>57</v>
      </c>
      <c r="DQ32" s="209">
        <v>54</v>
      </c>
      <c r="DR32" s="209">
        <v>54</v>
      </c>
    </row>
    <row r="33" spans="1:122" s="9" customFormat="1">
      <c r="A33" s="9" t="s">
        <v>393</v>
      </c>
      <c r="B33" s="9" t="s">
        <v>389</v>
      </c>
      <c r="C33" s="209">
        <v>0</v>
      </c>
      <c r="D33" s="209">
        <v>114</v>
      </c>
      <c r="E33" s="209">
        <v>75</v>
      </c>
      <c r="F33" s="209">
        <v>0</v>
      </c>
      <c r="G33" s="209">
        <v>90</v>
      </c>
      <c r="H33" s="209">
        <v>166</v>
      </c>
      <c r="I33" s="209">
        <v>174</v>
      </c>
      <c r="J33" s="209">
        <v>42</v>
      </c>
      <c r="K33" s="209">
        <v>203</v>
      </c>
      <c r="L33" s="209">
        <v>78</v>
      </c>
      <c r="M33" s="209">
        <v>78</v>
      </c>
      <c r="N33" s="209">
        <v>81</v>
      </c>
      <c r="O33" s="209">
        <v>0</v>
      </c>
      <c r="P33" s="209">
        <v>78</v>
      </c>
      <c r="Q33" s="209">
        <v>81</v>
      </c>
      <c r="R33" s="209">
        <v>98</v>
      </c>
      <c r="S33" s="209">
        <v>0</v>
      </c>
      <c r="T33" s="209">
        <v>94</v>
      </c>
      <c r="U33" s="209">
        <v>92</v>
      </c>
      <c r="V33" s="209">
        <v>96</v>
      </c>
      <c r="W33" s="209">
        <v>0</v>
      </c>
      <c r="X33" s="209">
        <v>96</v>
      </c>
      <c r="Y33" s="209">
        <v>83</v>
      </c>
      <c r="Z33" s="209">
        <v>0</v>
      </c>
      <c r="AA33" s="209">
        <v>0</v>
      </c>
      <c r="AB33" s="209">
        <v>97</v>
      </c>
      <c r="AC33" s="209">
        <v>95</v>
      </c>
      <c r="AD33" s="209">
        <v>0</v>
      </c>
      <c r="AE33" s="209">
        <v>0</v>
      </c>
      <c r="AF33" s="209">
        <v>0</v>
      </c>
      <c r="AG33" s="209">
        <v>244</v>
      </c>
      <c r="AH33" s="209">
        <v>0</v>
      </c>
      <c r="AI33" s="209">
        <v>0</v>
      </c>
      <c r="AJ33" s="209">
        <v>60</v>
      </c>
      <c r="AK33" s="209">
        <v>0</v>
      </c>
      <c r="AL33" s="209">
        <v>0</v>
      </c>
      <c r="AM33" s="209">
        <v>49</v>
      </c>
      <c r="AN33" s="209">
        <v>0</v>
      </c>
      <c r="AO33" s="209">
        <v>47</v>
      </c>
      <c r="AP33" s="209">
        <v>0</v>
      </c>
      <c r="AQ33" s="209">
        <v>79</v>
      </c>
      <c r="AR33" s="209">
        <v>63</v>
      </c>
      <c r="AS33" s="209">
        <v>86</v>
      </c>
      <c r="AT33" s="209">
        <v>91</v>
      </c>
      <c r="AU33" s="209">
        <v>82</v>
      </c>
      <c r="AV33" s="209">
        <v>82</v>
      </c>
      <c r="AW33" s="209">
        <v>0</v>
      </c>
      <c r="AX33" s="209">
        <v>0</v>
      </c>
      <c r="AY33" s="209">
        <v>0</v>
      </c>
      <c r="AZ33" s="209">
        <v>0</v>
      </c>
      <c r="BA33" s="209">
        <v>0</v>
      </c>
      <c r="BB33" s="209">
        <v>0</v>
      </c>
      <c r="BC33" s="209">
        <v>0</v>
      </c>
      <c r="BD33" s="209">
        <v>0</v>
      </c>
      <c r="BE33" s="209">
        <v>0</v>
      </c>
      <c r="BF33" s="209">
        <v>0</v>
      </c>
      <c r="BG33" s="209">
        <v>0</v>
      </c>
      <c r="BH33" s="209">
        <v>0</v>
      </c>
      <c r="BI33" s="209">
        <v>0</v>
      </c>
      <c r="BJ33" s="209">
        <v>0</v>
      </c>
      <c r="BK33" s="209">
        <v>0</v>
      </c>
      <c r="BL33" s="209">
        <v>0</v>
      </c>
      <c r="BM33" s="209">
        <v>0</v>
      </c>
      <c r="BN33" s="209">
        <v>0</v>
      </c>
      <c r="BO33" s="209">
        <v>0</v>
      </c>
      <c r="BP33" s="209">
        <v>0</v>
      </c>
      <c r="BQ33" s="209">
        <v>0</v>
      </c>
      <c r="BR33" s="209">
        <v>0</v>
      </c>
      <c r="BS33" s="209">
        <v>0</v>
      </c>
      <c r="BT33" s="209">
        <v>0</v>
      </c>
      <c r="BU33" s="209">
        <v>0</v>
      </c>
      <c r="BV33" s="209">
        <v>0</v>
      </c>
      <c r="BW33" s="209">
        <v>0</v>
      </c>
      <c r="BX33" s="209">
        <v>0</v>
      </c>
      <c r="BY33" s="209">
        <v>0</v>
      </c>
      <c r="BZ33" s="209">
        <v>0</v>
      </c>
      <c r="CA33" s="209">
        <v>0</v>
      </c>
      <c r="CB33" s="209">
        <v>0</v>
      </c>
      <c r="CC33" s="209">
        <v>0</v>
      </c>
      <c r="CD33" s="209">
        <v>0</v>
      </c>
      <c r="CE33" s="209">
        <v>0</v>
      </c>
      <c r="CF33" s="209">
        <v>128</v>
      </c>
      <c r="CG33" s="209">
        <v>0</v>
      </c>
      <c r="CH33" s="209">
        <v>133</v>
      </c>
      <c r="CI33" s="209">
        <v>0</v>
      </c>
      <c r="CJ33" s="209">
        <v>0</v>
      </c>
      <c r="CK33" s="209">
        <v>0</v>
      </c>
      <c r="CL33" s="209">
        <v>0</v>
      </c>
      <c r="CM33" s="209">
        <v>0</v>
      </c>
      <c r="CN33" s="209">
        <v>0</v>
      </c>
      <c r="CO33" s="209">
        <v>0</v>
      </c>
      <c r="CP33" s="209">
        <v>0</v>
      </c>
      <c r="CQ33" s="209">
        <v>0</v>
      </c>
      <c r="CR33" s="209">
        <v>0</v>
      </c>
      <c r="CS33" s="209">
        <v>0</v>
      </c>
      <c r="CT33" s="209">
        <v>0</v>
      </c>
      <c r="CU33" s="209">
        <v>0</v>
      </c>
      <c r="CV33" s="209">
        <v>0</v>
      </c>
      <c r="CW33" s="209">
        <v>0</v>
      </c>
      <c r="CX33" s="209">
        <v>0</v>
      </c>
      <c r="CY33" s="209">
        <v>0</v>
      </c>
      <c r="CZ33" s="209">
        <v>0</v>
      </c>
      <c r="DA33" s="209">
        <v>95</v>
      </c>
      <c r="DB33" s="209">
        <v>0</v>
      </c>
      <c r="DC33" s="209">
        <v>0</v>
      </c>
      <c r="DD33" s="209">
        <v>24</v>
      </c>
      <c r="DE33" s="209">
        <v>0</v>
      </c>
      <c r="DF33" s="209">
        <v>0</v>
      </c>
      <c r="DG33" s="209">
        <v>0</v>
      </c>
      <c r="DH33" s="209">
        <v>0</v>
      </c>
      <c r="DI33" s="209">
        <v>0</v>
      </c>
      <c r="DJ33" s="209">
        <v>0</v>
      </c>
      <c r="DK33" s="209">
        <v>0</v>
      </c>
      <c r="DL33" s="209">
        <v>0</v>
      </c>
      <c r="DM33" s="209">
        <v>0</v>
      </c>
      <c r="DN33" s="209">
        <v>82</v>
      </c>
      <c r="DO33" s="209">
        <v>0</v>
      </c>
      <c r="DP33" s="209">
        <v>0</v>
      </c>
      <c r="DQ33" s="209">
        <v>0</v>
      </c>
      <c r="DR33" s="209">
        <v>0</v>
      </c>
    </row>
    <row r="34" spans="1:122" s="9" customFormat="1">
      <c r="A34" s="9" t="s">
        <v>394</v>
      </c>
      <c r="B34" s="9" t="s">
        <v>389</v>
      </c>
      <c r="C34" s="209">
        <v>0</v>
      </c>
      <c r="D34" s="209">
        <v>0</v>
      </c>
      <c r="E34" s="209">
        <v>189</v>
      </c>
      <c r="F34" s="209">
        <v>0</v>
      </c>
      <c r="G34" s="209">
        <v>0</v>
      </c>
      <c r="H34" s="209">
        <v>142</v>
      </c>
      <c r="I34" s="209">
        <v>0</v>
      </c>
      <c r="J34" s="209">
        <v>0</v>
      </c>
      <c r="K34" s="209">
        <v>0</v>
      </c>
      <c r="L34" s="209">
        <v>0</v>
      </c>
      <c r="M34" s="209">
        <v>0</v>
      </c>
      <c r="N34" s="209">
        <v>0</v>
      </c>
      <c r="O34" s="209">
        <v>0</v>
      </c>
      <c r="P34" s="209">
        <v>0</v>
      </c>
      <c r="Q34" s="209">
        <v>0</v>
      </c>
      <c r="R34" s="209">
        <v>49</v>
      </c>
      <c r="S34" s="209">
        <v>98</v>
      </c>
      <c r="T34" s="209">
        <v>0</v>
      </c>
      <c r="U34" s="209">
        <v>0</v>
      </c>
      <c r="V34" s="209">
        <v>0</v>
      </c>
      <c r="W34" s="209">
        <v>0</v>
      </c>
      <c r="X34" s="209">
        <v>97</v>
      </c>
      <c r="Y34" s="209">
        <v>0</v>
      </c>
      <c r="Z34" s="209">
        <v>0</v>
      </c>
      <c r="AA34" s="209">
        <v>0</v>
      </c>
      <c r="AB34" s="209">
        <v>0</v>
      </c>
      <c r="AC34" s="209">
        <v>0</v>
      </c>
      <c r="AD34" s="209">
        <v>0</v>
      </c>
      <c r="AE34" s="209">
        <v>0</v>
      </c>
      <c r="AF34" s="209">
        <v>0</v>
      </c>
      <c r="AG34" s="209">
        <v>0</v>
      </c>
      <c r="AH34" s="209">
        <v>0</v>
      </c>
      <c r="AI34" s="209">
        <v>0</v>
      </c>
      <c r="AJ34" s="209">
        <v>0</v>
      </c>
      <c r="AK34" s="209">
        <v>0</v>
      </c>
      <c r="AL34" s="209">
        <v>0</v>
      </c>
      <c r="AM34" s="209">
        <v>27</v>
      </c>
      <c r="AN34" s="209">
        <v>0</v>
      </c>
      <c r="AO34" s="209">
        <v>218</v>
      </c>
      <c r="AP34" s="209">
        <v>0</v>
      </c>
      <c r="AQ34" s="209">
        <v>0</v>
      </c>
      <c r="AR34" s="209">
        <v>0</v>
      </c>
      <c r="AS34" s="209">
        <v>0</v>
      </c>
      <c r="AT34" s="209">
        <v>0</v>
      </c>
      <c r="AU34" s="209">
        <v>0</v>
      </c>
      <c r="AV34" s="209">
        <v>0</v>
      </c>
      <c r="AW34" s="209">
        <v>0</v>
      </c>
      <c r="AX34" s="209">
        <v>0</v>
      </c>
      <c r="AY34" s="209">
        <v>0</v>
      </c>
      <c r="AZ34" s="209">
        <v>219</v>
      </c>
      <c r="BA34" s="209">
        <v>0</v>
      </c>
      <c r="BB34" s="209">
        <v>0</v>
      </c>
      <c r="BC34" s="209">
        <v>0</v>
      </c>
      <c r="BD34" s="209">
        <v>0</v>
      </c>
      <c r="BE34" s="209">
        <v>118</v>
      </c>
      <c r="BF34" s="209">
        <v>0</v>
      </c>
      <c r="BG34" s="209">
        <v>0</v>
      </c>
      <c r="BH34" s="209">
        <v>0</v>
      </c>
      <c r="BI34" s="209">
        <v>0</v>
      </c>
      <c r="BJ34" s="209">
        <v>0</v>
      </c>
      <c r="BK34" s="209">
        <v>0</v>
      </c>
      <c r="BL34" s="209">
        <v>0</v>
      </c>
      <c r="BM34" s="209">
        <v>0</v>
      </c>
      <c r="BN34" s="209">
        <v>159</v>
      </c>
      <c r="BO34" s="209">
        <v>0</v>
      </c>
      <c r="BP34" s="209">
        <v>0</v>
      </c>
      <c r="BQ34" s="209">
        <v>0</v>
      </c>
      <c r="BR34" s="209">
        <v>0</v>
      </c>
      <c r="BS34" s="209">
        <v>0</v>
      </c>
      <c r="BT34" s="209">
        <v>0</v>
      </c>
      <c r="BU34" s="209">
        <v>0</v>
      </c>
      <c r="BV34" s="209">
        <v>0</v>
      </c>
      <c r="BW34" s="209">
        <v>207</v>
      </c>
      <c r="BX34" s="209">
        <v>0</v>
      </c>
      <c r="BY34" s="209">
        <v>0</v>
      </c>
      <c r="BZ34" s="209">
        <v>0</v>
      </c>
      <c r="CA34" s="209">
        <v>0</v>
      </c>
      <c r="CB34" s="209">
        <v>32</v>
      </c>
      <c r="CC34" s="209">
        <v>0</v>
      </c>
      <c r="CD34" s="209">
        <v>0</v>
      </c>
      <c r="CE34" s="209">
        <v>0</v>
      </c>
      <c r="CF34" s="209">
        <v>0</v>
      </c>
      <c r="CG34" s="209">
        <v>0</v>
      </c>
      <c r="CH34" s="209">
        <v>207</v>
      </c>
      <c r="CI34" s="209">
        <v>0</v>
      </c>
      <c r="CJ34" s="209">
        <v>32</v>
      </c>
      <c r="CK34" s="209">
        <v>0</v>
      </c>
      <c r="CL34" s="209">
        <v>59</v>
      </c>
      <c r="CM34" s="209">
        <v>677</v>
      </c>
      <c r="CN34" s="209">
        <v>308</v>
      </c>
      <c r="CO34" s="209">
        <v>835</v>
      </c>
      <c r="CP34" s="209">
        <v>466</v>
      </c>
      <c r="CQ34" s="209">
        <v>66</v>
      </c>
      <c r="CR34" s="209">
        <v>0</v>
      </c>
      <c r="CS34" s="209">
        <v>0</v>
      </c>
      <c r="CT34" s="209">
        <v>118</v>
      </c>
      <c r="CU34" s="209">
        <v>115</v>
      </c>
      <c r="CV34" s="209">
        <v>273</v>
      </c>
      <c r="CW34" s="209">
        <v>8</v>
      </c>
      <c r="CX34" s="209">
        <v>116</v>
      </c>
      <c r="CY34" s="209">
        <v>0</v>
      </c>
      <c r="CZ34" s="209">
        <v>65</v>
      </c>
      <c r="DA34" s="209">
        <v>150</v>
      </c>
      <c r="DB34" s="209">
        <v>38</v>
      </c>
      <c r="DC34" s="209">
        <v>97</v>
      </c>
      <c r="DD34" s="209">
        <v>190</v>
      </c>
      <c r="DE34" s="209">
        <v>123</v>
      </c>
      <c r="DF34" s="209">
        <v>60</v>
      </c>
      <c r="DG34" s="209">
        <v>62</v>
      </c>
      <c r="DH34" s="209">
        <v>79</v>
      </c>
      <c r="DI34" s="209">
        <v>0</v>
      </c>
      <c r="DJ34" s="209">
        <v>0</v>
      </c>
      <c r="DK34" s="209">
        <v>32</v>
      </c>
      <c r="DL34" s="209">
        <v>0</v>
      </c>
      <c r="DM34" s="209">
        <v>0</v>
      </c>
      <c r="DN34" s="209">
        <v>67</v>
      </c>
      <c r="DO34" s="209">
        <v>20</v>
      </c>
      <c r="DP34" s="209">
        <v>0</v>
      </c>
      <c r="DQ34" s="209">
        <v>0</v>
      </c>
      <c r="DR34" s="209">
        <v>0</v>
      </c>
    </row>
    <row r="35" spans="1:122" s="9" customFormat="1"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</row>
    <row r="36" spans="1:122" s="9" customFormat="1">
      <c r="A36" s="9" t="s">
        <v>395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</row>
    <row r="37" spans="1:122" s="9" customFormat="1">
      <c r="A37" s="9" t="s">
        <v>396</v>
      </c>
      <c r="B37" s="9" t="s">
        <v>397</v>
      </c>
      <c r="C37" s="209">
        <v>41566961.189999998</v>
      </c>
      <c r="D37" s="209">
        <v>32294715.190000001</v>
      </c>
      <c r="E37" s="209">
        <v>47094707.299999997</v>
      </c>
      <c r="F37" s="209">
        <v>33034837.98</v>
      </c>
      <c r="G37" s="209">
        <v>45005544.390000001</v>
      </c>
      <c r="H37" s="209">
        <v>38749302.289999999</v>
      </c>
      <c r="I37" s="209">
        <v>42554523.490000002</v>
      </c>
      <c r="J37" s="209">
        <v>40128336.200000003</v>
      </c>
      <c r="K37" s="209">
        <v>36072784.890000001</v>
      </c>
      <c r="L37" s="209">
        <v>39760184.969999999</v>
      </c>
      <c r="M37" s="209">
        <v>36836366.799999997</v>
      </c>
      <c r="N37" s="209">
        <v>44696158.289999999</v>
      </c>
      <c r="O37" s="209">
        <v>33760497.759999998</v>
      </c>
      <c r="P37" s="209">
        <v>46896486.200000003</v>
      </c>
      <c r="Q37" s="209">
        <v>36291852.189999998</v>
      </c>
      <c r="R37" s="209">
        <v>45265317.990000002</v>
      </c>
      <c r="S37" s="209">
        <v>42217404.07</v>
      </c>
      <c r="T37" s="209">
        <v>38193430.990000002</v>
      </c>
      <c r="U37" s="209">
        <v>44036020.269999996</v>
      </c>
      <c r="V37" s="209">
        <v>33513991.520000003</v>
      </c>
      <c r="W37" s="209">
        <v>35144990.969999999</v>
      </c>
      <c r="X37" s="209">
        <v>47191449.270000003</v>
      </c>
      <c r="Y37" s="209">
        <v>33424424.239999998</v>
      </c>
      <c r="Z37" s="209">
        <v>32696767.709999997</v>
      </c>
      <c r="AA37" s="209">
        <v>38305933.550000004</v>
      </c>
      <c r="AB37" s="209">
        <v>33406864.66</v>
      </c>
      <c r="AC37" s="209">
        <v>31556061.139999997</v>
      </c>
      <c r="AD37" s="209">
        <v>39842562.280000001</v>
      </c>
      <c r="AE37" s="209">
        <v>47626888.840000004</v>
      </c>
      <c r="AF37" s="209">
        <v>36044374.390000001</v>
      </c>
      <c r="AG37" s="209">
        <v>37994231.439999998</v>
      </c>
      <c r="AH37" s="209">
        <v>31372539.520000003</v>
      </c>
      <c r="AI37" s="209">
        <v>37512389.390000001</v>
      </c>
      <c r="AJ37" s="209">
        <v>35252527.840000004</v>
      </c>
      <c r="AK37" s="209">
        <v>42307076.919999994</v>
      </c>
      <c r="AL37" s="209">
        <v>29628926.970000003</v>
      </c>
      <c r="AM37" s="209">
        <v>45801604.950000003</v>
      </c>
      <c r="AN37" s="209">
        <v>26717625.380000003</v>
      </c>
      <c r="AO37" s="209">
        <v>38799053.989999995</v>
      </c>
      <c r="AP37" s="209">
        <v>34673689</v>
      </c>
      <c r="AQ37" s="209">
        <v>40371283</v>
      </c>
      <c r="AR37" s="209">
        <v>22976239</v>
      </c>
      <c r="AS37" s="209">
        <v>45226316</v>
      </c>
      <c r="AT37" s="209">
        <v>38657098</v>
      </c>
      <c r="AU37" s="209">
        <v>42639792</v>
      </c>
      <c r="AV37" s="209">
        <v>34338995.07</v>
      </c>
      <c r="AW37" s="209">
        <v>39018268</v>
      </c>
      <c r="AX37" s="209">
        <v>36329905</v>
      </c>
      <c r="AY37" s="209">
        <v>34348063</v>
      </c>
      <c r="AZ37" s="209">
        <v>33224709</v>
      </c>
      <c r="BA37" s="209">
        <v>32727769</v>
      </c>
      <c r="BB37" s="209">
        <v>32563070</v>
      </c>
      <c r="BC37" s="209">
        <v>19368698</v>
      </c>
      <c r="BD37" s="209">
        <v>39658609</v>
      </c>
      <c r="BE37" s="209">
        <v>38928912.490000002</v>
      </c>
      <c r="BF37" s="209">
        <v>45490105</v>
      </c>
      <c r="BG37" s="209">
        <v>30315836</v>
      </c>
      <c r="BH37" s="209">
        <v>37178506</v>
      </c>
      <c r="BI37" s="209">
        <v>35999874</v>
      </c>
      <c r="BJ37" s="209">
        <v>34862003</v>
      </c>
      <c r="BK37" s="209">
        <v>38271731.840000004</v>
      </c>
      <c r="BL37" s="209">
        <v>42734171</v>
      </c>
      <c r="BM37" s="209">
        <v>49805565.939999998</v>
      </c>
      <c r="BN37" s="209">
        <v>35025880</v>
      </c>
      <c r="BO37" s="209">
        <v>30379979.41</v>
      </c>
      <c r="BP37" s="209">
        <v>43565165.780000001</v>
      </c>
      <c r="BQ37" s="209">
        <v>38152464.719999999</v>
      </c>
      <c r="BR37" s="209">
        <v>38901358.049999997</v>
      </c>
      <c r="BS37" s="209">
        <v>37101301</v>
      </c>
      <c r="BT37" s="209">
        <v>37718264</v>
      </c>
      <c r="BU37" s="209">
        <v>35953176.07</v>
      </c>
      <c r="BV37" s="209">
        <v>38052958.090000004</v>
      </c>
      <c r="BW37" s="209">
        <v>36143276.090000004</v>
      </c>
      <c r="BX37" s="209">
        <v>36031286.079999998</v>
      </c>
      <c r="BY37" s="209">
        <v>38037289.060000002</v>
      </c>
      <c r="BZ37" s="209">
        <v>36650013.030000001</v>
      </c>
      <c r="CA37" s="209">
        <v>38218714.020000003</v>
      </c>
      <c r="CB37" s="209">
        <v>36521317.089999996</v>
      </c>
      <c r="CC37" s="209">
        <v>38112579.060000002</v>
      </c>
      <c r="CD37" s="209">
        <v>39218219.060000002</v>
      </c>
      <c r="CE37" s="209">
        <v>33121808.319999997</v>
      </c>
      <c r="CF37" s="209">
        <v>38258077.079999998</v>
      </c>
      <c r="CG37" s="209">
        <v>36272647.019999996</v>
      </c>
      <c r="CH37" s="209">
        <v>37683071.07</v>
      </c>
      <c r="CI37" s="209">
        <v>37533779.079999998</v>
      </c>
      <c r="CJ37" s="209">
        <v>34367214.07</v>
      </c>
      <c r="CK37" s="209">
        <v>38004094.109999999</v>
      </c>
      <c r="CL37" s="209">
        <v>37824150.810000002</v>
      </c>
      <c r="CM37" s="209">
        <v>36221365.269999996</v>
      </c>
      <c r="CN37" s="209">
        <v>36460564.350000001</v>
      </c>
      <c r="CO37" s="209">
        <v>38521224.469999999</v>
      </c>
      <c r="CP37" s="209">
        <v>39361846.719999999</v>
      </c>
      <c r="CQ37" s="209">
        <v>36728263.07</v>
      </c>
      <c r="CR37" s="209">
        <v>37983175.009999998</v>
      </c>
      <c r="CS37" s="209">
        <v>35882281.079999998</v>
      </c>
      <c r="CT37" s="209">
        <v>36690945.030000001</v>
      </c>
      <c r="CU37" s="209">
        <v>38615191.009999998</v>
      </c>
      <c r="CV37" s="209">
        <v>32238893.199999999</v>
      </c>
      <c r="CW37" s="209">
        <v>40353258.579999998</v>
      </c>
      <c r="CX37" s="209">
        <v>37467541.5</v>
      </c>
      <c r="CY37" s="209">
        <v>38725313.979999997</v>
      </c>
      <c r="CZ37" s="209">
        <v>33197136.990000002</v>
      </c>
      <c r="DA37" s="209">
        <v>38636668</v>
      </c>
      <c r="DB37" s="209">
        <v>39015864</v>
      </c>
      <c r="DC37" s="209">
        <v>37555599.239999995</v>
      </c>
      <c r="DD37" s="209">
        <v>38727651.299999997</v>
      </c>
      <c r="DE37" s="209">
        <v>36043044.200000003</v>
      </c>
      <c r="DF37" s="209">
        <v>38147540.909999996</v>
      </c>
      <c r="DG37" s="209">
        <v>36099123.420000002</v>
      </c>
      <c r="DH37" s="209">
        <v>35387364.460000001</v>
      </c>
      <c r="DI37" s="209">
        <v>38517516.339999996</v>
      </c>
      <c r="DJ37" s="209">
        <v>38027570.109999999</v>
      </c>
      <c r="DK37" s="209">
        <v>38792614.100000001</v>
      </c>
      <c r="DL37" s="209">
        <v>38089133.75</v>
      </c>
      <c r="DM37" s="209">
        <v>39618957.230000004</v>
      </c>
      <c r="DN37" s="209">
        <v>40541496.219999999</v>
      </c>
      <c r="DO37" s="209">
        <v>38023750.379999995</v>
      </c>
      <c r="DP37" s="209">
        <v>39144563.349999994</v>
      </c>
      <c r="DQ37" s="209">
        <v>37145649.82</v>
      </c>
      <c r="DR37" s="209">
        <v>39689708.859999999</v>
      </c>
    </row>
    <row r="38" spans="1:122" s="9" customFormat="1">
      <c r="A38" s="9" t="s">
        <v>398</v>
      </c>
      <c r="B38" s="9" t="s">
        <v>397</v>
      </c>
      <c r="C38" s="209">
        <v>15229156</v>
      </c>
      <c r="D38" s="209">
        <v>8922536.0099999998</v>
      </c>
      <c r="E38" s="209">
        <v>13959374</v>
      </c>
      <c r="F38" s="209">
        <v>11177887</v>
      </c>
      <c r="G38" s="209">
        <v>18102687</v>
      </c>
      <c r="H38" s="209">
        <v>-7160269.5700000003</v>
      </c>
      <c r="I38" s="209">
        <v>12007541</v>
      </c>
      <c r="J38" s="209">
        <v>13448164</v>
      </c>
      <c r="K38" s="209">
        <v>17025554.009999998</v>
      </c>
      <c r="L38" s="209">
        <v>13189431.5</v>
      </c>
      <c r="M38" s="209">
        <v>3014311</v>
      </c>
      <c r="N38" s="209">
        <v>7438255.54</v>
      </c>
      <c r="O38" s="209">
        <v>9997201</v>
      </c>
      <c r="P38" s="209">
        <v>17065194</v>
      </c>
      <c r="Q38" s="209">
        <v>7703634</v>
      </c>
      <c r="R38" s="209">
        <v>14860081</v>
      </c>
      <c r="S38" s="209">
        <v>11788698</v>
      </c>
      <c r="T38" s="209">
        <v>104886661</v>
      </c>
      <c r="U38" s="209">
        <v>34916992</v>
      </c>
      <c r="V38" s="209">
        <v>7155564.5</v>
      </c>
      <c r="W38" s="209">
        <v>-8818363</v>
      </c>
      <c r="X38" s="209">
        <v>1351152.3</v>
      </c>
      <c r="Y38" s="209">
        <v>22467202</v>
      </c>
      <c r="Z38" s="209">
        <v>11597120.5</v>
      </c>
      <c r="AA38" s="209">
        <v>6687832</v>
      </c>
      <c r="AB38" s="209">
        <v>12969120</v>
      </c>
      <c r="AC38" s="209">
        <v>5689936.5</v>
      </c>
      <c r="AD38" s="209">
        <v>18115526</v>
      </c>
      <c r="AE38" s="209">
        <v>27366579.899999999</v>
      </c>
      <c r="AF38" s="209">
        <v>12424435.789999999</v>
      </c>
      <c r="AG38" s="209">
        <v>13830863.4</v>
      </c>
      <c r="AH38" s="209">
        <v>8464192</v>
      </c>
      <c r="AI38" s="209">
        <v>7955420.5</v>
      </c>
      <c r="AJ38" s="209">
        <v>13283697</v>
      </c>
      <c r="AK38" s="209">
        <v>20509247.5</v>
      </c>
      <c r="AL38" s="209">
        <v>4716264.5</v>
      </c>
      <c r="AM38" s="209">
        <v>20003772</v>
      </c>
      <c r="AN38" s="209">
        <v>12220636.5</v>
      </c>
      <c r="AO38" s="209">
        <v>16920329.5</v>
      </c>
      <c r="AP38" s="209">
        <v>8870883</v>
      </c>
      <c r="AQ38" s="209">
        <v>13159349</v>
      </c>
      <c r="AR38" s="209">
        <v>8864444</v>
      </c>
      <c r="AS38" s="209">
        <v>20635001</v>
      </c>
      <c r="AT38" s="209">
        <v>20479478</v>
      </c>
      <c r="AU38" s="209">
        <v>13520710</v>
      </c>
      <c r="AV38" s="209">
        <v>13823929.799999999</v>
      </c>
      <c r="AW38" s="209">
        <v>12994704</v>
      </c>
      <c r="AX38" s="209">
        <v>14669362</v>
      </c>
      <c r="AY38" s="209">
        <v>11903086</v>
      </c>
      <c r="AZ38" s="209">
        <v>12067553</v>
      </c>
      <c r="BA38" s="209">
        <v>9128794</v>
      </c>
      <c r="BB38" s="209">
        <v>10712835</v>
      </c>
      <c r="BC38" s="209">
        <v>3318073</v>
      </c>
      <c r="BD38" s="209">
        <v>12718366</v>
      </c>
      <c r="BE38" s="209">
        <v>10290111.5</v>
      </c>
      <c r="BF38" s="209">
        <v>15574595</v>
      </c>
      <c r="BG38" s="209">
        <v>12032437</v>
      </c>
      <c r="BH38" s="209">
        <v>7779410</v>
      </c>
      <c r="BI38" s="209">
        <v>12256085</v>
      </c>
      <c r="BJ38" s="209">
        <v>8713761</v>
      </c>
      <c r="BK38" s="209">
        <v>22245770.5</v>
      </c>
      <c r="BL38" s="209">
        <v>2863846</v>
      </c>
      <c r="BM38" s="209">
        <v>18087271.5</v>
      </c>
      <c r="BN38" s="209">
        <v>10742310</v>
      </c>
      <c r="BO38" s="209">
        <v>11511325.5</v>
      </c>
      <c r="BP38" s="209">
        <v>15189502</v>
      </c>
      <c r="BQ38" s="209">
        <v>9133317.5</v>
      </c>
      <c r="BR38" s="209">
        <v>10374480.5</v>
      </c>
      <c r="BS38" s="209">
        <v>6138609</v>
      </c>
      <c r="BT38" s="209">
        <v>12550914</v>
      </c>
      <c r="BU38" s="209">
        <v>5928657.5</v>
      </c>
      <c r="BV38" s="209">
        <v>12067252</v>
      </c>
      <c r="BW38" s="209">
        <v>22383597</v>
      </c>
      <c r="BX38" s="209">
        <v>11385239</v>
      </c>
      <c r="BY38" s="209">
        <v>19565321</v>
      </c>
      <c r="BZ38" s="209">
        <v>15729368</v>
      </c>
      <c r="CA38" s="209">
        <v>11188700.5</v>
      </c>
      <c r="CB38" s="209">
        <v>12491967.800000001</v>
      </c>
      <c r="CC38" s="209">
        <v>7691176.5</v>
      </c>
      <c r="CD38" s="209">
        <v>11875616.25</v>
      </c>
      <c r="CE38" s="209">
        <v>6428608.5</v>
      </c>
      <c r="CF38" s="209">
        <v>10181918.5</v>
      </c>
      <c r="CG38" s="209">
        <v>10520236.5</v>
      </c>
      <c r="CH38" s="209">
        <v>1054701.25</v>
      </c>
      <c r="CI38" s="209">
        <v>8162464</v>
      </c>
      <c r="CJ38" s="209">
        <v>10686815.5</v>
      </c>
      <c r="CK38" s="209">
        <v>3708649</v>
      </c>
      <c r="CL38" s="209">
        <v>7819892.5</v>
      </c>
      <c r="CM38" s="209">
        <v>9464484</v>
      </c>
      <c r="CN38" s="209">
        <v>12471408</v>
      </c>
      <c r="CO38" s="209">
        <v>17200829.25</v>
      </c>
      <c r="CP38" s="209">
        <v>9771070.5</v>
      </c>
      <c r="CQ38" s="209">
        <v>11005675.5</v>
      </c>
      <c r="CR38" s="209">
        <v>5056772</v>
      </c>
      <c r="CS38" s="209">
        <v>11012069</v>
      </c>
      <c r="CT38" s="209">
        <v>38801592.5</v>
      </c>
      <c r="CU38" s="209">
        <v>34979027.5</v>
      </c>
      <c r="CV38" s="209">
        <v>10997298</v>
      </c>
      <c r="CW38" s="209">
        <v>12990561.25</v>
      </c>
      <c r="CX38" s="209">
        <v>12053686.74</v>
      </c>
      <c r="CY38" s="209">
        <v>14345199</v>
      </c>
      <c r="CZ38" s="209">
        <v>2863970.5</v>
      </c>
      <c r="DA38" s="209">
        <v>9280852</v>
      </c>
      <c r="DB38" s="209">
        <v>13610685.5</v>
      </c>
      <c r="DC38" s="209">
        <v>11879458.25</v>
      </c>
      <c r="DD38" s="209">
        <v>14175348.74</v>
      </c>
      <c r="DE38" s="209">
        <v>10024190.25</v>
      </c>
      <c r="DF38" s="209">
        <v>7214913.5</v>
      </c>
      <c r="DG38" s="209">
        <v>12961379</v>
      </c>
      <c r="DH38" s="209">
        <v>12754386</v>
      </c>
      <c r="DI38" s="209">
        <v>12470825.5</v>
      </c>
      <c r="DJ38" s="209">
        <v>12002566</v>
      </c>
      <c r="DK38" s="209">
        <v>12903283.75</v>
      </c>
      <c r="DL38" s="209">
        <v>13778241.5</v>
      </c>
      <c r="DM38" s="209">
        <v>14684212.5</v>
      </c>
      <c r="DN38" s="209">
        <v>167013518.5</v>
      </c>
      <c r="DO38" s="209">
        <v>13894004.5</v>
      </c>
      <c r="DP38" s="209">
        <v>15402199.199999999</v>
      </c>
      <c r="DQ38" s="209">
        <v>-138061632.01999998</v>
      </c>
      <c r="DR38" s="209">
        <v>15109896</v>
      </c>
    </row>
    <row r="39" spans="1:122" s="9" customFormat="1">
      <c r="A39" s="9" t="s">
        <v>399</v>
      </c>
      <c r="B39" s="9" t="s">
        <v>397</v>
      </c>
      <c r="C39" s="209">
        <v>4254730.5599999996</v>
      </c>
      <c r="D39" s="209">
        <v>4109397.39</v>
      </c>
      <c r="E39" s="209">
        <v>3669758.77</v>
      </c>
      <c r="F39" s="209">
        <v>3883972.08</v>
      </c>
      <c r="G39" s="209">
        <v>5737013.7400000002</v>
      </c>
      <c r="H39" s="209">
        <v>3656095.89</v>
      </c>
      <c r="I39" s="209">
        <v>5021111.6999999993</v>
      </c>
      <c r="J39" s="209">
        <v>3252963.8499999996</v>
      </c>
      <c r="K39" s="209">
        <v>4694533.6099999994</v>
      </c>
      <c r="L39" s="209">
        <v>3621516.74</v>
      </c>
      <c r="M39" s="209">
        <v>4085452.22</v>
      </c>
      <c r="N39" s="209">
        <v>4840042.7300000004</v>
      </c>
      <c r="O39" s="209">
        <v>4002229.9300000006</v>
      </c>
      <c r="P39" s="209">
        <v>5539157.96</v>
      </c>
      <c r="Q39" s="209">
        <v>3815728.48</v>
      </c>
      <c r="R39" s="209">
        <v>4255622.4400000004</v>
      </c>
      <c r="S39" s="209">
        <v>4722500.4700000007</v>
      </c>
      <c r="T39" s="209">
        <v>3660630.64</v>
      </c>
      <c r="U39" s="209">
        <v>3716640.21</v>
      </c>
      <c r="V39" s="209">
        <v>3966267.6300000004</v>
      </c>
      <c r="W39" s="209">
        <v>3781087.73</v>
      </c>
      <c r="X39" s="209">
        <v>6281647.1500000004</v>
      </c>
      <c r="Y39" s="209">
        <v>4244356.07</v>
      </c>
      <c r="Z39" s="209">
        <v>4706489.66</v>
      </c>
      <c r="AA39" s="209">
        <v>3915414.7</v>
      </c>
      <c r="AB39" s="209">
        <v>3779370.28</v>
      </c>
      <c r="AC39" s="209">
        <v>2313147.17</v>
      </c>
      <c r="AD39" s="209">
        <v>4211429.34</v>
      </c>
      <c r="AE39" s="209">
        <v>6607436.0199999996</v>
      </c>
      <c r="AF39" s="209">
        <v>5895875.9699999997</v>
      </c>
      <c r="AG39" s="209">
        <v>3498313.6899999995</v>
      </c>
      <c r="AH39" s="209">
        <v>3397613.25</v>
      </c>
      <c r="AI39" s="209">
        <v>4533916.68</v>
      </c>
      <c r="AJ39" s="209">
        <v>4318849.01</v>
      </c>
      <c r="AK39" s="209">
        <v>10434952.77</v>
      </c>
      <c r="AL39" s="209">
        <v>3487850.64</v>
      </c>
      <c r="AM39" s="209">
        <v>4375110.0999999996</v>
      </c>
      <c r="AN39" s="209">
        <v>3165422.15</v>
      </c>
      <c r="AO39" s="209">
        <v>-3078129.5399999996</v>
      </c>
      <c r="AP39" s="209">
        <v>10847538</v>
      </c>
      <c r="AQ39" s="209">
        <v>4857856</v>
      </c>
      <c r="AR39" s="209">
        <v>2017069</v>
      </c>
      <c r="AS39" s="209">
        <v>3557952</v>
      </c>
      <c r="AT39" s="209">
        <v>2367971</v>
      </c>
      <c r="AU39" s="209">
        <v>5496133</v>
      </c>
      <c r="AV39" s="209">
        <v>3925114.5100000002</v>
      </c>
      <c r="AW39" s="209">
        <v>3228989</v>
      </c>
      <c r="AX39" s="209">
        <v>6085942</v>
      </c>
      <c r="AY39" s="209">
        <v>2207400</v>
      </c>
      <c r="AZ39" s="209">
        <v>4144461</v>
      </c>
      <c r="BA39" s="209">
        <v>8531978</v>
      </c>
      <c r="BB39" s="209">
        <v>3676358</v>
      </c>
      <c r="BC39" s="209">
        <v>2366588</v>
      </c>
      <c r="BD39" s="209">
        <v>4840178</v>
      </c>
      <c r="BE39" s="209">
        <v>4097522.01</v>
      </c>
      <c r="BF39" s="209">
        <v>4953561</v>
      </c>
      <c r="BG39" s="209">
        <v>2895608</v>
      </c>
      <c r="BH39" s="209">
        <v>3618254</v>
      </c>
      <c r="BI39" s="209">
        <v>4094059</v>
      </c>
      <c r="BJ39" s="209">
        <v>4761191</v>
      </c>
      <c r="BK39" s="209">
        <v>3985487.7</v>
      </c>
      <c r="BL39" s="209">
        <v>4798934</v>
      </c>
      <c r="BM39" s="209">
        <v>6031658.9400000004</v>
      </c>
      <c r="BN39" s="209">
        <v>3630152</v>
      </c>
      <c r="BO39" s="209">
        <v>3539338.02</v>
      </c>
      <c r="BP39" s="209">
        <v>3479540.34</v>
      </c>
      <c r="BQ39" s="209">
        <v>3526852.14</v>
      </c>
      <c r="BR39" s="209">
        <v>3787741.96</v>
      </c>
      <c r="BS39" s="209">
        <v>3909313</v>
      </c>
      <c r="BT39" s="209">
        <v>2544747</v>
      </c>
      <c r="BU39" s="209">
        <v>3241912.5500000003</v>
      </c>
      <c r="BV39" s="209">
        <v>3316252.82</v>
      </c>
      <c r="BW39" s="209">
        <v>3699462.42</v>
      </c>
      <c r="BX39" s="209">
        <v>3311177.7800000003</v>
      </c>
      <c r="BY39" s="209">
        <v>3733992.96</v>
      </c>
      <c r="BZ39" s="209">
        <v>3354999.65</v>
      </c>
      <c r="CA39" s="209">
        <v>3772802.06</v>
      </c>
      <c r="CB39" s="209">
        <v>3632724.04</v>
      </c>
      <c r="CC39" s="209">
        <v>3802512.3</v>
      </c>
      <c r="CD39" s="209">
        <v>4153365.79</v>
      </c>
      <c r="CE39" s="209">
        <v>6896198.7999999998</v>
      </c>
      <c r="CF39" s="209">
        <v>4138400.93</v>
      </c>
      <c r="CG39" s="209">
        <v>3762226.6</v>
      </c>
      <c r="CH39" s="209">
        <v>3639166.44</v>
      </c>
      <c r="CI39" s="209">
        <v>4253537.13</v>
      </c>
      <c r="CJ39" s="209">
        <v>4020973.34</v>
      </c>
      <c r="CK39" s="209">
        <v>4337853.9000000004</v>
      </c>
      <c r="CL39" s="209">
        <v>4478669.6000000006</v>
      </c>
      <c r="CM39" s="209">
        <v>4497171.6399999997</v>
      </c>
      <c r="CN39" s="209">
        <v>4450003.92</v>
      </c>
      <c r="CO39" s="209">
        <v>4533994.51</v>
      </c>
      <c r="CP39" s="209">
        <v>3894669.84</v>
      </c>
      <c r="CQ39" s="209">
        <v>4335207.55</v>
      </c>
      <c r="CR39" s="209">
        <v>4669990.99</v>
      </c>
      <c r="CS39" s="209">
        <v>4123862.94</v>
      </c>
      <c r="CT39" s="209">
        <v>3170717.87</v>
      </c>
      <c r="CU39" s="209">
        <v>4377285.5599999996</v>
      </c>
      <c r="CV39" s="209">
        <v>540826.78</v>
      </c>
      <c r="CW39" s="209">
        <v>4517156.54</v>
      </c>
      <c r="CX39" s="209">
        <v>3964085.6</v>
      </c>
      <c r="CY39" s="209">
        <v>3964557.39</v>
      </c>
      <c r="CZ39" s="209">
        <v>3755823</v>
      </c>
      <c r="DA39" s="209">
        <v>3877784.97</v>
      </c>
      <c r="DB39" s="209">
        <v>3977471.18</v>
      </c>
      <c r="DC39" s="209">
        <v>3980827.2499999995</v>
      </c>
      <c r="DD39" s="209">
        <v>4166901.16</v>
      </c>
      <c r="DE39" s="209">
        <v>5625679.7999999998</v>
      </c>
      <c r="DF39" s="209">
        <v>1836740.3900000001</v>
      </c>
      <c r="DG39" s="209">
        <v>3875085.84</v>
      </c>
      <c r="DH39" s="209">
        <v>3661389.04</v>
      </c>
      <c r="DI39" s="209">
        <v>4034173.0599999996</v>
      </c>
      <c r="DJ39" s="209">
        <v>3971484.0999999996</v>
      </c>
      <c r="DK39" s="209">
        <v>3835779.0599999996</v>
      </c>
      <c r="DL39" s="209">
        <v>4070679.0199999996</v>
      </c>
      <c r="DM39" s="209">
        <v>3959490</v>
      </c>
      <c r="DN39" s="209">
        <v>4029557.2199999997</v>
      </c>
      <c r="DO39" s="209">
        <v>3913865.9299999997</v>
      </c>
      <c r="DP39" s="209">
        <v>4165141.06</v>
      </c>
      <c r="DQ39" s="209">
        <v>3894188.05</v>
      </c>
      <c r="DR39" s="209">
        <v>4052972.13</v>
      </c>
    </row>
    <row r="40" spans="1:122" s="9" customFormat="1">
      <c r="A40" s="9" t="s">
        <v>400</v>
      </c>
      <c r="B40" s="9" t="s">
        <v>397</v>
      </c>
      <c r="C40" s="209">
        <v>0</v>
      </c>
      <c r="D40" s="209">
        <v>72</v>
      </c>
      <c r="E40" s="209">
        <v>48</v>
      </c>
      <c r="F40" s="209">
        <v>68</v>
      </c>
      <c r="G40" s="209">
        <v>80</v>
      </c>
      <c r="H40" s="209">
        <v>80</v>
      </c>
      <c r="I40" s="209">
        <v>72</v>
      </c>
      <c r="J40" s="209">
        <v>0</v>
      </c>
      <c r="K40" s="209">
        <v>74</v>
      </c>
      <c r="L40" s="209">
        <v>40</v>
      </c>
      <c r="M40" s="209">
        <v>112</v>
      </c>
      <c r="N40" s="209">
        <v>64</v>
      </c>
      <c r="O40" s="209">
        <v>0</v>
      </c>
      <c r="P40" s="209">
        <v>56</v>
      </c>
      <c r="Q40" s="209">
        <v>72</v>
      </c>
      <c r="R40" s="209">
        <v>80</v>
      </c>
      <c r="S40" s="209">
        <v>0</v>
      </c>
      <c r="T40" s="209">
        <v>0</v>
      </c>
      <c r="U40" s="209">
        <v>0</v>
      </c>
      <c r="V40" s="209">
        <v>0</v>
      </c>
      <c r="W40" s="209">
        <v>0</v>
      </c>
      <c r="X40" s="209">
        <v>0</v>
      </c>
      <c r="Y40" s="209">
        <v>0</v>
      </c>
      <c r="Z40" s="209">
        <v>0</v>
      </c>
      <c r="AA40" s="209">
        <v>0</v>
      </c>
      <c r="AB40" s="209">
        <v>0</v>
      </c>
      <c r="AC40" s="209">
        <v>0</v>
      </c>
      <c r="AD40" s="209">
        <v>0</v>
      </c>
      <c r="AE40" s="209">
        <v>0</v>
      </c>
      <c r="AF40" s="209">
        <v>0</v>
      </c>
      <c r="AG40" s="209">
        <v>0</v>
      </c>
      <c r="AH40" s="209">
        <v>0</v>
      </c>
      <c r="AI40" s="209">
        <v>0</v>
      </c>
      <c r="AJ40" s="209">
        <v>0</v>
      </c>
      <c r="AK40" s="209">
        <v>0</v>
      </c>
      <c r="AL40" s="209">
        <v>0</v>
      </c>
      <c r="AM40" s="209">
        <v>0</v>
      </c>
      <c r="AN40" s="209">
        <v>0</v>
      </c>
      <c r="AO40" s="209">
        <v>0</v>
      </c>
      <c r="AP40" s="209">
        <v>0</v>
      </c>
      <c r="AQ40" s="209">
        <v>0</v>
      </c>
      <c r="AR40" s="209">
        <v>0</v>
      </c>
      <c r="AS40" s="209"/>
      <c r="AT40" s="209">
        <v>0</v>
      </c>
      <c r="AU40" s="209">
        <v>0</v>
      </c>
      <c r="AV40" s="209">
        <v>0</v>
      </c>
      <c r="AW40" s="209">
        <v>0</v>
      </c>
      <c r="AX40" s="209">
        <v>0</v>
      </c>
      <c r="AY40" s="209">
        <v>0</v>
      </c>
      <c r="AZ40" s="209">
        <v>0</v>
      </c>
      <c r="BA40" s="209">
        <v>0</v>
      </c>
      <c r="BB40" s="209">
        <v>0</v>
      </c>
      <c r="BC40" s="209">
        <v>0</v>
      </c>
      <c r="BD40" s="209">
        <v>0</v>
      </c>
      <c r="BE40" s="209">
        <v>0</v>
      </c>
      <c r="BF40" s="209">
        <v>0</v>
      </c>
      <c r="BG40" s="209">
        <v>0</v>
      </c>
      <c r="BH40" s="209">
        <v>0</v>
      </c>
      <c r="BI40" s="209">
        <v>0</v>
      </c>
      <c r="BJ40" s="209">
        <v>0</v>
      </c>
      <c r="BK40" s="209">
        <v>0</v>
      </c>
      <c r="BL40" s="209">
        <v>0</v>
      </c>
      <c r="BM40" s="209">
        <v>0</v>
      </c>
      <c r="BN40" s="209">
        <v>0</v>
      </c>
      <c r="BO40" s="209">
        <v>0</v>
      </c>
      <c r="BP40" s="209">
        <v>0</v>
      </c>
      <c r="BQ40" s="209">
        <v>0</v>
      </c>
      <c r="BR40" s="209">
        <v>0</v>
      </c>
      <c r="BS40" s="209">
        <v>0</v>
      </c>
      <c r="BT40" s="209">
        <v>0</v>
      </c>
      <c r="BU40" s="209">
        <v>0</v>
      </c>
      <c r="BV40" s="209">
        <v>0</v>
      </c>
      <c r="BW40" s="209">
        <v>0</v>
      </c>
      <c r="BX40" s="209">
        <v>0</v>
      </c>
      <c r="BY40" s="209">
        <v>0</v>
      </c>
      <c r="BZ40" s="209">
        <v>0</v>
      </c>
      <c r="CA40" s="209">
        <v>0</v>
      </c>
      <c r="CB40" s="209">
        <v>0</v>
      </c>
      <c r="CC40" s="209">
        <v>0</v>
      </c>
      <c r="CD40" s="209">
        <v>0</v>
      </c>
      <c r="CE40" s="209">
        <v>0</v>
      </c>
      <c r="CF40" s="209">
        <v>0</v>
      </c>
      <c r="CG40" s="209">
        <v>0</v>
      </c>
      <c r="CH40" s="209">
        <v>0</v>
      </c>
      <c r="CI40" s="209">
        <v>0</v>
      </c>
      <c r="CJ40" s="209">
        <v>0</v>
      </c>
      <c r="CK40" s="209">
        <v>0</v>
      </c>
      <c r="CL40" s="209">
        <v>0</v>
      </c>
      <c r="CM40" s="209">
        <v>0</v>
      </c>
      <c r="CN40" s="209">
        <v>0</v>
      </c>
      <c r="CO40" s="209">
        <v>0</v>
      </c>
      <c r="CP40" s="209">
        <v>0</v>
      </c>
      <c r="CQ40" s="209">
        <v>0</v>
      </c>
      <c r="CR40" s="209">
        <v>0</v>
      </c>
      <c r="CS40" s="209">
        <v>0</v>
      </c>
      <c r="CT40" s="209">
        <v>0</v>
      </c>
      <c r="CU40" s="209">
        <v>0</v>
      </c>
      <c r="CV40" s="209">
        <v>0</v>
      </c>
      <c r="CW40" s="209">
        <v>0</v>
      </c>
      <c r="CX40" s="209">
        <v>0</v>
      </c>
      <c r="CY40" s="209">
        <v>0</v>
      </c>
      <c r="CZ40" s="209">
        <v>0</v>
      </c>
      <c r="DA40" s="209">
        <v>0</v>
      </c>
      <c r="DB40" s="209">
        <v>0</v>
      </c>
      <c r="DC40" s="209">
        <v>0</v>
      </c>
      <c r="DD40" s="209">
        <v>0</v>
      </c>
      <c r="DE40" s="209">
        <v>0</v>
      </c>
      <c r="DF40" s="209">
        <v>0</v>
      </c>
      <c r="DG40" s="209">
        <v>0</v>
      </c>
      <c r="DH40" s="209">
        <v>0</v>
      </c>
      <c r="DI40" s="209">
        <v>0</v>
      </c>
      <c r="DJ40" s="209">
        <v>0</v>
      </c>
      <c r="DK40" s="209">
        <v>0</v>
      </c>
      <c r="DL40" s="209">
        <v>0</v>
      </c>
      <c r="DM40" s="209">
        <v>0</v>
      </c>
      <c r="DN40" s="209">
        <v>0</v>
      </c>
      <c r="DO40" s="209">
        <v>0</v>
      </c>
      <c r="DP40" s="209">
        <v>0</v>
      </c>
      <c r="DQ40" s="209">
        <v>0</v>
      </c>
      <c r="DR40" s="209">
        <v>0</v>
      </c>
    </row>
    <row r="41" spans="1:122" s="9" customFormat="1">
      <c r="A41" s="9" t="s">
        <v>401</v>
      </c>
      <c r="B41" s="9" t="s">
        <v>397</v>
      </c>
      <c r="C41" s="209">
        <v>15786.289999999999</v>
      </c>
      <c r="D41" s="209">
        <v>11844.24</v>
      </c>
      <c r="E41" s="209">
        <v>11433.18</v>
      </c>
      <c r="F41" s="209">
        <v>17137.36</v>
      </c>
      <c r="G41" s="209">
        <v>11192.04</v>
      </c>
      <c r="H41" s="209">
        <v>13170.220000000001</v>
      </c>
      <c r="I41" s="209">
        <v>9728.8799999999974</v>
      </c>
      <c r="J41" s="209">
        <v>10768.13</v>
      </c>
      <c r="K41" s="209">
        <v>10290.719999999999</v>
      </c>
      <c r="L41" s="209">
        <v>6965.0800000000008</v>
      </c>
      <c r="M41" s="209">
        <v>12639.560000000001</v>
      </c>
      <c r="N41" s="209">
        <v>7607.670000000001</v>
      </c>
      <c r="O41" s="209">
        <v>10132.69</v>
      </c>
      <c r="P41" s="209">
        <v>1007.1299999999999</v>
      </c>
      <c r="Q41" s="209">
        <v>16766.75</v>
      </c>
      <c r="R41" s="209">
        <v>8854.369999999999</v>
      </c>
      <c r="S41" s="209">
        <v>10453.66</v>
      </c>
      <c r="T41" s="209">
        <v>0</v>
      </c>
      <c r="U41" s="209">
        <v>18528.2</v>
      </c>
      <c r="V41" s="209">
        <v>8277.7100000000009</v>
      </c>
      <c r="W41" s="209">
        <v>9899.17</v>
      </c>
      <c r="X41" s="209">
        <v>8279.7099999999991</v>
      </c>
      <c r="Y41" s="209">
        <v>8007.1500000000005</v>
      </c>
      <c r="Z41" s="209">
        <v>9408.14</v>
      </c>
      <c r="AA41" s="209">
        <v>8219.130000000001</v>
      </c>
      <c r="AB41" s="209">
        <v>7902.6399999999994</v>
      </c>
      <c r="AC41" s="209">
        <v>8514.15</v>
      </c>
      <c r="AD41" s="209">
        <v>8065.48</v>
      </c>
      <c r="AE41" s="209">
        <v>6496.7500000000009</v>
      </c>
      <c r="AF41" s="209">
        <v>7897.7300000000005</v>
      </c>
      <c r="AG41" s="209">
        <v>8478.27</v>
      </c>
      <c r="AH41" s="209">
        <v>8927.23</v>
      </c>
      <c r="AI41" s="209">
        <v>6715.74</v>
      </c>
      <c r="AJ41" s="209">
        <v>7871.7699999999995</v>
      </c>
      <c r="AK41" s="209">
        <v>7282.09</v>
      </c>
      <c r="AL41" s="209">
        <v>455.57</v>
      </c>
      <c r="AM41" s="209">
        <v>5998.46</v>
      </c>
      <c r="AN41" s="209">
        <v>6058.58</v>
      </c>
      <c r="AO41" s="209">
        <v>12654.86</v>
      </c>
      <c r="AP41" s="209">
        <v>150</v>
      </c>
      <c r="AQ41" s="209">
        <v>10999</v>
      </c>
      <c r="AR41" s="209">
        <v>7168</v>
      </c>
      <c r="AS41" s="209">
        <v>4583</v>
      </c>
      <c r="AT41" s="209">
        <v>5178</v>
      </c>
      <c r="AU41" s="209">
        <v>0</v>
      </c>
      <c r="AV41" s="209">
        <v>12309.88</v>
      </c>
      <c r="AW41" s="209">
        <v>39</v>
      </c>
      <c r="AX41" s="209">
        <v>9445</v>
      </c>
      <c r="AY41" s="209">
        <v>293</v>
      </c>
      <c r="AZ41" s="209">
        <v>9889</v>
      </c>
      <c r="BA41" s="209">
        <v>5375</v>
      </c>
      <c r="BB41" s="209">
        <v>736</v>
      </c>
      <c r="BC41" s="209">
        <v>10046</v>
      </c>
      <c r="BD41" s="209">
        <v>4757</v>
      </c>
      <c r="BE41" s="209">
        <v>5690.03</v>
      </c>
      <c r="BF41" s="209">
        <v>4306</v>
      </c>
      <c r="BG41" s="209">
        <v>3870</v>
      </c>
      <c r="BH41" s="209">
        <v>4245</v>
      </c>
      <c r="BI41" s="209">
        <v>3789</v>
      </c>
      <c r="BJ41" s="209">
        <v>0</v>
      </c>
      <c r="BK41" s="209">
        <v>3904.27</v>
      </c>
      <c r="BL41" s="209">
        <v>8972</v>
      </c>
      <c r="BM41" s="209">
        <v>3507.97</v>
      </c>
      <c r="BN41" s="209">
        <v>6036</v>
      </c>
      <c r="BO41" s="209">
        <v>3861.04</v>
      </c>
      <c r="BP41" s="209">
        <v>3143.94</v>
      </c>
      <c r="BQ41" s="209">
        <v>3769.31</v>
      </c>
      <c r="BR41" s="209">
        <v>3906.23</v>
      </c>
      <c r="BS41" s="209">
        <v>4206</v>
      </c>
      <c r="BT41" s="209">
        <v>3892</v>
      </c>
      <c r="BU41" s="209">
        <v>4547.3600000000006</v>
      </c>
      <c r="BV41" s="209">
        <v>3657.08</v>
      </c>
      <c r="BW41" s="209">
        <v>4700.05</v>
      </c>
      <c r="BX41" s="209">
        <v>1875.27</v>
      </c>
      <c r="BY41" s="209">
        <v>3828.6000000000004</v>
      </c>
      <c r="BZ41" s="209">
        <v>4391.5300000000007</v>
      </c>
      <c r="CA41" s="209">
        <v>2374.81</v>
      </c>
      <c r="CB41" s="209">
        <v>4262.3</v>
      </c>
      <c r="CC41" s="209">
        <v>2746.26</v>
      </c>
      <c r="CD41" s="209">
        <v>2692.6200000000003</v>
      </c>
      <c r="CE41" s="209">
        <v>3452.68</v>
      </c>
      <c r="CF41" s="209">
        <v>1512.05</v>
      </c>
      <c r="CG41" s="209">
        <v>0</v>
      </c>
      <c r="CH41" s="209">
        <v>2397.0700000000002</v>
      </c>
      <c r="CI41" s="209">
        <v>796.06999999999994</v>
      </c>
      <c r="CJ41" s="209">
        <v>3648.76</v>
      </c>
      <c r="CK41" s="209">
        <v>1358.48</v>
      </c>
      <c r="CL41" s="209">
        <v>2462.4299999999998</v>
      </c>
      <c r="CM41" s="209">
        <v>785.16000000000008</v>
      </c>
      <c r="CN41" s="209">
        <v>3216.89</v>
      </c>
      <c r="CO41" s="209">
        <v>1221.26</v>
      </c>
      <c r="CP41" s="209">
        <v>1460.54</v>
      </c>
      <c r="CQ41" s="209">
        <v>2594.3199999999997</v>
      </c>
      <c r="CR41" s="209">
        <v>1406.86</v>
      </c>
      <c r="CS41" s="209">
        <v>1322.1</v>
      </c>
      <c r="CT41" s="209">
        <v>669.15</v>
      </c>
      <c r="CU41" s="209">
        <v>5080.8599999999997</v>
      </c>
      <c r="CV41" s="209">
        <v>692.8</v>
      </c>
      <c r="CW41" s="209">
        <v>2242.83</v>
      </c>
      <c r="CX41" s="209">
        <v>2032.8000000000002</v>
      </c>
      <c r="CY41" s="209">
        <v>2479.84</v>
      </c>
      <c r="CZ41" s="209">
        <v>1496.89</v>
      </c>
      <c r="DA41" s="209">
        <v>1920.94</v>
      </c>
      <c r="DB41" s="209">
        <v>1988.78</v>
      </c>
      <c r="DC41" s="209">
        <v>1052.3599999999999</v>
      </c>
      <c r="DD41" s="209">
        <v>704.53</v>
      </c>
      <c r="DE41" s="209">
        <v>1306.04</v>
      </c>
      <c r="DF41" s="209">
        <v>101.6</v>
      </c>
      <c r="DG41" s="209">
        <v>1633.02</v>
      </c>
      <c r="DH41" s="209">
        <v>1974.39</v>
      </c>
      <c r="DI41" s="209">
        <v>1607.48</v>
      </c>
      <c r="DJ41" s="209">
        <v>1887.75</v>
      </c>
      <c r="DK41" s="209">
        <v>1171.29</v>
      </c>
      <c r="DL41" s="209">
        <v>1669.62</v>
      </c>
      <c r="DM41" s="209">
        <v>548.54</v>
      </c>
      <c r="DN41" s="209">
        <v>1781</v>
      </c>
      <c r="DO41" s="209">
        <v>658.28</v>
      </c>
      <c r="DP41" s="209">
        <v>1314.47</v>
      </c>
      <c r="DQ41" s="209">
        <v>1853.69</v>
      </c>
      <c r="DR41" s="209">
        <v>1467.54</v>
      </c>
    </row>
    <row r="42" spans="1:122" s="9" customFormat="1">
      <c r="A42" s="9" t="s">
        <v>402</v>
      </c>
      <c r="B42" s="9" t="s">
        <v>397</v>
      </c>
      <c r="C42" s="209">
        <v>3467.2</v>
      </c>
      <c r="D42" s="209">
        <v>1304.68</v>
      </c>
      <c r="E42" s="209">
        <v>114.37</v>
      </c>
      <c r="F42" s="209">
        <v>1302.6199999999999</v>
      </c>
      <c r="G42" s="209">
        <v>1750.89</v>
      </c>
      <c r="H42" s="209">
        <v>1967.82</v>
      </c>
      <c r="I42" s="209">
        <v>4138.03</v>
      </c>
      <c r="J42" s="209">
        <v>2208.1799999999998</v>
      </c>
      <c r="K42" s="209">
        <v>0</v>
      </c>
      <c r="L42" s="209">
        <v>0</v>
      </c>
      <c r="M42" s="209">
        <v>6968.74</v>
      </c>
      <c r="N42" s="209">
        <v>1821.14</v>
      </c>
      <c r="O42" s="209">
        <v>0</v>
      </c>
      <c r="P42" s="209">
        <v>3288.49</v>
      </c>
      <c r="Q42" s="209">
        <v>17087.11</v>
      </c>
      <c r="R42" s="209">
        <v>3080.86</v>
      </c>
      <c r="S42" s="209">
        <v>4043.08</v>
      </c>
      <c r="T42" s="209">
        <v>48446.71</v>
      </c>
      <c r="U42" s="209">
        <v>29472.57</v>
      </c>
      <c r="V42" s="209">
        <v>40502.61</v>
      </c>
      <c r="W42" s="209">
        <v>43995.95</v>
      </c>
      <c r="X42" s="209">
        <v>40080.28</v>
      </c>
      <c r="Y42" s="209">
        <v>29964.730000000003</v>
      </c>
      <c r="Z42" s="209">
        <v>27970.46</v>
      </c>
      <c r="AA42" s="209">
        <v>40252.9</v>
      </c>
      <c r="AB42" s="209">
        <v>34413.519999999997</v>
      </c>
      <c r="AC42" s="209">
        <v>43328.38</v>
      </c>
      <c r="AD42" s="209">
        <v>4612.93</v>
      </c>
      <c r="AE42" s="209">
        <v>67512.459999999992</v>
      </c>
      <c r="AF42" s="209">
        <v>38549.32</v>
      </c>
      <c r="AG42" s="209">
        <v>41685.240000000005</v>
      </c>
      <c r="AH42" s="209">
        <v>48780.1</v>
      </c>
      <c r="AI42" s="209">
        <v>38083.020000000004</v>
      </c>
      <c r="AJ42" s="209">
        <v>33915.61</v>
      </c>
      <c r="AK42" s="209">
        <v>33122.46</v>
      </c>
      <c r="AL42" s="209">
        <v>27783.409999999996</v>
      </c>
      <c r="AM42" s="209">
        <v>33125.360000000001</v>
      </c>
      <c r="AN42" s="209">
        <v>29198.560000000001</v>
      </c>
      <c r="AO42" s="209">
        <v>23398.639999999999</v>
      </c>
      <c r="AP42" s="209">
        <v>26454</v>
      </c>
      <c r="AQ42" s="209">
        <v>39225</v>
      </c>
      <c r="AR42" s="209">
        <v>202041</v>
      </c>
      <c r="AS42" s="209">
        <v>731179</v>
      </c>
      <c r="AT42" s="209">
        <v>29411</v>
      </c>
      <c r="AU42" s="209">
        <v>26507</v>
      </c>
      <c r="AV42" s="209">
        <v>24884.720000000001</v>
      </c>
      <c r="AW42" s="209">
        <v>21396</v>
      </c>
      <c r="AX42" s="209">
        <v>27236</v>
      </c>
      <c r="AY42" s="209">
        <v>59432</v>
      </c>
      <c r="AZ42" s="209">
        <v>59172</v>
      </c>
      <c r="BA42" s="209">
        <v>65664</v>
      </c>
      <c r="BB42" s="209">
        <v>69419</v>
      </c>
      <c r="BC42" s="209">
        <v>73212</v>
      </c>
      <c r="BD42" s="209">
        <v>70004</v>
      </c>
      <c r="BE42" s="209">
        <v>78047.899999999994</v>
      </c>
      <c r="BF42" s="209">
        <v>75589</v>
      </c>
      <c r="BG42" s="209">
        <v>71574</v>
      </c>
      <c r="BH42" s="209">
        <v>74396</v>
      </c>
      <c r="BI42" s="209">
        <v>63360</v>
      </c>
      <c r="BJ42" s="209">
        <v>70288</v>
      </c>
      <c r="BK42" s="209">
        <v>77778.89</v>
      </c>
      <c r="BL42" s="209">
        <v>82381</v>
      </c>
      <c r="BM42" s="209">
        <v>92263.31</v>
      </c>
      <c r="BN42" s="209">
        <v>106328</v>
      </c>
      <c r="BO42" s="209">
        <v>101822.5</v>
      </c>
      <c r="BP42" s="209">
        <v>110230.79</v>
      </c>
      <c r="BQ42" s="209">
        <v>114276.04</v>
      </c>
      <c r="BR42" s="209">
        <v>99821.73</v>
      </c>
      <c r="BS42" s="209">
        <v>91632</v>
      </c>
      <c r="BT42" s="209">
        <v>84906</v>
      </c>
      <c r="BU42" s="209">
        <v>84906</v>
      </c>
      <c r="BV42" s="209">
        <v>84906</v>
      </c>
      <c r="BW42" s="209">
        <v>84906</v>
      </c>
      <c r="BX42" s="209">
        <v>84906</v>
      </c>
      <c r="BY42" s="209">
        <v>84906</v>
      </c>
      <c r="BZ42" s="209">
        <v>84906</v>
      </c>
      <c r="CA42" s="209">
        <v>84906</v>
      </c>
      <c r="CB42" s="209">
        <v>84906</v>
      </c>
      <c r="CC42" s="209">
        <v>84906</v>
      </c>
      <c r="CD42" s="209">
        <v>84906</v>
      </c>
      <c r="CE42" s="209">
        <v>84906</v>
      </c>
      <c r="CF42" s="209">
        <v>84906</v>
      </c>
      <c r="CG42" s="209">
        <v>84906</v>
      </c>
      <c r="CH42" s="209">
        <v>84906</v>
      </c>
      <c r="CI42" s="209">
        <v>99622.99</v>
      </c>
      <c r="CJ42" s="209">
        <v>84964</v>
      </c>
      <c r="CK42" s="209">
        <v>101943.21</v>
      </c>
      <c r="CL42" s="209">
        <v>103929.01999999999</v>
      </c>
      <c r="CM42" s="209">
        <v>119989.48999999999</v>
      </c>
      <c r="CN42" s="209">
        <v>116035.06</v>
      </c>
      <c r="CO42" s="209">
        <v>139813.40000000002</v>
      </c>
      <c r="CP42" s="209">
        <v>148656.89000000001</v>
      </c>
      <c r="CQ42" s="209">
        <v>128774.98999999999</v>
      </c>
      <c r="CR42" s="209">
        <v>134555.54999999999</v>
      </c>
      <c r="CS42" s="209">
        <v>120033.70999999999</v>
      </c>
      <c r="CT42" s="209">
        <v>125982.37</v>
      </c>
      <c r="CU42" s="209">
        <v>127872.01</v>
      </c>
      <c r="CV42" s="209">
        <v>115674.4</v>
      </c>
      <c r="CW42" s="209">
        <v>128894.15</v>
      </c>
      <c r="CX42" s="209">
        <v>132141.96</v>
      </c>
      <c r="CY42" s="209">
        <v>141765.44</v>
      </c>
      <c r="CZ42" s="209">
        <v>143902.04999999999</v>
      </c>
      <c r="DA42" s="209">
        <v>150852.38</v>
      </c>
      <c r="DB42" s="209">
        <v>153876.19</v>
      </c>
      <c r="DC42" s="209">
        <v>127756.66</v>
      </c>
      <c r="DD42" s="209">
        <v>112774.17</v>
      </c>
      <c r="DE42" s="209">
        <v>103117</v>
      </c>
      <c r="DF42" s="209">
        <v>115155.34</v>
      </c>
      <c r="DG42" s="209">
        <v>117219.33000000002</v>
      </c>
      <c r="DH42" s="209">
        <v>114391.48999999999</v>
      </c>
      <c r="DI42" s="209">
        <v>134877.04999999999</v>
      </c>
      <c r="DJ42" s="209">
        <v>136698.14000000001</v>
      </c>
      <c r="DK42" s="209">
        <v>130301.82999999999</v>
      </c>
      <c r="DL42" s="209">
        <v>144604.47</v>
      </c>
      <c r="DM42" s="209">
        <v>151095.01999999999</v>
      </c>
      <c r="DN42" s="209">
        <v>142806.19</v>
      </c>
      <c r="DO42" s="209">
        <v>129569.54000000001</v>
      </c>
      <c r="DP42" s="209">
        <v>138109.89000000001</v>
      </c>
      <c r="DQ42" s="209">
        <v>116498.01999999999</v>
      </c>
      <c r="DR42" s="209">
        <v>134416.01</v>
      </c>
    </row>
    <row r="43" spans="1:122" s="9" customFormat="1">
      <c r="A43" s="9" t="s">
        <v>403</v>
      </c>
      <c r="B43" s="9" t="s">
        <v>397</v>
      </c>
      <c r="C43" s="209">
        <v>6463</v>
      </c>
      <c r="D43" s="209">
        <v>3181</v>
      </c>
      <c r="E43" s="209">
        <v>4783</v>
      </c>
      <c r="F43" s="209">
        <v>4595</v>
      </c>
      <c r="G43" s="209">
        <v>2838</v>
      </c>
      <c r="H43" s="209">
        <v>8015</v>
      </c>
      <c r="I43" s="209">
        <v>4122</v>
      </c>
      <c r="J43" s="209">
        <v>1893</v>
      </c>
      <c r="K43" s="209">
        <v>0</v>
      </c>
      <c r="L43" s="209">
        <v>1168</v>
      </c>
      <c r="M43" s="209">
        <v>6153</v>
      </c>
      <c r="N43" s="209">
        <v>2040</v>
      </c>
      <c r="O43" s="209">
        <v>1130</v>
      </c>
      <c r="P43" s="209">
        <v>1343</v>
      </c>
      <c r="Q43" s="209">
        <v>1788</v>
      </c>
      <c r="R43" s="209">
        <v>2095</v>
      </c>
      <c r="S43" s="209">
        <v>2916</v>
      </c>
      <c r="T43" s="209">
        <v>4212</v>
      </c>
      <c r="U43" s="209">
        <v>176127</v>
      </c>
      <c r="V43" s="209">
        <v>120710.5</v>
      </c>
      <c r="W43" s="209">
        <v>175664</v>
      </c>
      <c r="X43" s="209">
        <v>52679.5</v>
      </c>
      <c r="Y43" s="209">
        <v>85499.5</v>
      </c>
      <c r="Z43" s="209">
        <v>76778.5</v>
      </c>
      <c r="AA43" s="209">
        <v>80239</v>
      </c>
      <c r="AB43" s="209">
        <v>136482.5</v>
      </c>
      <c r="AC43" s="209">
        <v>18977.5</v>
      </c>
      <c r="AD43" s="209">
        <v>153116.5</v>
      </c>
      <c r="AE43" s="209">
        <v>91938.5</v>
      </c>
      <c r="AF43" s="209">
        <v>57179.5</v>
      </c>
      <c r="AG43" s="209">
        <v>179648.8</v>
      </c>
      <c r="AH43" s="209">
        <v>120697</v>
      </c>
      <c r="AI43" s="209">
        <v>3921974</v>
      </c>
      <c r="AJ43" s="209">
        <v>74003.5</v>
      </c>
      <c r="AK43" s="209">
        <v>92892</v>
      </c>
      <c r="AL43" s="209">
        <v>63173</v>
      </c>
      <c r="AM43" s="209">
        <v>91809</v>
      </c>
      <c r="AN43" s="209">
        <v>54188</v>
      </c>
      <c r="AO43" s="209">
        <v>23618</v>
      </c>
      <c r="AP43" s="209">
        <v>531335</v>
      </c>
      <c r="AQ43" s="209">
        <v>103428</v>
      </c>
      <c r="AR43" s="209">
        <v>46190</v>
      </c>
      <c r="AS43" s="209">
        <v>122326</v>
      </c>
      <c r="AT43" s="209">
        <v>97637</v>
      </c>
      <c r="AU43" s="209">
        <v>39630</v>
      </c>
      <c r="AV43" s="209">
        <v>137992.5</v>
      </c>
      <c r="AW43" s="209">
        <v>39088</v>
      </c>
      <c r="AX43" s="209">
        <v>77100</v>
      </c>
      <c r="AY43" s="209">
        <v>92922</v>
      </c>
      <c r="AZ43" s="209">
        <v>62571</v>
      </c>
      <c r="BA43" s="209">
        <v>51578</v>
      </c>
      <c r="BB43" s="209">
        <v>101541</v>
      </c>
      <c r="BC43" s="209">
        <v>132529</v>
      </c>
      <c r="BD43" s="209">
        <v>46140</v>
      </c>
      <c r="BE43" s="209">
        <v>191192.5</v>
      </c>
      <c r="BF43" s="209">
        <v>70622</v>
      </c>
      <c r="BG43" s="209">
        <v>28208</v>
      </c>
      <c r="BH43" s="209">
        <v>41803</v>
      </c>
      <c r="BI43" s="209">
        <v>51294</v>
      </c>
      <c r="BJ43" s="209">
        <v>177820</v>
      </c>
      <c r="BK43" s="209">
        <v>3203210.5</v>
      </c>
      <c r="BL43" s="209">
        <v>66176</v>
      </c>
      <c r="BM43" s="209">
        <v>114630</v>
      </c>
      <c r="BN43" s="209">
        <v>129283</v>
      </c>
      <c r="BO43" s="209">
        <v>40302.5</v>
      </c>
      <c r="BP43" s="209">
        <v>48803.5</v>
      </c>
      <c r="BQ43" s="209">
        <v>63218.5</v>
      </c>
      <c r="BR43" s="209">
        <v>56794</v>
      </c>
      <c r="BS43" s="209">
        <v>47424</v>
      </c>
      <c r="BT43" s="209">
        <v>44781</v>
      </c>
      <c r="BU43" s="209">
        <v>44781</v>
      </c>
      <c r="BV43" s="209">
        <v>44781</v>
      </c>
      <c r="BW43" s="209">
        <v>44781</v>
      </c>
      <c r="BX43" s="209">
        <v>44781</v>
      </c>
      <c r="BY43" s="209">
        <v>44781</v>
      </c>
      <c r="BZ43" s="209">
        <v>44781</v>
      </c>
      <c r="CA43" s="209">
        <v>44781</v>
      </c>
      <c r="CB43" s="209">
        <v>44781</v>
      </c>
      <c r="CC43" s="209">
        <v>44781</v>
      </c>
      <c r="CD43" s="209">
        <v>44781</v>
      </c>
      <c r="CE43" s="209">
        <v>44781</v>
      </c>
      <c r="CF43" s="209">
        <v>44781</v>
      </c>
      <c r="CG43" s="209">
        <v>44781</v>
      </c>
      <c r="CH43" s="209">
        <v>44781</v>
      </c>
      <c r="CI43" s="209">
        <v>55.5</v>
      </c>
      <c r="CJ43" s="209">
        <v>162</v>
      </c>
      <c r="CK43" s="209">
        <v>207.5</v>
      </c>
      <c r="CL43" s="209">
        <v>150185</v>
      </c>
      <c r="CM43" s="209">
        <v>95790</v>
      </c>
      <c r="CN43" s="209">
        <v>97980</v>
      </c>
      <c r="CO43" s="209">
        <v>182740</v>
      </c>
      <c r="CP43" s="209">
        <v>140852</v>
      </c>
      <c r="CQ43" s="209">
        <v>212209</v>
      </c>
      <c r="CR43" s="209">
        <v>187047</v>
      </c>
      <c r="CS43" s="209">
        <v>189625</v>
      </c>
      <c r="CT43" s="209">
        <v>0</v>
      </c>
      <c r="CU43" s="209">
        <v>50</v>
      </c>
      <c r="CV43" s="209">
        <v>252403</v>
      </c>
      <c r="CW43" s="209">
        <v>332501</v>
      </c>
      <c r="CX43" s="209">
        <v>354421</v>
      </c>
      <c r="CY43" s="209">
        <v>220189</v>
      </c>
      <c r="CZ43" s="209">
        <v>348939</v>
      </c>
      <c r="DA43" s="209">
        <v>330027.5</v>
      </c>
      <c r="DB43" s="209">
        <v>203543</v>
      </c>
      <c r="DC43" s="209">
        <v>201818</v>
      </c>
      <c r="DD43" s="209">
        <v>309873</v>
      </c>
      <c r="DE43" s="209">
        <v>209340</v>
      </c>
      <c r="DF43" s="209">
        <v>200642</v>
      </c>
      <c r="DG43" s="209">
        <v>252388</v>
      </c>
      <c r="DH43" s="209">
        <v>128423</v>
      </c>
      <c r="DI43" s="209">
        <v>280521.5</v>
      </c>
      <c r="DJ43" s="209">
        <v>162149</v>
      </c>
      <c r="DK43" s="209">
        <v>377779</v>
      </c>
      <c r="DL43" s="209">
        <v>217804</v>
      </c>
      <c r="DM43" s="209">
        <v>141217</v>
      </c>
      <c r="DN43" s="209">
        <v>199578</v>
      </c>
      <c r="DO43" s="209">
        <v>306095</v>
      </c>
      <c r="DP43" s="209">
        <v>267395</v>
      </c>
      <c r="DQ43" s="209">
        <v>123577</v>
      </c>
      <c r="DR43" s="209">
        <v>81618</v>
      </c>
    </row>
    <row r="44" spans="1:122" s="9" customFormat="1">
      <c r="A44" s="9" t="s">
        <v>404</v>
      </c>
      <c r="B44" s="9" t="s">
        <v>397</v>
      </c>
      <c r="C44" s="209">
        <v>22629254</v>
      </c>
      <c r="D44" s="209">
        <v>19339957</v>
      </c>
      <c r="E44" s="209">
        <v>15279408</v>
      </c>
      <c r="F44" s="209">
        <v>14672568</v>
      </c>
      <c r="G44" s="209">
        <v>22000620</v>
      </c>
      <c r="H44" s="209">
        <v>19407096</v>
      </c>
      <c r="I44" s="209">
        <v>25742805</v>
      </c>
      <c r="J44" s="209">
        <v>16334206</v>
      </c>
      <c r="K44" s="209">
        <v>20980033</v>
      </c>
      <c r="L44" s="209">
        <v>11347988</v>
      </c>
      <c r="M44" s="209">
        <v>14385910</v>
      </c>
      <c r="N44" s="209">
        <v>26975125</v>
      </c>
      <c r="O44" s="209">
        <v>8363954</v>
      </c>
      <c r="P44" s="209">
        <v>20739741</v>
      </c>
      <c r="Q44" s="209">
        <v>23362576</v>
      </c>
      <c r="R44" s="209">
        <v>17853650</v>
      </c>
      <c r="S44" s="209">
        <v>11905850</v>
      </c>
      <c r="T44" s="209">
        <v>18931161</v>
      </c>
      <c r="U44" s="209">
        <v>36366893</v>
      </c>
      <c r="V44" s="209">
        <v>16476841</v>
      </c>
      <c r="W44" s="209">
        <v>16831297.5</v>
      </c>
      <c r="X44" s="209">
        <v>20807090.5</v>
      </c>
      <c r="Y44" s="209">
        <v>17038880.5</v>
      </c>
      <c r="Z44" s="209">
        <v>21430864</v>
      </c>
      <c r="AA44" s="209">
        <v>21264511.5</v>
      </c>
      <c r="AB44" s="209">
        <v>20120602.5</v>
      </c>
      <c r="AC44" s="209">
        <v>15435559.5</v>
      </c>
      <c r="AD44" s="209">
        <v>24689141</v>
      </c>
      <c r="AE44" s="209">
        <v>9057497.5</v>
      </c>
      <c r="AF44" s="209">
        <v>21275848.5</v>
      </c>
      <c r="AG44" s="209">
        <v>12119253</v>
      </c>
      <c r="AH44" s="209">
        <v>9502571.5</v>
      </c>
      <c r="AI44" s="209">
        <v>18144931</v>
      </c>
      <c r="AJ44" s="209">
        <v>13667548</v>
      </c>
      <c r="AK44" s="209">
        <v>22470568</v>
      </c>
      <c r="AL44" s="209">
        <v>7127954.5</v>
      </c>
      <c r="AM44" s="209">
        <v>19830300.5</v>
      </c>
      <c r="AN44" s="209">
        <v>11498016</v>
      </c>
      <c r="AO44" s="209">
        <v>18889984</v>
      </c>
      <c r="AP44" s="209">
        <v>10435297</v>
      </c>
      <c r="AQ44" s="209">
        <v>20346248</v>
      </c>
      <c r="AR44" s="209">
        <v>13402602</v>
      </c>
      <c r="AS44" s="209">
        <v>18351009</v>
      </c>
      <c r="AT44" s="209">
        <v>23133324</v>
      </c>
      <c r="AU44" s="209">
        <v>8286529</v>
      </c>
      <c r="AV44" s="209">
        <v>20461105</v>
      </c>
      <c r="AW44" s="209">
        <v>13422966</v>
      </c>
      <c r="AX44" s="209">
        <v>16325179</v>
      </c>
      <c r="AY44" s="209">
        <v>14164304</v>
      </c>
      <c r="AZ44" s="209">
        <v>14063607</v>
      </c>
      <c r="BA44" s="209">
        <v>16092279</v>
      </c>
      <c r="BB44" s="209">
        <v>11051429</v>
      </c>
      <c r="BC44" s="209">
        <v>10854751</v>
      </c>
      <c r="BD44" s="209">
        <v>15448287</v>
      </c>
      <c r="BE44" s="209">
        <v>18410720</v>
      </c>
      <c r="BF44" s="209">
        <v>25086373</v>
      </c>
      <c r="BG44" s="209">
        <v>9101871</v>
      </c>
      <c r="BH44" s="209">
        <v>14351357</v>
      </c>
      <c r="BI44" s="209">
        <v>17017994</v>
      </c>
      <c r="BJ44" s="209">
        <v>9636504</v>
      </c>
      <c r="BK44" s="209">
        <v>23645471.5</v>
      </c>
      <c r="BL44" s="209">
        <v>21368036</v>
      </c>
      <c r="BM44" s="209">
        <v>23496419.5</v>
      </c>
      <c r="BN44" s="209">
        <v>16955237</v>
      </c>
      <c r="BO44" s="209">
        <v>7750960.5</v>
      </c>
      <c r="BP44" s="209">
        <v>20223164.5</v>
      </c>
      <c r="BQ44" s="209">
        <v>19552743</v>
      </c>
      <c r="BR44" s="209">
        <v>19092677.5</v>
      </c>
      <c r="BS44" s="209">
        <v>15709509</v>
      </c>
      <c r="BT44" s="209">
        <v>16240402</v>
      </c>
      <c r="BU44" s="209">
        <v>16206405.5</v>
      </c>
      <c r="BV44" s="209">
        <v>20305257.5</v>
      </c>
      <c r="BW44" s="209">
        <v>18067761.5</v>
      </c>
      <c r="BX44" s="209">
        <v>17826351.5</v>
      </c>
      <c r="BY44" s="209">
        <v>18404338.5</v>
      </c>
      <c r="BZ44" s="209">
        <v>17622379.5</v>
      </c>
      <c r="CA44" s="209">
        <v>18404887</v>
      </c>
      <c r="CB44" s="209">
        <v>19460280.5</v>
      </c>
      <c r="CC44" s="209">
        <v>22426151.5</v>
      </c>
      <c r="CD44" s="209">
        <v>22250022.5</v>
      </c>
      <c r="CE44" s="209">
        <v>17767721.5</v>
      </c>
      <c r="CF44" s="209">
        <v>18315034.5</v>
      </c>
      <c r="CG44" s="209">
        <v>16629990.5</v>
      </c>
      <c r="CH44" s="209">
        <v>21436783</v>
      </c>
      <c r="CI44" s="209">
        <v>17785361.5</v>
      </c>
      <c r="CJ44" s="209">
        <v>20364570.5</v>
      </c>
      <c r="CK44" s="209">
        <v>20301790</v>
      </c>
      <c r="CL44" s="209">
        <v>20398594</v>
      </c>
      <c r="CM44" s="209">
        <v>18213910.5</v>
      </c>
      <c r="CN44" s="209">
        <v>17798358.5</v>
      </c>
      <c r="CO44" s="209">
        <v>21311430</v>
      </c>
      <c r="CP44" s="209">
        <v>20170459.5</v>
      </c>
      <c r="CQ44" s="209">
        <v>16139109</v>
      </c>
      <c r="CR44" s="209">
        <v>19116923.5</v>
      </c>
      <c r="CS44" s="209">
        <v>18143715.5</v>
      </c>
      <c r="CT44" s="209">
        <v>18512948</v>
      </c>
      <c r="CU44" s="209">
        <v>31847502.5</v>
      </c>
      <c r="CV44" s="209">
        <v>19131669.5</v>
      </c>
      <c r="CW44" s="209">
        <v>20332154</v>
      </c>
      <c r="CX44" s="209">
        <v>21383525.5</v>
      </c>
      <c r="CY44" s="209">
        <v>16573531</v>
      </c>
      <c r="CZ44" s="209">
        <v>19687444.5</v>
      </c>
      <c r="DA44" s="209">
        <v>21322758</v>
      </c>
      <c r="DB44" s="209">
        <v>19727697</v>
      </c>
      <c r="DC44" s="209">
        <v>15905026</v>
      </c>
      <c r="DD44" s="209">
        <v>16601073</v>
      </c>
      <c r="DE44" s="209">
        <v>15987147</v>
      </c>
      <c r="DF44" s="209">
        <v>20977669.5</v>
      </c>
      <c r="DG44" s="209">
        <v>17712228</v>
      </c>
      <c r="DH44" s="209">
        <v>18240810.5</v>
      </c>
      <c r="DI44" s="209">
        <v>19167221</v>
      </c>
      <c r="DJ44" s="209">
        <v>19507106</v>
      </c>
      <c r="DK44" s="209">
        <v>17829872.5</v>
      </c>
      <c r="DL44" s="209">
        <v>19768786</v>
      </c>
      <c r="DM44" s="209">
        <v>16190245</v>
      </c>
      <c r="DN44" s="209">
        <v>15408570</v>
      </c>
      <c r="DO44" s="209">
        <v>10989640</v>
      </c>
      <c r="DP44" s="209">
        <v>12621992.5</v>
      </c>
      <c r="DQ44" s="209">
        <v>13021223</v>
      </c>
      <c r="DR44" s="209">
        <v>16201680</v>
      </c>
    </row>
    <row r="45" spans="1:122" s="9" customFormat="1">
      <c r="A45" s="9" t="s">
        <v>405</v>
      </c>
      <c r="B45" s="9" t="s">
        <v>397</v>
      </c>
      <c r="C45" s="209">
        <v>174699.76</v>
      </c>
      <c r="D45" s="209">
        <v>130412.54</v>
      </c>
      <c r="E45" s="209">
        <v>106383.97</v>
      </c>
      <c r="F45" s="209">
        <v>151155.77000000002</v>
      </c>
      <c r="G45" s="209">
        <v>141916.03</v>
      </c>
      <c r="H45" s="209">
        <v>144147.02000000002</v>
      </c>
      <c r="I45" s="209">
        <v>138269.74</v>
      </c>
      <c r="J45" s="209">
        <v>222867.53</v>
      </c>
      <c r="K45" s="209">
        <v>257649.62</v>
      </c>
      <c r="L45" s="209">
        <v>145980.51</v>
      </c>
      <c r="M45" s="209">
        <v>992614.84</v>
      </c>
      <c r="N45" s="209">
        <v>138851.66999999998</v>
      </c>
      <c r="O45" s="209">
        <v>133403.1</v>
      </c>
      <c r="P45" s="209">
        <v>111811.43</v>
      </c>
      <c r="Q45" s="209">
        <v>195692.35</v>
      </c>
      <c r="R45" s="209">
        <v>160914.96000000002</v>
      </c>
      <c r="S45" s="209">
        <v>178713.85</v>
      </c>
      <c r="T45" s="209">
        <v>154895.51999999999</v>
      </c>
      <c r="U45" s="209">
        <v>190079.26</v>
      </c>
      <c r="V45" s="209">
        <v>2845495.96</v>
      </c>
      <c r="W45" s="209">
        <v>2869346.76</v>
      </c>
      <c r="X45" s="209">
        <v>5957736.4400000004</v>
      </c>
      <c r="Y45" s="209">
        <v>4377074.84</v>
      </c>
      <c r="Z45" s="209">
        <v>3347151.52</v>
      </c>
      <c r="AA45" s="209">
        <v>3729824.28</v>
      </c>
      <c r="AB45" s="209">
        <v>3604234.65</v>
      </c>
      <c r="AC45" s="209">
        <v>2131034.7599999998</v>
      </c>
      <c r="AD45" s="209">
        <v>5243373.83</v>
      </c>
      <c r="AE45" s="209">
        <v>4335587.09</v>
      </c>
      <c r="AF45" s="209">
        <v>3983703.6</v>
      </c>
      <c r="AG45" s="209">
        <v>3879388.69</v>
      </c>
      <c r="AH45" s="209">
        <v>1481281.06</v>
      </c>
      <c r="AI45" s="209">
        <v>5242634.34</v>
      </c>
      <c r="AJ45" s="209">
        <v>3760749.06</v>
      </c>
      <c r="AK45" s="209">
        <v>4147170.2300000004</v>
      </c>
      <c r="AL45" s="209">
        <v>2039856.04</v>
      </c>
      <c r="AM45" s="209">
        <v>5195602.2300000004</v>
      </c>
      <c r="AN45" s="209">
        <v>1654427.6400000001</v>
      </c>
      <c r="AO45" s="209">
        <v>3887694.64</v>
      </c>
      <c r="AP45" s="209">
        <v>3163393</v>
      </c>
      <c r="AQ45" s="209">
        <v>3342000</v>
      </c>
      <c r="AR45" s="209">
        <v>1598245</v>
      </c>
      <c r="AS45" s="209">
        <v>11519375</v>
      </c>
      <c r="AT45" s="209">
        <v>7608244</v>
      </c>
      <c r="AU45" s="209">
        <v>6393111</v>
      </c>
      <c r="AV45" s="209">
        <v>3291667.98</v>
      </c>
      <c r="AW45" s="209">
        <v>2740535</v>
      </c>
      <c r="AX45" s="209">
        <v>3735317</v>
      </c>
      <c r="AY45" s="209">
        <v>3440372</v>
      </c>
      <c r="AZ45" s="209">
        <v>3604143</v>
      </c>
      <c r="BA45" s="209">
        <v>3573729</v>
      </c>
      <c r="BB45" s="209">
        <v>3693522</v>
      </c>
      <c r="BC45" s="209">
        <v>178339</v>
      </c>
      <c r="BD45" s="209">
        <v>2506542</v>
      </c>
      <c r="BE45" s="209">
        <v>2761493.68</v>
      </c>
      <c r="BF45" s="209">
        <v>4850993</v>
      </c>
      <c r="BG45" s="209">
        <v>1611893</v>
      </c>
      <c r="BH45" s="209">
        <v>3340462</v>
      </c>
      <c r="BI45" s="209">
        <v>3133026</v>
      </c>
      <c r="BJ45" s="209">
        <v>3386592</v>
      </c>
      <c r="BK45" s="209">
        <v>1961104.03</v>
      </c>
      <c r="BL45" s="209">
        <v>3646520</v>
      </c>
      <c r="BM45" s="209">
        <v>4733185.03</v>
      </c>
      <c r="BN45" s="209">
        <v>2327643</v>
      </c>
      <c r="BO45" s="209">
        <v>510222.81</v>
      </c>
      <c r="BP45" s="209">
        <v>3671048.52</v>
      </c>
      <c r="BQ45" s="209">
        <v>3081443.25</v>
      </c>
      <c r="BR45" s="209">
        <v>3564879.41</v>
      </c>
      <c r="BS45" s="209">
        <v>2872423</v>
      </c>
      <c r="BT45" s="209">
        <v>2870249</v>
      </c>
      <c r="BU45" s="209">
        <v>3047081.35</v>
      </c>
      <c r="BV45" s="209">
        <v>2596264.61</v>
      </c>
      <c r="BW45" s="209">
        <v>1575259.42</v>
      </c>
      <c r="BX45" s="209">
        <v>1445549.94</v>
      </c>
      <c r="BY45" s="209">
        <v>1463867.08</v>
      </c>
      <c r="BZ45" s="209">
        <v>1414561.51</v>
      </c>
      <c r="CA45" s="209">
        <v>1427615.75</v>
      </c>
      <c r="CB45" s="209">
        <v>1301541.98</v>
      </c>
      <c r="CC45" s="209">
        <v>3430047.96</v>
      </c>
      <c r="CD45" s="209">
        <v>3942308.03</v>
      </c>
      <c r="CE45" s="209">
        <v>3057944.45</v>
      </c>
      <c r="CF45" s="209">
        <v>3280040.35</v>
      </c>
      <c r="CG45" s="209">
        <v>3178094.21</v>
      </c>
      <c r="CH45" s="209">
        <v>2827761.65</v>
      </c>
      <c r="CI45" s="209">
        <v>3101931.02</v>
      </c>
      <c r="CJ45" s="209">
        <v>1344201.01</v>
      </c>
      <c r="CK45" s="209">
        <v>1387342.77</v>
      </c>
      <c r="CL45" s="209">
        <v>1261618.72</v>
      </c>
      <c r="CM45" s="209">
        <v>2886682.6799999997</v>
      </c>
      <c r="CN45" s="209">
        <v>1514284.01</v>
      </c>
      <c r="CO45" s="209">
        <v>2620010.5</v>
      </c>
      <c r="CP45" s="209">
        <v>3282173.46</v>
      </c>
      <c r="CQ45" s="209">
        <v>2894106.98</v>
      </c>
      <c r="CR45" s="209">
        <v>2590502.2199999997</v>
      </c>
      <c r="CS45" s="209">
        <v>1985518.8</v>
      </c>
      <c r="CT45" s="209">
        <v>2621597.2200000002</v>
      </c>
      <c r="CU45" s="209">
        <v>3276138.02</v>
      </c>
      <c r="CV45" s="209">
        <v>2440383.94</v>
      </c>
      <c r="CW45" s="209">
        <v>1949061.8</v>
      </c>
      <c r="CX45" s="209">
        <v>1783387.05</v>
      </c>
      <c r="CY45" s="209">
        <v>1823717.27</v>
      </c>
      <c r="CZ45" s="209">
        <v>1672542.27</v>
      </c>
      <c r="DA45" s="209">
        <v>2726935.14</v>
      </c>
      <c r="DB45" s="209">
        <v>3008114.02</v>
      </c>
      <c r="DC45" s="209">
        <v>3642777.62</v>
      </c>
      <c r="DD45" s="209">
        <v>2778112.09</v>
      </c>
      <c r="DE45" s="209">
        <v>2998159.8200000003</v>
      </c>
      <c r="DF45" s="209">
        <v>3212834.95</v>
      </c>
      <c r="DG45" s="209">
        <v>3231915.01</v>
      </c>
      <c r="DH45" s="209">
        <v>3012444.1</v>
      </c>
      <c r="DI45" s="209">
        <v>2811319</v>
      </c>
      <c r="DJ45" s="209">
        <v>2471233.29</v>
      </c>
      <c r="DK45" s="209">
        <v>1410753.1</v>
      </c>
      <c r="DL45" s="209">
        <v>2996703.0700000003</v>
      </c>
      <c r="DM45" s="209">
        <v>4196967.9700000007</v>
      </c>
      <c r="DN45" s="209">
        <v>2990805.84</v>
      </c>
      <c r="DO45" s="209">
        <v>3025629.33</v>
      </c>
      <c r="DP45" s="209">
        <v>2162238.0700000003</v>
      </c>
      <c r="DQ45" s="209">
        <v>2918712.7800000003</v>
      </c>
      <c r="DR45" s="209">
        <v>2771568.0700000003</v>
      </c>
    </row>
    <row r="46" spans="1:122" s="9" customFormat="1">
      <c r="A46" s="9" t="s">
        <v>406</v>
      </c>
      <c r="B46" s="9" t="s">
        <v>397</v>
      </c>
      <c r="C46" s="209">
        <v>40232.75</v>
      </c>
      <c r="D46" s="209">
        <v>118598.26</v>
      </c>
      <c r="E46" s="209">
        <v>412.46</v>
      </c>
      <c r="F46" s="209">
        <v>478.55</v>
      </c>
      <c r="G46" s="209">
        <v>160592.76999999999</v>
      </c>
      <c r="H46" s="209">
        <v>9028.7999999999993</v>
      </c>
      <c r="I46" s="209">
        <v>98669.68</v>
      </c>
      <c r="J46" s="209">
        <v>8571.09</v>
      </c>
      <c r="K46" s="209">
        <v>0</v>
      </c>
      <c r="L46" s="209">
        <v>27840.5</v>
      </c>
      <c r="M46" s="209">
        <v>354811.72000000003</v>
      </c>
      <c r="N46" s="209">
        <v>0</v>
      </c>
      <c r="O46" s="209">
        <v>0</v>
      </c>
      <c r="P46" s="209">
        <v>76607.100000000006</v>
      </c>
      <c r="Q46" s="209">
        <v>78552.73</v>
      </c>
      <c r="R46" s="209">
        <v>173820.30000000002</v>
      </c>
      <c r="S46" s="209">
        <v>80204.850000000006</v>
      </c>
      <c r="T46" s="209">
        <v>0</v>
      </c>
      <c r="U46" s="209">
        <v>0</v>
      </c>
      <c r="V46" s="209">
        <v>0</v>
      </c>
      <c r="W46" s="209">
        <v>49927.74</v>
      </c>
      <c r="X46" s="209">
        <v>370016.31</v>
      </c>
      <c r="Y46" s="209">
        <v>21492.39</v>
      </c>
      <c r="Z46" s="209">
        <v>36162</v>
      </c>
      <c r="AA46" s="209">
        <v>0</v>
      </c>
      <c r="AB46" s="209">
        <v>382220.54</v>
      </c>
      <c r="AC46" s="209">
        <v>0</v>
      </c>
      <c r="AD46" s="209">
        <v>0</v>
      </c>
      <c r="AE46" s="209">
        <v>192917.08</v>
      </c>
      <c r="AF46" s="209">
        <v>0</v>
      </c>
      <c r="AG46" s="209">
        <v>173970.91</v>
      </c>
      <c r="AH46" s="209">
        <v>2376.62</v>
      </c>
      <c r="AI46" s="209">
        <v>30357.13</v>
      </c>
      <c r="AJ46" s="209">
        <v>0</v>
      </c>
      <c r="AK46" s="209">
        <v>48649.009999999995</v>
      </c>
      <c r="AL46" s="209">
        <v>270496.09000000003</v>
      </c>
      <c r="AM46" s="209">
        <v>0</v>
      </c>
      <c r="AN46" s="209">
        <v>0</v>
      </c>
      <c r="AO46" s="209">
        <v>128748.88</v>
      </c>
      <c r="AP46" s="209">
        <v>92291</v>
      </c>
      <c r="AQ46" s="209">
        <v>0</v>
      </c>
      <c r="AR46" s="209">
        <v>17815</v>
      </c>
      <c r="AS46" s="209">
        <v>40795</v>
      </c>
      <c r="AT46" s="209">
        <v>0</v>
      </c>
      <c r="AU46" s="209">
        <v>0</v>
      </c>
      <c r="AV46" s="209">
        <v>22339.07</v>
      </c>
      <c r="AW46" s="209">
        <v>33526</v>
      </c>
      <c r="AX46" s="209">
        <v>7915</v>
      </c>
      <c r="AY46" s="209">
        <v>14470</v>
      </c>
      <c r="AZ46" s="209">
        <v>3633</v>
      </c>
      <c r="BA46" s="209">
        <v>191116</v>
      </c>
      <c r="BB46" s="209">
        <v>15960</v>
      </c>
      <c r="BC46" s="209">
        <v>0</v>
      </c>
      <c r="BD46" s="209">
        <v>0</v>
      </c>
      <c r="BE46" s="209">
        <v>117491.55</v>
      </c>
      <c r="BF46" s="209">
        <v>41577</v>
      </c>
      <c r="BG46" s="209">
        <v>0</v>
      </c>
      <c r="BH46" s="209">
        <v>0</v>
      </c>
      <c r="BI46" s="209">
        <v>2955</v>
      </c>
      <c r="BJ46" s="209">
        <v>0</v>
      </c>
      <c r="BK46" s="209">
        <v>33049</v>
      </c>
      <c r="BL46" s="209">
        <v>124794</v>
      </c>
      <c r="BM46" s="209">
        <v>58169.88</v>
      </c>
      <c r="BN46" s="209">
        <v>37462</v>
      </c>
      <c r="BO46" s="209">
        <v>0</v>
      </c>
      <c r="BP46" s="209">
        <v>0</v>
      </c>
      <c r="BQ46" s="209">
        <v>212651.14</v>
      </c>
      <c r="BR46" s="209">
        <v>45979.75</v>
      </c>
      <c r="BS46" s="209">
        <v>11001</v>
      </c>
      <c r="BT46" s="209">
        <v>21510</v>
      </c>
      <c r="BU46" s="209">
        <v>49787.57332506204</v>
      </c>
      <c r="BV46" s="209">
        <v>121815.65468362282</v>
      </c>
      <c r="BW46" s="209">
        <v>27152.142658509452</v>
      </c>
      <c r="BX46" s="209">
        <v>12710.76923076923</v>
      </c>
      <c r="BY46" s="209">
        <v>23734.208436724562</v>
      </c>
      <c r="BZ46" s="209">
        <v>143046.64238042268</v>
      </c>
      <c r="CA46" s="209">
        <v>4402.2769230769227</v>
      </c>
      <c r="CB46" s="209">
        <v>78522.15119416872</v>
      </c>
      <c r="CC46" s="209">
        <v>52405.316253101737</v>
      </c>
      <c r="CD46" s="209">
        <v>16687.507692307692</v>
      </c>
      <c r="CE46" s="209">
        <v>109655.16597501497</v>
      </c>
      <c r="CF46" s="209">
        <v>5757.6206896551721</v>
      </c>
      <c r="CG46" s="209">
        <v>71176.707692307682</v>
      </c>
      <c r="CH46" s="209">
        <v>28589.88126550868</v>
      </c>
      <c r="CI46" s="209">
        <v>0</v>
      </c>
      <c r="CJ46" s="209">
        <v>0</v>
      </c>
      <c r="CK46" s="209">
        <v>160756.06878636518</v>
      </c>
      <c r="CL46" s="209">
        <v>61783.730521091813</v>
      </c>
      <c r="CM46" s="209">
        <v>0</v>
      </c>
      <c r="CN46" s="209">
        <v>32220.337011209034</v>
      </c>
      <c r="CO46" s="209">
        <v>3582.4615384615381</v>
      </c>
      <c r="CP46" s="209">
        <v>31781.292307692307</v>
      </c>
      <c r="CQ46" s="209">
        <v>7294.9846153846147</v>
      </c>
      <c r="CR46" s="209">
        <v>0</v>
      </c>
      <c r="CS46" s="209">
        <v>42455.507211538461</v>
      </c>
      <c r="CT46" s="209">
        <v>72374.622828784122</v>
      </c>
      <c r="CU46" s="209">
        <v>16348.018238213401</v>
      </c>
      <c r="CV46" s="209">
        <v>184029.35387717123</v>
      </c>
      <c r="CW46" s="209">
        <v>15734.645161290322</v>
      </c>
      <c r="CX46" s="209">
        <v>37781.347890818855</v>
      </c>
      <c r="CY46" s="209">
        <v>16919.682382133993</v>
      </c>
      <c r="CZ46" s="209">
        <v>139721.89838709679</v>
      </c>
      <c r="DA46" s="209">
        <v>29342.093749999996</v>
      </c>
      <c r="DB46" s="209">
        <v>43056.43076923077</v>
      </c>
      <c r="DC46" s="209">
        <v>31151.03125</v>
      </c>
      <c r="DD46" s="209">
        <v>0</v>
      </c>
      <c r="DE46" s="209">
        <v>0</v>
      </c>
      <c r="DF46" s="209">
        <v>136823.33383337091</v>
      </c>
      <c r="DG46" s="209">
        <v>81220.111491935488</v>
      </c>
      <c r="DH46" s="209">
        <v>38455.241935483871</v>
      </c>
      <c r="DI46" s="209">
        <v>31000.457602075345</v>
      </c>
      <c r="DJ46" s="209">
        <v>72601.734243176179</v>
      </c>
      <c r="DK46" s="209">
        <v>16016.34965034965</v>
      </c>
      <c r="DL46" s="209">
        <v>11448.989205955335</v>
      </c>
      <c r="DM46" s="209">
        <v>67491.040967741937</v>
      </c>
      <c r="DN46" s="209">
        <v>17562</v>
      </c>
      <c r="DO46" s="209">
        <v>41553.104838709682</v>
      </c>
      <c r="DP46" s="209">
        <v>80495.972850678736</v>
      </c>
      <c r="DQ46" s="209">
        <v>0</v>
      </c>
      <c r="DR46" s="209">
        <v>33256.923076923078</v>
      </c>
    </row>
    <row r="47" spans="1:122" s="9" customFormat="1"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</row>
    <row r="48" spans="1:122" s="9" customFormat="1">
      <c r="A48" s="9" t="s">
        <v>407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</row>
    <row r="49" spans="1:122" s="9" customFormat="1">
      <c r="A49" s="9" t="s">
        <v>408</v>
      </c>
      <c r="B49" s="9" t="s">
        <v>409</v>
      </c>
      <c r="C49" s="12">
        <v>101</v>
      </c>
      <c r="D49" s="12">
        <v>103</v>
      </c>
      <c r="E49" s="12">
        <v>102</v>
      </c>
      <c r="F49" s="12">
        <v>104</v>
      </c>
      <c r="G49" s="12">
        <v>105</v>
      </c>
      <c r="H49" s="12">
        <v>106</v>
      </c>
      <c r="I49" s="12">
        <v>102</v>
      </c>
      <c r="J49" s="12">
        <v>102</v>
      </c>
      <c r="K49" s="12">
        <v>111</v>
      </c>
      <c r="L49" s="12">
        <v>118</v>
      </c>
      <c r="M49" s="12">
        <v>123</v>
      </c>
      <c r="N49" s="12">
        <v>124</v>
      </c>
      <c r="O49" s="12">
        <v>128</v>
      </c>
      <c r="P49" s="12">
        <v>143</v>
      </c>
      <c r="Q49" s="12">
        <v>152</v>
      </c>
      <c r="R49" s="12">
        <v>152</v>
      </c>
      <c r="S49" s="12">
        <v>153</v>
      </c>
      <c r="T49" s="12">
        <v>152</v>
      </c>
      <c r="U49" s="12">
        <v>153</v>
      </c>
      <c r="V49" s="12">
        <v>153</v>
      </c>
      <c r="W49" s="12">
        <v>161</v>
      </c>
      <c r="X49" s="12">
        <v>161</v>
      </c>
      <c r="Y49" s="12">
        <v>162</v>
      </c>
      <c r="Z49" s="12">
        <v>161</v>
      </c>
      <c r="AA49" s="12">
        <v>160</v>
      </c>
      <c r="AB49" s="12">
        <v>162</v>
      </c>
      <c r="AC49" s="12">
        <v>158</v>
      </c>
      <c r="AD49" s="12">
        <v>158</v>
      </c>
      <c r="AE49" s="12">
        <v>160</v>
      </c>
      <c r="AF49" s="12">
        <v>159</v>
      </c>
      <c r="AG49" s="12">
        <v>160</v>
      </c>
      <c r="AH49" s="12">
        <v>164</v>
      </c>
      <c r="AI49" s="12">
        <v>169</v>
      </c>
      <c r="AJ49" s="12">
        <v>171</v>
      </c>
      <c r="AK49" s="12">
        <v>170</v>
      </c>
      <c r="AL49" s="12">
        <v>171</v>
      </c>
      <c r="AM49" s="12">
        <v>175</v>
      </c>
      <c r="AN49" s="12">
        <v>184</v>
      </c>
      <c r="AO49" s="12">
        <v>185</v>
      </c>
      <c r="AP49" s="12">
        <v>181</v>
      </c>
      <c r="AQ49" s="12">
        <v>183</v>
      </c>
      <c r="AR49" s="12">
        <v>182</v>
      </c>
      <c r="AS49" s="12">
        <v>175</v>
      </c>
      <c r="AT49" s="12">
        <v>174</v>
      </c>
      <c r="AU49" s="12">
        <v>174</v>
      </c>
      <c r="AV49" s="12">
        <v>171</v>
      </c>
      <c r="AW49" s="12">
        <v>173</v>
      </c>
      <c r="AX49" s="12">
        <v>174</v>
      </c>
      <c r="AY49" s="12">
        <v>179</v>
      </c>
      <c r="AZ49" s="12">
        <v>177</v>
      </c>
      <c r="BA49" s="12">
        <v>173</v>
      </c>
      <c r="BB49" s="12">
        <v>170</v>
      </c>
      <c r="BC49" s="12">
        <v>170</v>
      </c>
      <c r="BD49" s="12">
        <v>168</v>
      </c>
      <c r="BE49" s="12">
        <v>166</v>
      </c>
      <c r="BF49" s="12">
        <v>162</v>
      </c>
      <c r="BG49" s="12">
        <v>162</v>
      </c>
      <c r="BH49" s="12">
        <v>161</v>
      </c>
      <c r="BI49" s="12">
        <v>158</v>
      </c>
      <c r="BJ49" s="12">
        <v>159</v>
      </c>
      <c r="BK49" s="12">
        <v>271</v>
      </c>
      <c r="BL49" s="12">
        <v>268</v>
      </c>
      <c r="BM49" s="12">
        <v>267</v>
      </c>
      <c r="BN49" s="12">
        <v>283</v>
      </c>
      <c r="BO49" s="12">
        <v>310</v>
      </c>
      <c r="BP49" s="12">
        <v>339</v>
      </c>
      <c r="BQ49" s="12">
        <v>357</v>
      </c>
      <c r="BR49" s="12">
        <v>426</v>
      </c>
      <c r="BS49" s="12">
        <v>527</v>
      </c>
      <c r="BT49" s="12">
        <v>549</v>
      </c>
      <c r="BU49" s="12">
        <v>563</v>
      </c>
      <c r="BV49" s="12">
        <v>577</v>
      </c>
      <c r="BW49" s="12">
        <v>663</v>
      </c>
      <c r="BX49" s="12">
        <v>704</v>
      </c>
      <c r="BY49" s="12">
        <v>727</v>
      </c>
      <c r="BZ49" s="12">
        <v>751</v>
      </c>
      <c r="CA49" s="12">
        <v>808</v>
      </c>
      <c r="CB49" s="12">
        <v>847</v>
      </c>
      <c r="CC49" s="12">
        <v>891</v>
      </c>
      <c r="CD49" s="12">
        <v>939</v>
      </c>
      <c r="CE49" s="12">
        <v>963</v>
      </c>
      <c r="CF49" s="12">
        <v>1016</v>
      </c>
      <c r="CG49" s="12">
        <v>1098</v>
      </c>
      <c r="CH49" s="12">
        <v>1136</v>
      </c>
      <c r="CI49" s="12">
        <v>1195</v>
      </c>
      <c r="CJ49" s="12">
        <v>1257</v>
      </c>
      <c r="CK49" s="12">
        <v>1287</v>
      </c>
      <c r="CL49" s="12">
        <v>1331</v>
      </c>
      <c r="CM49" s="12">
        <v>1437</v>
      </c>
      <c r="CN49" s="12">
        <v>1551</v>
      </c>
      <c r="CO49" s="12">
        <v>1707</v>
      </c>
      <c r="CP49" s="12">
        <v>1783</v>
      </c>
      <c r="CQ49" s="12">
        <v>1869</v>
      </c>
      <c r="CR49" s="12">
        <v>1958</v>
      </c>
      <c r="CS49" s="12">
        <v>2054</v>
      </c>
      <c r="CT49" s="12">
        <v>2125</v>
      </c>
      <c r="CU49" s="12">
        <v>2222</v>
      </c>
      <c r="CV49" s="12">
        <v>2305</v>
      </c>
      <c r="CW49" s="12">
        <v>2375</v>
      </c>
      <c r="CX49" s="12">
        <v>2450</v>
      </c>
      <c r="CY49" s="12">
        <v>2515</v>
      </c>
      <c r="CZ49" s="12">
        <v>2605</v>
      </c>
      <c r="DA49" s="12">
        <v>2715</v>
      </c>
      <c r="DB49" s="12">
        <v>2821</v>
      </c>
      <c r="DC49" s="12">
        <v>2921</v>
      </c>
      <c r="DD49" s="12">
        <v>3026</v>
      </c>
      <c r="DE49" s="12">
        <v>3099</v>
      </c>
      <c r="DF49" s="12">
        <v>3166</v>
      </c>
      <c r="DG49" s="12">
        <v>3243</v>
      </c>
      <c r="DH49" s="12">
        <v>3335</v>
      </c>
      <c r="DI49" s="12">
        <v>3396</v>
      </c>
      <c r="DJ49" s="12">
        <v>3478</v>
      </c>
      <c r="DK49" s="12">
        <v>3526</v>
      </c>
      <c r="DL49" s="12">
        <v>3565</v>
      </c>
      <c r="DM49" s="12">
        <v>3598</v>
      </c>
      <c r="DN49" s="12">
        <v>3689</v>
      </c>
      <c r="DO49" s="12">
        <v>3750</v>
      </c>
      <c r="DP49" s="12">
        <v>3843</v>
      </c>
      <c r="DQ49" s="12">
        <v>3919</v>
      </c>
      <c r="DR49" s="12">
        <v>3990</v>
      </c>
    </row>
    <row r="50" spans="1:122" s="9" customFormat="1">
      <c r="A50" s="9" t="s">
        <v>410</v>
      </c>
      <c r="B50" s="9" t="s">
        <v>409</v>
      </c>
      <c r="C50" s="12">
        <v>7670</v>
      </c>
      <c r="D50" s="12">
        <v>7728</v>
      </c>
      <c r="E50" s="12">
        <v>7779</v>
      </c>
      <c r="F50" s="12">
        <v>7800</v>
      </c>
      <c r="G50" s="12">
        <v>7860</v>
      </c>
      <c r="H50" s="12">
        <v>7913</v>
      </c>
      <c r="I50" s="12">
        <v>7924</v>
      </c>
      <c r="J50" s="12">
        <v>7996</v>
      </c>
      <c r="K50" s="12">
        <v>8027</v>
      </c>
      <c r="L50" s="12">
        <v>8060</v>
      </c>
      <c r="M50" s="12">
        <v>8063</v>
      </c>
      <c r="N50" s="12">
        <v>8098</v>
      </c>
      <c r="O50" s="12">
        <v>8135</v>
      </c>
      <c r="P50" s="12">
        <v>8156</v>
      </c>
      <c r="Q50" s="12">
        <v>8160</v>
      </c>
      <c r="R50" s="12">
        <v>8184</v>
      </c>
      <c r="S50" s="12">
        <v>8205</v>
      </c>
      <c r="T50" s="12">
        <v>8225</v>
      </c>
      <c r="U50" s="12">
        <v>8254</v>
      </c>
      <c r="V50" s="12">
        <v>8293</v>
      </c>
      <c r="W50" s="12">
        <v>8299</v>
      </c>
      <c r="X50" s="12">
        <v>8330</v>
      </c>
      <c r="Y50" s="12">
        <v>8336</v>
      </c>
      <c r="Z50" s="12">
        <v>8339</v>
      </c>
      <c r="AA50" s="12">
        <v>8356</v>
      </c>
      <c r="AB50" s="12">
        <v>8399</v>
      </c>
      <c r="AC50" s="12">
        <v>8412</v>
      </c>
      <c r="AD50" s="12">
        <v>8417</v>
      </c>
      <c r="AE50" s="12">
        <v>8446</v>
      </c>
      <c r="AF50" s="12">
        <v>8441</v>
      </c>
      <c r="AG50" s="12">
        <v>8428</v>
      </c>
      <c r="AH50" s="12">
        <v>8415</v>
      </c>
      <c r="AI50" s="12">
        <v>8362</v>
      </c>
      <c r="AJ50" s="12">
        <v>8371</v>
      </c>
      <c r="AK50" s="12">
        <v>8384</v>
      </c>
      <c r="AL50" s="12">
        <v>8397</v>
      </c>
      <c r="AM50" s="12">
        <v>8378</v>
      </c>
      <c r="AN50" s="12">
        <v>8368</v>
      </c>
      <c r="AO50" s="12">
        <v>8328</v>
      </c>
      <c r="AP50" s="12">
        <v>8304</v>
      </c>
      <c r="AQ50" s="12">
        <v>8287</v>
      </c>
      <c r="AR50" s="12">
        <v>8282</v>
      </c>
      <c r="AS50" s="12">
        <v>8238</v>
      </c>
      <c r="AT50" s="12">
        <v>8236</v>
      </c>
      <c r="AU50" s="12">
        <v>8213</v>
      </c>
      <c r="AV50" s="12">
        <v>8212</v>
      </c>
      <c r="AW50" s="12">
        <v>8197</v>
      </c>
      <c r="AX50" s="12">
        <v>8180</v>
      </c>
      <c r="AY50" s="12">
        <v>8188</v>
      </c>
      <c r="AZ50" s="12">
        <v>8167</v>
      </c>
      <c r="BA50" s="12">
        <v>8166</v>
      </c>
      <c r="BB50" s="12">
        <v>8169</v>
      </c>
      <c r="BC50" s="12">
        <v>8135</v>
      </c>
      <c r="BD50" s="12">
        <v>8120</v>
      </c>
      <c r="BE50" s="12">
        <v>8110</v>
      </c>
      <c r="BF50" s="12">
        <v>8104</v>
      </c>
      <c r="BG50" s="12">
        <v>8101</v>
      </c>
      <c r="BH50" s="12">
        <v>8109</v>
      </c>
      <c r="BI50" s="12">
        <v>8115</v>
      </c>
      <c r="BJ50" s="12">
        <v>8104</v>
      </c>
      <c r="BK50" s="12">
        <v>8108</v>
      </c>
      <c r="BL50" s="12">
        <v>8117</v>
      </c>
      <c r="BM50" s="12">
        <v>8127</v>
      </c>
      <c r="BN50" s="12">
        <v>8146</v>
      </c>
      <c r="BO50" s="12">
        <v>8154</v>
      </c>
      <c r="BP50" s="12">
        <v>8215</v>
      </c>
      <c r="BQ50" s="12">
        <v>8264</v>
      </c>
      <c r="BR50" s="12">
        <v>8328</v>
      </c>
      <c r="BS50" s="12">
        <v>8383</v>
      </c>
      <c r="BT50" s="12">
        <v>8452</v>
      </c>
      <c r="BU50" s="12">
        <v>8498</v>
      </c>
      <c r="BV50" s="12">
        <v>8464</v>
      </c>
      <c r="BW50" s="12">
        <v>8510</v>
      </c>
      <c r="BX50" s="12">
        <v>8582</v>
      </c>
      <c r="BY50" s="12">
        <v>8611</v>
      </c>
      <c r="BZ50" s="12">
        <v>8663</v>
      </c>
      <c r="CA50" s="12">
        <v>8724</v>
      </c>
      <c r="CB50" s="12">
        <v>8792</v>
      </c>
      <c r="CC50" s="12">
        <v>8837</v>
      </c>
      <c r="CD50" s="12">
        <v>8899</v>
      </c>
      <c r="CE50" s="12">
        <v>8948</v>
      </c>
      <c r="CF50" s="12">
        <v>8987</v>
      </c>
      <c r="CG50" s="12">
        <v>9059</v>
      </c>
      <c r="CH50" s="12">
        <v>9087</v>
      </c>
      <c r="CI50" s="12">
        <v>9140</v>
      </c>
      <c r="CJ50" s="12">
        <v>9199</v>
      </c>
      <c r="CK50" s="12">
        <v>9235</v>
      </c>
      <c r="CL50" s="12">
        <v>9272</v>
      </c>
      <c r="CM50" s="12">
        <v>9294</v>
      </c>
      <c r="CN50" s="12">
        <v>9320</v>
      </c>
      <c r="CO50" s="12">
        <v>9370</v>
      </c>
      <c r="CP50" s="12">
        <v>9242</v>
      </c>
      <c r="CQ50" s="12">
        <v>9319</v>
      </c>
      <c r="CR50" s="12">
        <v>9374</v>
      </c>
      <c r="CS50" s="12">
        <v>9419</v>
      </c>
      <c r="CT50" s="12">
        <v>9490</v>
      </c>
      <c r="CU50" s="12">
        <v>9546</v>
      </c>
      <c r="CV50" s="12">
        <v>9598</v>
      </c>
      <c r="CW50" s="12">
        <v>9635</v>
      </c>
      <c r="CX50" s="12">
        <v>9693</v>
      </c>
      <c r="CY50" s="12">
        <v>9744</v>
      </c>
      <c r="CZ50" s="12">
        <v>9811</v>
      </c>
      <c r="DA50" s="12">
        <v>9851</v>
      </c>
      <c r="DB50" s="12">
        <v>9891</v>
      </c>
      <c r="DC50" s="12">
        <v>9722</v>
      </c>
      <c r="DD50" s="12">
        <v>9682</v>
      </c>
      <c r="DE50" s="12">
        <v>9600</v>
      </c>
      <c r="DF50" s="12">
        <v>9577</v>
      </c>
      <c r="DG50" s="12">
        <v>9496</v>
      </c>
      <c r="DH50" s="12">
        <v>9478</v>
      </c>
      <c r="DI50" s="12">
        <v>9371</v>
      </c>
      <c r="DJ50" s="12">
        <v>9297</v>
      </c>
      <c r="DK50" s="12">
        <v>9208</v>
      </c>
      <c r="DL50" s="12">
        <v>9276</v>
      </c>
      <c r="DM50" s="12">
        <v>9173</v>
      </c>
      <c r="DN50" s="12">
        <v>9205</v>
      </c>
      <c r="DO50" s="12">
        <v>9198</v>
      </c>
      <c r="DP50" s="12">
        <v>9240</v>
      </c>
      <c r="DQ50" s="12">
        <v>9227</v>
      </c>
      <c r="DR50" s="12">
        <v>9208</v>
      </c>
    </row>
    <row r="51" spans="1:122" s="9" customFormat="1">
      <c r="A51" s="9" t="s">
        <v>411</v>
      </c>
      <c r="B51" s="9" t="s">
        <v>409</v>
      </c>
      <c r="C51" s="12">
        <v>943764</v>
      </c>
      <c r="D51" s="12">
        <v>948414</v>
      </c>
      <c r="E51" s="12">
        <v>953103</v>
      </c>
      <c r="F51" s="12">
        <v>951169</v>
      </c>
      <c r="G51" s="12">
        <v>949362</v>
      </c>
      <c r="H51" s="12">
        <v>951522</v>
      </c>
      <c r="I51" s="12">
        <v>954556</v>
      </c>
      <c r="J51" s="12">
        <v>957362</v>
      </c>
      <c r="K51" s="12">
        <v>955248</v>
      </c>
      <c r="L51" s="12">
        <v>953802</v>
      </c>
      <c r="M51" s="12">
        <v>949678</v>
      </c>
      <c r="N51" s="12">
        <v>946989</v>
      </c>
      <c r="O51" s="12">
        <v>946689</v>
      </c>
      <c r="P51" s="12">
        <v>946427</v>
      </c>
      <c r="Q51" s="12">
        <v>945989</v>
      </c>
      <c r="R51" s="12">
        <v>943224</v>
      </c>
      <c r="S51" s="12">
        <v>942212</v>
      </c>
      <c r="T51" s="12">
        <v>942507</v>
      </c>
      <c r="U51" s="12">
        <v>945185</v>
      </c>
      <c r="V51" s="12">
        <v>947922</v>
      </c>
      <c r="W51" s="12">
        <v>948425</v>
      </c>
      <c r="X51" s="12">
        <v>947923</v>
      </c>
      <c r="Y51" s="12">
        <v>948279</v>
      </c>
      <c r="Z51" s="12">
        <v>946821</v>
      </c>
      <c r="AA51" s="12">
        <v>947843</v>
      </c>
      <c r="AB51" s="12">
        <v>951625</v>
      </c>
      <c r="AC51" s="12">
        <v>954731</v>
      </c>
      <c r="AD51" s="12">
        <v>954117</v>
      </c>
      <c r="AE51" s="12">
        <v>953055</v>
      </c>
      <c r="AF51" s="12">
        <v>952390</v>
      </c>
      <c r="AG51" s="12">
        <v>951711</v>
      </c>
      <c r="AH51" s="12">
        <v>951913</v>
      </c>
      <c r="AI51" s="12">
        <v>949410</v>
      </c>
      <c r="AJ51" s="12">
        <v>947840</v>
      </c>
      <c r="AK51" s="12">
        <v>942939</v>
      </c>
      <c r="AL51" s="12">
        <v>938424</v>
      </c>
      <c r="AM51" s="12">
        <v>934304</v>
      </c>
      <c r="AN51" s="12">
        <v>931613</v>
      </c>
      <c r="AO51" s="12">
        <v>931659</v>
      </c>
      <c r="AP51" s="12">
        <v>928338</v>
      </c>
      <c r="AQ51" s="12">
        <v>926720</v>
      </c>
      <c r="AR51" s="12">
        <v>925168</v>
      </c>
      <c r="AS51" s="12">
        <v>925802</v>
      </c>
      <c r="AT51" s="12">
        <v>925532</v>
      </c>
      <c r="AU51" s="12">
        <v>923503</v>
      </c>
      <c r="AV51" s="12">
        <v>920305</v>
      </c>
      <c r="AW51" s="12">
        <v>916310</v>
      </c>
      <c r="AX51" s="12">
        <v>912096</v>
      </c>
      <c r="AY51" s="12">
        <v>912671</v>
      </c>
      <c r="AZ51" s="12">
        <v>914617</v>
      </c>
      <c r="BA51" s="12">
        <v>916535</v>
      </c>
      <c r="BB51" s="12">
        <v>917578</v>
      </c>
      <c r="BC51" s="12">
        <v>916113</v>
      </c>
      <c r="BD51" s="12">
        <v>915105</v>
      </c>
      <c r="BE51" s="12">
        <v>913637</v>
      </c>
      <c r="BF51" s="12">
        <v>913012</v>
      </c>
      <c r="BG51" s="12">
        <v>910958</v>
      </c>
      <c r="BH51" s="12">
        <v>909510</v>
      </c>
      <c r="BI51" s="12">
        <v>906540</v>
      </c>
      <c r="BJ51" s="12">
        <v>904385</v>
      </c>
      <c r="BK51" s="12">
        <v>931970</v>
      </c>
      <c r="BL51" s="12">
        <v>932647</v>
      </c>
      <c r="BM51" s="12">
        <v>934488</v>
      </c>
      <c r="BN51" s="12">
        <v>936188</v>
      </c>
      <c r="BO51" s="12">
        <v>935532</v>
      </c>
      <c r="BP51" s="12">
        <v>942421</v>
      </c>
      <c r="BQ51" s="12">
        <v>949989</v>
      </c>
      <c r="BR51" s="12">
        <v>955713</v>
      </c>
      <c r="BS51" s="12">
        <v>960283</v>
      </c>
      <c r="BT51" s="12">
        <v>965955</v>
      </c>
      <c r="BU51" s="12">
        <v>970401</v>
      </c>
      <c r="BV51" s="12">
        <v>960230</v>
      </c>
      <c r="BW51" s="12">
        <v>967574</v>
      </c>
      <c r="BX51" s="12">
        <v>975171</v>
      </c>
      <c r="BY51" s="12">
        <v>980781</v>
      </c>
      <c r="BZ51" s="12">
        <v>985414</v>
      </c>
      <c r="CA51" s="12">
        <v>990304</v>
      </c>
      <c r="CB51" s="12">
        <v>995414</v>
      </c>
      <c r="CC51" s="12">
        <v>1001668</v>
      </c>
      <c r="CD51" s="12">
        <v>1007008</v>
      </c>
      <c r="CE51" s="12">
        <v>1012538</v>
      </c>
      <c r="CF51" s="12">
        <v>1017107</v>
      </c>
      <c r="CG51" s="12">
        <v>1024718</v>
      </c>
      <c r="CH51" s="12">
        <v>1028893</v>
      </c>
      <c r="CI51" s="12">
        <v>1035828</v>
      </c>
      <c r="CJ51" s="12">
        <v>1045085</v>
      </c>
      <c r="CK51" s="12">
        <v>1052746</v>
      </c>
      <c r="CL51" s="12">
        <v>1059051</v>
      </c>
      <c r="CM51" s="12">
        <v>1065242</v>
      </c>
      <c r="CN51" s="12">
        <v>1071277</v>
      </c>
      <c r="CO51" s="12">
        <v>1077697</v>
      </c>
      <c r="CP51" s="12">
        <v>1049335</v>
      </c>
      <c r="CQ51" s="12">
        <v>1055497</v>
      </c>
      <c r="CR51" s="12">
        <v>1061378</v>
      </c>
      <c r="CS51" s="12">
        <v>1067577</v>
      </c>
      <c r="CT51" s="12">
        <v>1073532</v>
      </c>
      <c r="CU51" s="12">
        <v>1081277</v>
      </c>
      <c r="CV51" s="12">
        <v>1090822</v>
      </c>
      <c r="CW51" s="12">
        <v>1099113</v>
      </c>
      <c r="CX51" s="12">
        <v>1106468</v>
      </c>
      <c r="CY51" s="12">
        <v>1112406</v>
      </c>
      <c r="CZ51" s="12">
        <v>1117951</v>
      </c>
      <c r="DA51" s="12">
        <v>1124216</v>
      </c>
      <c r="DB51" s="12">
        <v>1129296</v>
      </c>
      <c r="DC51" s="12">
        <v>1102050</v>
      </c>
      <c r="DD51" s="12">
        <v>1091934</v>
      </c>
      <c r="DE51" s="12">
        <v>1076321</v>
      </c>
      <c r="DF51" s="12">
        <v>1066084</v>
      </c>
      <c r="DG51" s="12">
        <v>1053773</v>
      </c>
      <c r="DH51" s="12">
        <v>1042848</v>
      </c>
      <c r="DI51" s="12">
        <v>1033273</v>
      </c>
      <c r="DJ51" s="12">
        <v>1021854</v>
      </c>
      <c r="DK51" s="12">
        <v>1008471</v>
      </c>
      <c r="DL51" s="12">
        <v>1013346</v>
      </c>
      <c r="DM51" s="12">
        <v>1002818</v>
      </c>
      <c r="DN51" s="12">
        <v>1001933</v>
      </c>
      <c r="DO51" s="12">
        <v>1001677</v>
      </c>
      <c r="DP51" s="12">
        <v>1003256</v>
      </c>
      <c r="DQ51" s="12">
        <v>1004614</v>
      </c>
      <c r="DR51" s="12">
        <v>1005737</v>
      </c>
    </row>
    <row r="52" spans="1:122" s="9" customFormat="1">
      <c r="A52" s="9" t="s">
        <v>412</v>
      </c>
      <c r="B52" s="9" t="s">
        <v>409</v>
      </c>
      <c r="C52" s="209">
        <v>0</v>
      </c>
      <c r="D52" s="209">
        <v>0</v>
      </c>
      <c r="E52" s="209">
        <v>0</v>
      </c>
      <c r="F52" s="209">
        <v>0</v>
      </c>
      <c r="G52" s="209">
        <v>0</v>
      </c>
      <c r="H52" s="209">
        <v>0</v>
      </c>
      <c r="I52" s="209">
        <v>0</v>
      </c>
      <c r="J52" s="209">
        <v>0</v>
      </c>
      <c r="K52" s="209">
        <v>0</v>
      </c>
      <c r="L52" s="209">
        <v>0</v>
      </c>
      <c r="M52" s="209">
        <v>0</v>
      </c>
      <c r="N52" s="209">
        <v>0</v>
      </c>
      <c r="O52" s="209">
        <v>0</v>
      </c>
      <c r="P52" s="209">
        <v>0</v>
      </c>
      <c r="Q52" s="209">
        <v>0</v>
      </c>
      <c r="R52" s="209">
        <v>0</v>
      </c>
      <c r="S52" s="209">
        <v>0</v>
      </c>
      <c r="T52" s="209">
        <v>0</v>
      </c>
      <c r="U52" s="209">
        <v>0</v>
      </c>
      <c r="V52" s="209">
        <v>0</v>
      </c>
      <c r="W52" s="209">
        <v>0</v>
      </c>
      <c r="X52" s="209">
        <v>0</v>
      </c>
      <c r="Y52" s="209">
        <v>0</v>
      </c>
      <c r="Z52" s="209">
        <v>0</v>
      </c>
      <c r="AA52" s="209">
        <v>0</v>
      </c>
      <c r="AB52" s="209">
        <v>0</v>
      </c>
      <c r="AC52" s="209">
        <v>0</v>
      </c>
      <c r="AD52" s="209">
        <v>0</v>
      </c>
      <c r="AE52" s="209">
        <v>0</v>
      </c>
      <c r="AF52" s="209">
        <v>0</v>
      </c>
      <c r="AG52" s="209">
        <v>0</v>
      </c>
      <c r="AH52" s="209">
        <v>0</v>
      </c>
      <c r="AI52" s="209">
        <v>0</v>
      </c>
      <c r="AJ52" s="209">
        <v>0</v>
      </c>
      <c r="AK52" s="209">
        <v>0</v>
      </c>
      <c r="AL52" s="209">
        <v>0</v>
      </c>
      <c r="AM52" s="209">
        <v>0</v>
      </c>
      <c r="AN52" s="209">
        <v>0</v>
      </c>
      <c r="AO52" s="209">
        <v>0</v>
      </c>
      <c r="AP52" s="209">
        <v>0</v>
      </c>
      <c r="AQ52" s="209">
        <v>0</v>
      </c>
      <c r="AR52" s="209">
        <v>0</v>
      </c>
      <c r="AS52" s="209">
        <v>0</v>
      </c>
      <c r="AT52" s="209">
        <v>0</v>
      </c>
      <c r="AU52" s="209">
        <v>0</v>
      </c>
      <c r="AV52" s="209">
        <v>0</v>
      </c>
      <c r="AW52" s="209">
        <v>0</v>
      </c>
      <c r="AX52" s="209">
        <v>0</v>
      </c>
      <c r="AY52" s="209">
        <v>0</v>
      </c>
      <c r="AZ52" s="209">
        <v>0</v>
      </c>
      <c r="BA52" s="209">
        <v>0</v>
      </c>
      <c r="BB52" s="209">
        <v>0</v>
      </c>
      <c r="BC52" s="209">
        <v>0</v>
      </c>
      <c r="BD52" s="209">
        <v>0</v>
      </c>
      <c r="BE52" s="209">
        <v>0</v>
      </c>
      <c r="BF52" s="209">
        <v>0</v>
      </c>
      <c r="BG52" s="209">
        <v>0</v>
      </c>
      <c r="BH52" s="209">
        <v>0</v>
      </c>
      <c r="BI52" s="209">
        <v>0</v>
      </c>
      <c r="BJ52" s="209">
        <v>0</v>
      </c>
      <c r="BK52" s="12">
        <v>7217</v>
      </c>
      <c r="BL52" s="12">
        <v>9628</v>
      </c>
      <c r="BM52" s="12">
        <v>9714</v>
      </c>
      <c r="BN52" s="12">
        <v>9829</v>
      </c>
      <c r="BO52" s="12">
        <v>9912</v>
      </c>
      <c r="BP52" s="12">
        <v>10015</v>
      </c>
      <c r="BQ52" s="12">
        <v>10085</v>
      </c>
      <c r="BR52" s="12">
        <v>10182</v>
      </c>
      <c r="BS52" s="12">
        <v>10299</v>
      </c>
      <c r="BT52" s="12">
        <v>10400</v>
      </c>
      <c r="BU52" s="12">
        <v>10604</v>
      </c>
      <c r="BV52" s="12">
        <v>10739</v>
      </c>
      <c r="BW52" s="12">
        <v>10927</v>
      </c>
      <c r="BX52" s="12">
        <v>11081</v>
      </c>
      <c r="BY52" s="12">
        <v>11294</v>
      </c>
      <c r="BZ52" s="12">
        <v>11545</v>
      </c>
      <c r="CA52" s="12">
        <v>11799</v>
      </c>
      <c r="CB52" s="12">
        <v>11996</v>
      </c>
      <c r="CC52" s="12">
        <v>12241</v>
      </c>
      <c r="CD52" s="12">
        <v>12458</v>
      </c>
      <c r="CE52" s="12">
        <v>12699</v>
      </c>
      <c r="CF52" s="12">
        <v>12927</v>
      </c>
      <c r="CG52" s="12">
        <v>13268</v>
      </c>
      <c r="CH52" s="12">
        <v>13458</v>
      </c>
      <c r="CI52" s="12">
        <v>13886</v>
      </c>
      <c r="CJ52" s="12">
        <v>14246</v>
      </c>
      <c r="CK52" s="12">
        <v>14550</v>
      </c>
      <c r="CL52" s="12">
        <v>14746</v>
      </c>
      <c r="CM52" s="12">
        <v>15022</v>
      </c>
      <c r="CN52" s="12">
        <v>15258</v>
      </c>
      <c r="CO52" s="12">
        <v>15563</v>
      </c>
      <c r="CP52" s="12">
        <v>15748</v>
      </c>
      <c r="CQ52" s="12">
        <v>16069</v>
      </c>
      <c r="CR52" s="12">
        <v>16388</v>
      </c>
      <c r="CS52" s="12">
        <v>16636</v>
      </c>
      <c r="CT52" s="12">
        <v>16792</v>
      </c>
      <c r="CU52" s="12">
        <v>16955</v>
      </c>
      <c r="CV52" s="12">
        <v>17262</v>
      </c>
      <c r="CW52" s="12">
        <v>17437</v>
      </c>
      <c r="CX52" s="12">
        <v>17622</v>
      </c>
      <c r="CY52" s="12">
        <v>17839</v>
      </c>
      <c r="CZ52" s="12">
        <v>18159</v>
      </c>
      <c r="DA52" s="12">
        <v>18471</v>
      </c>
      <c r="DB52" s="12">
        <v>18741</v>
      </c>
      <c r="DC52" s="12">
        <v>18865</v>
      </c>
      <c r="DD52" s="12">
        <v>19089</v>
      </c>
      <c r="DE52" s="12">
        <v>19256</v>
      </c>
      <c r="DF52" s="12">
        <v>19496</v>
      </c>
      <c r="DG52" s="12">
        <v>19701</v>
      </c>
      <c r="DH52" s="12">
        <v>20065</v>
      </c>
      <c r="DI52" s="12">
        <v>20050</v>
      </c>
      <c r="DJ52" s="12">
        <v>20122</v>
      </c>
      <c r="DK52" s="12">
        <v>20262</v>
      </c>
      <c r="DL52" s="12">
        <v>20447</v>
      </c>
      <c r="DM52" s="12">
        <v>20480</v>
      </c>
      <c r="DN52" s="12">
        <v>20681</v>
      </c>
      <c r="DO52" s="12">
        <v>20827</v>
      </c>
      <c r="DP52" s="12">
        <v>20969</v>
      </c>
      <c r="DQ52" s="12">
        <v>21064</v>
      </c>
      <c r="DR52" s="12">
        <v>21124</v>
      </c>
    </row>
    <row r="53" spans="1:122" s="9" customFormat="1">
      <c r="A53" s="9" t="s">
        <v>413</v>
      </c>
      <c r="B53" s="9" t="s">
        <v>409</v>
      </c>
      <c r="C53" s="12">
        <v>14610</v>
      </c>
      <c r="D53" s="12">
        <v>14930</v>
      </c>
      <c r="E53" s="12">
        <v>15002</v>
      </c>
      <c r="F53" s="12">
        <v>14887</v>
      </c>
      <c r="G53" s="12">
        <v>14841</v>
      </c>
      <c r="H53" s="12">
        <v>14855</v>
      </c>
      <c r="I53" s="12">
        <v>15024</v>
      </c>
      <c r="J53" s="12">
        <v>15174</v>
      </c>
      <c r="K53" s="12">
        <v>15379</v>
      </c>
      <c r="L53" s="12">
        <v>15622</v>
      </c>
      <c r="M53" s="12">
        <v>15868</v>
      </c>
      <c r="N53" s="12">
        <v>16129</v>
      </c>
      <c r="O53" s="12">
        <v>16425</v>
      </c>
      <c r="P53" s="12">
        <v>16603</v>
      </c>
      <c r="Q53" s="12">
        <v>16751</v>
      </c>
      <c r="R53" s="12">
        <v>16479</v>
      </c>
      <c r="S53" s="12">
        <v>16605</v>
      </c>
      <c r="T53" s="12">
        <v>16920</v>
      </c>
      <c r="U53" s="12">
        <v>17207</v>
      </c>
      <c r="V53" s="12">
        <v>17376</v>
      </c>
      <c r="W53" s="12">
        <v>17493</v>
      </c>
      <c r="X53" s="12">
        <v>17757</v>
      </c>
      <c r="Y53" s="12">
        <v>18078</v>
      </c>
      <c r="Z53" s="12">
        <v>18274</v>
      </c>
      <c r="AA53" s="12">
        <v>18692</v>
      </c>
      <c r="AB53" s="12">
        <v>19149</v>
      </c>
      <c r="AC53" s="12">
        <v>19546</v>
      </c>
      <c r="AD53" s="12">
        <v>20042</v>
      </c>
      <c r="AE53" s="12">
        <v>20266</v>
      </c>
      <c r="AF53" s="12">
        <v>20509</v>
      </c>
      <c r="AG53" s="12">
        <v>20748</v>
      </c>
      <c r="AH53" s="12">
        <v>20995</v>
      </c>
      <c r="AI53" s="12">
        <v>21080</v>
      </c>
      <c r="AJ53" s="12">
        <v>21287</v>
      </c>
      <c r="AK53" s="12">
        <v>21367</v>
      </c>
      <c r="AL53" s="12">
        <v>21559</v>
      </c>
      <c r="AM53" s="12">
        <v>21810</v>
      </c>
      <c r="AN53" s="12">
        <v>22539</v>
      </c>
      <c r="AO53" s="12">
        <v>22793</v>
      </c>
      <c r="AP53" s="12">
        <v>22812</v>
      </c>
      <c r="AQ53" s="12">
        <v>22965</v>
      </c>
      <c r="AR53" s="12">
        <v>23503</v>
      </c>
      <c r="AS53" s="12">
        <v>24389</v>
      </c>
      <c r="AT53" s="12">
        <v>25668</v>
      </c>
      <c r="AU53" s="12">
        <v>25810</v>
      </c>
      <c r="AV53" s="12">
        <v>25853</v>
      </c>
      <c r="AW53" s="12">
        <v>26411</v>
      </c>
      <c r="AX53" s="12">
        <v>26996</v>
      </c>
      <c r="AY53" s="12">
        <v>28055</v>
      </c>
      <c r="AZ53" s="12">
        <v>29587</v>
      </c>
      <c r="BA53" s="12">
        <v>30248</v>
      </c>
      <c r="BB53" s="12">
        <v>30615</v>
      </c>
      <c r="BC53" s="12">
        <v>30995</v>
      </c>
      <c r="BD53" s="12">
        <v>32014</v>
      </c>
      <c r="BE53" s="12">
        <v>32672</v>
      </c>
      <c r="BF53" s="12">
        <v>33804</v>
      </c>
      <c r="BG53" s="12">
        <v>34071</v>
      </c>
      <c r="BH53" s="12">
        <v>34174</v>
      </c>
      <c r="BI53" s="12">
        <v>34090</v>
      </c>
      <c r="BJ53" s="12">
        <v>34088</v>
      </c>
      <c r="BK53" s="12">
        <v>254</v>
      </c>
      <c r="BL53" s="12">
        <v>254</v>
      </c>
      <c r="BM53" s="12">
        <v>255</v>
      </c>
      <c r="BN53" s="12">
        <v>255</v>
      </c>
      <c r="BO53" s="12">
        <v>255</v>
      </c>
      <c r="BP53" s="12">
        <v>255</v>
      </c>
      <c r="BQ53" s="12">
        <v>253</v>
      </c>
      <c r="BR53" s="12">
        <v>255</v>
      </c>
      <c r="BS53" s="12">
        <v>256</v>
      </c>
      <c r="BT53" s="12">
        <v>256</v>
      </c>
      <c r="BU53" s="12">
        <v>259</v>
      </c>
      <c r="BV53" s="12">
        <v>253</v>
      </c>
      <c r="BW53" s="12">
        <v>253</v>
      </c>
      <c r="BX53" s="12">
        <v>252</v>
      </c>
      <c r="BY53" s="12">
        <v>252</v>
      </c>
      <c r="BZ53" s="12">
        <v>251</v>
      </c>
      <c r="CA53" s="12">
        <v>250</v>
      </c>
      <c r="CB53" s="12">
        <v>251</v>
      </c>
      <c r="CC53" s="12">
        <v>251</v>
      </c>
      <c r="CD53" s="12">
        <v>250</v>
      </c>
      <c r="CE53" s="12">
        <v>250</v>
      </c>
      <c r="CF53" s="12">
        <v>247</v>
      </c>
      <c r="CG53" s="12">
        <v>248</v>
      </c>
      <c r="CH53" s="12">
        <v>248</v>
      </c>
      <c r="CI53" s="12">
        <v>249</v>
      </c>
      <c r="CJ53" s="12">
        <v>249</v>
      </c>
      <c r="CK53" s="12">
        <v>249</v>
      </c>
      <c r="CL53" s="12">
        <v>249</v>
      </c>
      <c r="CM53" s="12">
        <v>248</v>
      </c>
      <c r="CN53" s="12">
        <v>248</v>
      </c>
      <c r="CO53" s="12">
        <v>248</v>
      </c>
      <c r="CP53" s="12">
        <v>239</v>
      </c>
      <c r="CQ53" s="12">
        <v>240</v>
      </c>
      <c r="CR53" s="12">
        <v>236</v>
      </c>
      <c r="CS53" s="12">
        <v>236</v>
      </c>
      <c r="CT53" s="12">
        <v>238</v>
      </c>
      <c r="CU53" s="12">
        <v>237</v>
      </c>
      <c r="CV53" s="12">
        <v>239</v>
      </c>
      <c r="CW53" s="12">
        <v>241</v>
      </c>
      <c r="CX53" s="12">
        <v>244</v>
      </c>
      <c r="CY53" s="12">
        <v>244</v>
      </c>
      <c r="CZ53" s="12">
        <v>244</v>
      </c>
      <c r="DA53" s="12">
        <v>242</v>
      </c>
      <c r="DB53" s="12">
        <v>243</v>
      </c>
      <c r="DC53" s="12">
        <v>234</v>
      </c>
      <c r="DD53" s="12">
        <v>227</v>
      </c>
      <c r="DE53" s="12">
        <v>227</v>
      </c>
      <c r="DF53" s="12">
        <v>224</v>
      </c>
      <c r="DG53" s="12">
        <v>226</v>
      </c>
      <c r="DH53" s="12">
        <v>219</v>
      </c>
      <c r="DI53" s="12">
        <v>210</v>
      </c>
      <c r="DJ53" s="12">
        <v>210</v>
      </c>
      <c r="DK53" s="12">
        <v>207</v>
      </c>
      <c r="DL53" s="12">
        <v>208</v>
      </c>
      <c r="DM53" s="12">
        <v>205</v>
      </c>
      <c r="DN53" s="12">
        <v>202</v>
      </c>
      <c r="DO53" s="12">
        <v>201</v>
      </c>
      <c r="DP53" s="12">
        <v>200</v>
      </c>
      <c r="DQ53" s="12">
        <v>199</v>
      </c>
      <c r="DR53" s="12">
        <v>200</v>
      </c>
    </row>
    <row r="54" spans="1:122" s="9" customFormat="1">
      <c r="A54" s="9" t="s">
        <v>414</v>
      </c>
      <c r="B54" s="9" t="s">
        <v>409</v>
      </c>
      <c r="C54" s="12">
        <v>3</v>
      </c>
      <c r="D54" s="12">
        <v>3</v>
      </c>
      <c r="E54" s="12">
        <v>3</v>
      </c>
      <c r="F54" s="12">
        <v>3</v>
      </c>
      <c r="G54" s="12">
        <v>3</v>
      </c>
      <c r="H54" s="12">
        <v>3</v>
      </c>
      <c r="I54" s="12">
        <v>3</v>
      </c>
      <c r="J54" s="12">
        <v>3</v>
      </c>
      <c r="K54" s="12">
        <v>2</v>
      </c>
      <c r="L54" s="12">
        <v>2</v>
      </c>
      <c r="M54" s="12">
        <v>2</v>
      </c>
      <c r="N54" s="12">
        <v>2</v>
      </c>
      <c r="O54" s="12">
        <v>2</v>
      </c>
      <c r="P54" s="12">
        <v>2</v>
      </c>
      <c r="Q54" s="12">
        <v>2</v>
      </c>
      <c r="R54" s="12">
        <v>2</v>
      </c>
      <c r="S54" s="12">
        <v>2</v>
      </c>
      <c r="T54" s="12">
        <v>3</v>
      </c>
      <c r="U54" s="12">
        <v>3</v>
      </c>
      <c r="V54" s="12">
        <v>3</v>
      </c>
      <c r="W54" s="12">
        <v>3</v>
      </c>
      <c r="X54" s="12">
        <v>3</v>
      </c>
      <c r="Y54" s="12">
        <v>3</v>
      </c>
      <c r="Z54" s="12">
        <v>3</v>
      </c>
      <c r="AA54" s="12">
        <v>3</v>
      </c>
      <c r="AB54" s="12">
        <v>3</v>
      </c>
      <c r="AC54" s="12">
        <v>3</v>
      </c>
      <c r="AD54" s="12">
        <v>3</v>
      </c>
      <c r="AE54" s="12">
        <v>3</v>
      </c>
      <c r="AF54" s="12">
        <v>3</v>
      </c>
      <c r="AG54" s="12">
        <v>3</v>
      </c>
      <c r="AH54" s="12">
        <v>3</v>
      </c>
      <c r="AI54" s="12">
        <v>3</v>
      </c>
      <c r="AJ54" s="12">
        <v>3</v>
      </c>
      <c r="AK54" s="12">
        <v>3</v>
      </c>
      <c r="AL54" s="12">
        <v>3</v>
      </c>
      <c r="AM54" s="12">
        <v>3</v>
      </c>
      <c r="AN54" s="12">
        <v>3</v>
      </c>
      <c r="AO54" s="12">
        <v>3</v>
      </c>
      <c r="AP54" s="12">
        <v>3</v>
      </c>
      <c r="AQ54" s="12">
        <v>3</v>
      </c>
      <c r="AR54" s="12">
        <v>3</v>
      </c>
      <c r="AS54" s="12">
        <v>3</v>
      </c>
      <c r="AT54" s="12">
        <v>3</v>
      </c>
      <c r="AU54" s="12">
        <v>3</v>
      </c>
      <c r="AV54" s="12">
        <v>3</v>
      </c>
      <c r="AW54" s="12">
        <v>3</v>
      </c>
      <c r="AX54" s="12">
        <v>3</v>
      </c>
      <c r="AY54" s="12">
        <v>3</v>
      </c>
      <c r="AZ54" s="12">
        <v>3</v>
      </c>
      <c r="BA54" s="12">
        <v>3</v>
      </c>
      <c r="BB54" s="12">
        <v>3</v>
      </c>
      <c r="BC54" s="12">
        <v>3</v>
      </c>
      <c r="BD54" s="12">
        <v>3</v>
      </c>
      <c r="BE54" s="12">
        <v>3</v>
      </c>
      <c r="BF54" s="12">
        <v>3</v>
      </c>
      <c r="BG54" s="12">
        <v>2</v>
      </c>
      <c r="BH54" s="12">
        <v>2</v>
      </c>
      <c r="BI54" s="12">
        <v>1</v>
      </c>
      <c r="BJ54" s="12">
        <v>1</v>
      </c>
      <c r="BK54" s="12">
        <v>3</v>
      </c>
      <c r="BL54" s="12">
        <v>3</v>
      </c>
      <c r="BM54" s="12">
        <v>3</v>
      </c>
      <c r="BN54" s="12">
        <v>3</v>
      </c>
      <c r="BO54" s="12">
        <v>3</v>
      </c>
      <c r="BP54" s="12">
        <v>3</v>
      </c>
      <c r="BQ54" s="12">
        <v>4</v>
      </c>
      <c r="BR54" s="12">
        <v>4</v>
      </c>
      <c r="BS54" s="12">
        <v>4</v>
      </c>
      <c r="BT54" s="12">
        <v>4</v>
      </c>
      <c r="BU54" s="12">
        <v>4</v>
      </c>
      <c r="BV54" s="12">
        <v>4</v>
      </c>
      <c r="BW54" s="12">
        <v>4</v>
      </c>
      <c r="BX54" s="12">
        <v>4</v>
      </c>
      <c r="BY54" s="12">
        <v>4</v>
      </c>
      <c r="BZ54" s="12">
        <v>4</v>
      </c>
      <c r="CA54" s="12">
        <v>4</v>
      </c>
      <c r="CB54" s="12">
        <v>4</v>
      </c>
      <c r="CC54" s="12">
        <v>4</v>
      </c>
      <c r="CD54" s="12">
        <v>4</v>
      </c>
      <c r="CE54" s="12">
        <v>4</v>
      </c>
      <c r="CF54" s="12">
        <v>4</v>
      </c>
      <c r="CG54" s="12">
        <v>4</v>
      </c>
      <c r="CH54" s="12">
        <v>4</v>
      </c>
      <c r="CI54" s="12">
        <v>5</v>
      </c>
      <c r="CJ54" s="12">
        <v>5</v>
      </c>
      <c r="CK54" s="12">
        <v>5</v>
      </c>
      <c r="CL54" s="12">
        <v>5</v>
      </c>
      <c r="CM54" s="12">
        <v>5</v>
      </c>
      <c r="CN54" s="12">
        <v>5</v>
      </c>
      <c r="CO54" s="12">
        <v>5</v>
      </c>
      <c r="CP54" s="12">
        <v>4</v>
      </c>
      <c r="CQ54" s="12">
        <v>4</v>
      </c>
      <c r="CR54" s="12">
        <v>4</v>
      </c>
      <c r="CS54" s="12">
        <v>5</v>
      </c>
      <c r="CT54" s="12">
        <v>5</v>
      </c>
      <c r="CU54" s="12">
        <v>5</v>
      </c>
      <c r="CV54" s="12">
        <v>5</v>
      </c>
      <c r="CW54" s="12">
        <v>5</v>
      </c>
      <c r="CX54" s="12">
        <v>5</v>
      </c>
      <c r="CY54" s="12">
        <v>5</v>
      </c>
      <c r="CZ54" s="12">
        <v>5</v>
      </c>
      <c r="DA54" s="12">
        <v>5</v>
      </c>
      <c r="DB54" s="12">
        <v>5</v>
      </c>
      <c r="DC54" s="12">
        <v>4</v>
      </c>
      <c r="DD54" s="12">
        <v>4</v>
      </c>
      <c r="DE54" s="12">
        <v>4</v>
      </c>
      <c r="DF54" s="12">
        <v>4</v>
      </c>
      <c r="DG54" s="12">
        <v>4</v>
      </c>
      <c r="DH54" s="12">
        <v>4</v>
      </c>
      <c r="DI54" s="12">
        <v>4</v>
      </c>
      <c r="DJ54" s="12">
        <v>4</v>
      </c>
      <c r="DK54" s="12">
        <v>4</v>
      </c>
      <c r="DL54" s="12">
        <v>4</v>
      </c>
      <c r="DM54" s="12">
        <v>4</v>
      </c>
      <c r="DN54" s="12">
        <v>4</v>
      </c>
      <c r="DO54" s="12">
        <v>3</v>
      </c>
      <c r="DP54" s="12">
        <v>4</v>
      </c>
      <c r="DQ54" s="12">
        <v>4</v>
      </c>
      <c r="DR54" s="12">
        <v>3</v>
      </c>
    </row>
    <row r="55" spans="1:122" s="9" customFormat="1">
      <c r="A55" s="9" t="s">
        <v>415</v>
      </c>
      <c r="B55" s="9" t="s">
        <v>409</v>
      </c>
      <c r="C55" s="12">
        <v>16753</v>
      </c>
      <c r="D55" s="12">
        <v>16920</v>
      </c>
      <c r="E55" s="12">
        <v>17111</v>
      </c>
      <c r="F55" s="12">
        <v>17303</v>
      </c>
      <c r="G55" s="12">
        <v>17571</v>
      </c>
      <c r="H55" s="12">
        <v>17811</v>
      </c>
      <c r="I55" s="12">
        <v>18047</v>
      </c>
      <c r="J55" s="12">
        <v>18278</v>
      </c>
      <c r="K55" s="12">
        <v>18440</v>
      </c>
      <c r="L55" s="12">
        <v>18681</v>
      </c>
      <c r="M55" s="12">
        <v>18865</v>
      </c>
      <c r="N55" s="12">
        <v>19054</v>
      </c>
      <c r="O55" s="12">
        <v>19202</v>
      </c>
      <c r="P55" s="12">
        <v>19368</v>
      </c>
      <c r="Q55" s="12">
        <v>19527</v>
      </c>
      <c r="R55" s="12">
        <v>19680</v>
      </c>
      <c r="S55" s="12">
        <v>19881</v>
      </c>
      <c r="T55" s="12">
        <v>20019</v>
      </c>
      <c r="U55" s="12">
        <v>20186</v>
      </c>
      <c r="V55" s="12">
        <v>20355</v>
      </c>
      <c r="W55" s="12">
        <v>20494</v>
      </c>
      <c r="X55" s="12">
        <v>20610</v>
      </c>
      <c r="Y55" s="12">
        <v>20740</v>
      </c>
      <c r="Z55" s="12">
        <v>20840</v>
      </c>
      <c r="AA55" s="12">
        <v>20952</v>
      </c>
      <c r="AB55" s="12">
        <v>21079</v>
      </c>
      <c r="AC55" s="12">
        <v>21174</v>
      </c>
      <c r="AD55" s="12">
        <v>21324</v>
      </c>
      <c r="AE55" s="12">
        <v>21421</v>
      </c>
      <c r="AF55" s="12">
        <v>21533</v>
      </c>
      <c r="AG55" s="12">
        <v>21571</v>
      </c>
      <c r="AH55" s="12">
        <v>21604</v>
      </c>
      <c r="AI55" s="12">
        <v>21664</v>
      </c>
      <c r="AJ55" s="12">
        <v>21698</v>
      </c>
      <c r="AK55" s="12">
        <v>21727</v>
      </c>
      <c r="AL55" s="12">
        <v>21732</v>
      </c>
      <c r="AM55" s="12">
        <v>21686</v>
      </c>
      <c r="AN55" s="12">
        <v>21693</v>
      </c>
      <c r="AO55" s="12">
        <v>21704</v>
      </c>
      <c r="AP55" s="12">
        <v>21690</v>
      </c>
      <c r="AQ55" s="12">
        <v>21648</v>
      </c>
      <c r="AR55" s="12">
        <v>21634</v>
      </c>
      <c r="AS55" s="12">
        <v>21620</v>
      </c>
      <c r="AT55" s="12">
        <v>21611</v>
      </c>
      <c r="AU55" s="12">
        <v>21626</v>
      </c>
      <c r="AV55" s="12">
        <v>21608</v>
      </c>
      <c r="AW55" s="12">
        <v>21626</v>
      </c>
      <c r="AX55" s="12">
        <v>21604</v>
      </c>
      <c r="AY55" s="12">
        <v>21577</v>
      </c>
      <c r="AZ55" s="12">
        <v>21601</v>
      </c>
      <c r="BA55" s="12">
        <v>21572</v>
      </c>
      <c r="BB55" s="12">
        <v>21555</v>
      </c>
      <c r="BC55" s="12">
        <v>21544</v>
      </c>
      <c r="BD55" s="12">
        <v>21535</v>
      </c>
      <c r="BE55" s="12">
        <v>21523</v>
      </c>
      <c r="BF55" s="12">
        <v>21489</v>
      </c>
      <c r="BG55" s="12">
        <v>21500</v>
      </c>
      <c r="BH55" s="12">
        <v>21496</v>
      </c>
      <c r="BI55" s="12">
        <v>21485</v>
      </c>
      <c r="BJ55" s="12">
        <v>21455</v>
      </c>
      <c r="BK55" s="12">
        <v>21469</v>
      </c>
      <c r="BL55" s="12">
        <v>21492</v>
      </c>
      <c r="BM55" s="12">
        <v>21466</v>
      </c>
      <c r="BN55" s="12">
        <v>21453</v>
      </c>
      <c r="BO55" s="12">
        <v>21436</v>
      </c>
      <c r="BP55" s="12">
        <v>21497</v>
      </c>
      <c r="BQ55" s="12">
        <v>21553</v>
      </c>
      <c r="BR55" s="12">
        <v>21623</v>
      </c>
      <c r="BS55" s="12">
        <v>21666</v>
      </c>
      <c r="BT55" s="12">
        <v>21745</v>
      </c>
      <c r="BU55" s="12">
        <v>21801</v>
      </c>
      <c r="BV55" s="12">
        <v>21672</v>
      </c>
      <c r="BW55" s="12">
        <v>21759</v>
      </c>
      <c r="BX55" s="12">
        <v>21823</v>
      </c>
      <c r="BY55" s="12">
        <v>21906</v>
      </c>
      <c r="BZ55" s="12">
        <v>21986</v>
      </c>
      <c r="CA55" s="12">
        <v>22040</v>
      </c>
      <c r="CB55" s="12">
        <v>22114</v>
      </c>
      <c r="CC55" s="12">
        <v>22195</v>
      </c>
      <c r="CD55" s="12">
        <v>22278</v>
      </c>
      <c r="CE55" s="12">
        <v>22370</v>
      </c>
      <c r="CF55" s="12">
        <v>22457</v>
      </c>
      <c r="CG55" s="12">
        <v>22603</v>
      </c>
      <c r="CH55" s="12">
        <v>22629</v>
      </c>
      <c r="CI55" s="12">
        <v>22714</v>
      </c>
      <c r="CJ55" s="12">
        <v>22787</v>
      </c>
      <c r="CK55" s="12">
        <v>22838</v>
      </c>
      <c r="CL55" s="12">
        <v>22925</v>
      </c>
      <c r="CM55" s="12">
        <v>23006</v>
      </c>
      <c r="CN55" s="12">
        <v>23072</v>
      </c>
      <c r="CO55" s="12">
        <v>23146</v>
      </c>
      <c r="CP55" s="12">
        <v>22853</v>
      </c>
      <c r="CQ55" s="12">
        <v>22894</v>
      </c>
      <c r="CR55" s="12">
        <v>22967</v>
      </c>
      <c r="CS55" s="12">
        <v>23056</v>
      </c>
      <c r="CT55" s="12">
        <v>23131</v>
      </c>
      <c r="CU55" s="12">
        <v>23218</v>
      </c>
      <c r="CV55" s="12">
        <v>23336</v>
      </c>
      <c r="CW55" s="12">
        <v>23431</v>
      </c>
      <c r="CX55" s="12">
        <v>23507</v>
      </c>
      <c r="CY55" s="12">
        <v>23585</v>
      </c>
      <c r="CZ55" s="12">
        <v>23668</v>
      </c>
      <c r="DA55" s="12">
        <v>23766</v>
      </c>
      <c r="DB55" s="12">
        <v>23877</v>
      </c>
      <c r="DC55" s="12">
        <v>23586</v>
      </c>
      <c r="DD55" s="12">
        <v>23536</v>
      </c>
      <c r="DE55" s="12">
        <v>23419</v>
      </c>
      <c r="DF55" s="12">
        <v>23375</v>
      </c>
      <c r="DG55" s="12">
        <v>23195</v>
      </c>
      <c r="DH55" s="12">
        <v>23176</v>
      </c>
      <c r="DI55" s="12">
        <v>23020</v>
      </c>
      <c r="DJ55" s="12">
        <v>22930</v>
      </c>
      <c r="DK55" s="12">
        <v>22874</v>
      </c>
      <c r="DL55" s="12">
        <v>23050</v>
      </c>
      <c r="DM55" s="12">
        <v>22922</v>
      </c>
      <c r="DN55" s="12">
        <v>22929</v>
      </c>
      <c r="DO55" s="12">
        <v>22966</v>
      </c>
      <c r="DP55" s="12">
        <v>23042</v>
      </c>
      <c r="DQ55" s="12">
        <v>23046</v>
      </c>
      <c r="DR55" s="12">
        <v>23079</v>
      </c>
    </row>
    <row r="56" spans="1:122" s="9" customFormat="1">
      <c r="A56" s="9" t="s">
        <v>416</v>
      </c>
      <c r="B56" s="9" t="s">
        <v>409</v>
      </c>
      <c r="C56" s="12">
        <v>43208</v>
      </c>
      <c r="D56" s="12">
        <v>43344</v>
      </c>
      <c r="E56" s="12">
        <v>43431</v>
      </c>
      <c r="F56" s="12">
        <v>43564</v>
      </c>
      <c r="G56" s="12">
        <v>43712</v>
      </c>
      <c r="H56" s="12">
        <v>43812</v>
      </c>
      <c r="I56" s="12">
        <v>43908</v>
      </c>
      <c r="J56" s="12">
        <v>44061</v>
      </c>
      <c r="K56" s="12">
        <v>44136</v>
      </c>
      <c r="L56" s="12">
        <v>44212</v>
      </c>
      <c r="M56" s="12">
        <v>44239</v>
      </c>
      <c r="N56" s="12">
        <v>44255</v>
      </c>
      <c r="O56" s="12">
        <v>44270</v>
      </c>
      <c r="P56" s="12">
        <v>44281</v>
      </c>
      <c r="Q56" s="12">
        <v>44390</v>
      </c>
      <c r="R56" s="12">
        <v>44433</v>
      </c>
      <c r="S56" s="12">
        <v>44467</v>
      </c>
      <c r="T56" s="12">
        <v>44473</v>
      </c>
      <c r="U56" s="12">
        <v>44472</v>
      </c>
      <c r="V56" s="12">
        <v>44477</v>
      </c>
      <c r="W56" s="12">
        <v>44503</v>
      </c>
      <c r="X56" s="12">
        <v>44536</v>
      </c>
      <c r="Y56" s="12">
        <v>44521</v>
      </c>
      <c r="Z56" s="12">
        <v>44472</v>
      </c>
      <c r="AA56" s="12">
        <v>44459</v>
      </c>
      <c r="AB56" s="12">
        <v>44489</v>
      </c>
      <c r="AC56" s="12">
        <v>44548</v>
      </c>
      <c r="AD56" s="12">
        <v>44601</v>
      </c>
      <c r="AE56" s="12">
        <v>44511</v>
      </c>
      <c r="AF56" s="12">
        <v>44549</v>
      </c>
      <c r="AG56" s="12">
        <v>44563</v>
      </c>
      <c r="AH56" s="12">
        <v>44583</v>
      </c>
      <c r="AI56" s="12">
        <v>44476</v>
      </c>
      <c r="AJ56" s="12">
        <v>44337</v>
      </c>
      <c r="AK56" s="12">
        <v>44292</v>
      </c>
      <c r="AL56" s="12">
        <v>44205</v>
      </c>
      <c r="AM56" s="12">
        <v>44063</v>
      </c>
      <c r="AN56" s="12">
        <v>43938</v>
      </c>
      <c r="AO56" s="12">
        <v>43812</v>
      </c>
      <c r="AP56" s="12">
        <v>43698</v>
      </c>
      <c r="AQ56" s="12">
        <v>43576</v>
      </c>
      <c r="AR56" s="12">
        <v>43478</v>
      </c>
      <c r="AS56" s="12">
        <v>43291</v>
      </c>
      <c r="AT56" s="12">
        <v>43171</v>
      </c>
      <c r="AU56" s="12">
        <v>43061</v>
      </c>
      <c r="AV56" s="12">
        <v>42983</v>
      </c>
      <c r="AW56" s="12">
        <v>42853</v>
      </c>
      <c r="AX56" s="12">
        <v>42694</v>
      </c>
      <c r="AY56" s="12">
        <v>42582</v>
      </c>
      <c r="AZ56" s="12">
        <v>42428</v>
      </c>
      <c r="BA56" s="12">
        <v>42316</v>
      </c>
      <c r="BB56" s="12">
        <v>42193</v>
      </c>
      <c r="BC56" s="12">
        <v>42121</v>
      </c>
      <c r="BD56" s="12">
        <v>41969</v>
      </c>
      <c r="BE56" s="12">
        <v>41839</v>
      </c>
      <c r="BF56" s="12">
        <v>41702</v>
      </c>
      <c r="BG56" s="12">
        <v>41599</v>
      </c>
      <c r="BH56" s="12">
        <v>41542</v>
      </c>
      <c r="BI56" s="12">
        <v>41436</v>
      </c>
      <c r="BJ56" s="12">
        <v>41359</v>
      </c>
      <c r="BK56" s="12">
        <v>42624</v>
      </c>
      <c r="BL56" s="12">
        <v>42558</v>
      </c>
      <c r="BM56" s="12">
        <v>42413</v>
      </c>
      <c r="BN56" s="12">
        <v>42302</v>
      </c>
      <c r="BO56" s="12">
        <v>42172</v>
      </c>
      <c r="BP56" s="12">
        <v>42308</v>
      </c>
      <c r="BQ56" s="12">
        <v>42437</v>
      </c>
      <c r="BR56" s="12">
        <v>42624</v>
      </c>
      <c r="BS56" s="12">
        <v>42757</v>
      </c>
      <c r="BT56" s="12">
        <v>42901</v>
      </c>
      <c r="BU56" s="12">
        <v>42995</v>
      </c>
      <c r="BV56" s="12">
        <v>42689</v>
      </c>
      <c r="BW56" s="12">
        <v>42786</v>
      </c>
      <c r="BX56" s="12">
        <v>42900</v>
      </c>
      <c r="BY56" s="12">
        <v>43023</v>
      </c>
      <c r="BZ56" s="12">
        <v>43087</v>
      </c>
      <c r="CA56" s="12">
        <v>43170</v>
      </c>
      <c r="CB56" s="12">
        <v>43273</v>
      </c>
      <c r="CC56" s="12">
        <v>43396</v>
      </c>
      <c r="CD56" s="12">
        <v>43531</v>
      </c>
      <c r="CE56" s="12">
        <v>43710</v>
      </c>
      <c r="CF56" s="12">
        <v>43831</v>
      </c>
      <c r="CG56" s="12">
        <v>43963</v>
      </c>
      <c r="CH56" s="12">
        <v>43996</v>
      </c>
      <c r="CI56" s="12">
        <v>44083</v>
      </c>
      <c r="CJ56" s="12">
        <v>44222</v>
      </c>
      <c r="CK56" s="12">
        <v>44377</v>
      </c>
      <c r="CL56" s="12">
        <v>44612</v>
      </c>
      <c r="CM56" s="12">
        <v>44760</v>
      </c>
      <c r="CN56" s="12">
        <v>44863</v>
      </c>
      <c r="CO56" s="12">
        <v>44960</v>
      </c>
      <c r="CP56" s="12">
        <v>44159</v>
      </c>
      <c r="CQ56" s="12">
        <v>44325</v>
      </c>
      <c r="CR56" s="12">
        <v>44486</v>
      </c>
      <c r="CS56" s="12">
        <v>44657</v>
      </c>
      <c r="CT56" s="12">
        <v>44780</v>
      </c>
      <c r="CU56" s="12">
        <v>44911</v>
      </c>
      <c r="CV56" s="12">
        <v>45182</v>
      </c>
      <c r="CW56" s="12">
        <v>45314</v>
      </c>
      <c r="CX56" s="12">
        <v>45477</v>
      </c>
      <c r="CY56" s="12">
        <v>45625</v>
      </c>
      <c r="CZ56" s="12">
        <v>45791</v>
      </c>
      <c r="DA56" s="12">
        <v>46000</v>
      </c>
      <c r="DB56" s="12">
        <v>46258</v>
      </c>
      <c r="DC56" s="12">
        <v>45515</v>
      </c>
      <c r="DD56" s="12">
        <v>45340</v>
      </c>
      <c r="DE56" s="12">
        <v>45111</v>
      </c>
      <c r="DF56" s="12">
        <v>44908</v>
      </c>
      <c r="DG56" s="12">
        <v>44766</v>
      </c>
      <c r="DH56" s="12">
        <v>44522</v>
      </c>
      <c r="DI56" s="12">
        <v>44323</v>
      </c>
      <c r="DJ56" s="12">
        <v>44177</v>
      </c>
      <c r="DK56" s="12">
        <v>44009</v>
      </c>
      <c r="DL56" s="12">
        <v>44199</v>
      </c>
      <c r="DM56" s="12">
        <v>43940</v>
      </c>
      <c r="DN56" s="12">
        <v>44005</v>
      </c>
      <c r="DO56" s="12">
        <v>44051</v>
      </c>
      <c r="DP56" s="12">
        <v>44132</v>
      </c>
      <c r="DQ56" s="12">
        <v>44228</v>
      </c>
      <c r="DR56" s="12">
        <v>44261</v>
      </c>
    </row>
    <row r="57" spans="1:122" s="9" customFormat="1">
      <c r="A57" s="9" t="s">
        <v>417</v>
      </c>
      <c r="B57" s="9" t="s">
        <v>409</v>
      </c>
      <c r="C57" s="209">
        <v>0</v>
      </c>
      <c r="D57" s="209">
        <v>0</v>
      </c>
      <c r="E57" s="209">
        <v>0</v>
      </c>
      <c r="F57" s="209">
        <v>0</v>
      </c>
      <c r="G57" s="209">
        <v>0</v>
      </c>
      <c r="H57" s="209">
        <v>0</v>
      </c>
      <c r="I57" s="209">
        <v>0</v>
      </c>
      <c r="J57" s="209">
        <v>0</v>
      </c>
      <c r="K57" s="209">
        <v>0</v>
      </c>
      <c r="L57" s="209">
        <v>0</v>
      </c>
      <c r="M57" s="209">
        <v>0</v>
      </c>
      <c r="N57" s="209">
        <v>0</v>
      </c>
      <c r="O57" s="209">
        <v>0</v>
      </c>
      <c r="P57" s="209">
        <v>0</v>
      </c>
      <c r="Q57" s="209">
        <v>0</v>
      </c>
      <c r="R57" s="209">
        <v>0</v>
      </c>
      <c r="S57" s="209">
        <v>0</v>
      </c>
      <c r="T57" s="209">
        <v>0</v>
      </c>
      <c r="U57" s="209">
        <v>0</v>
      </c>
      <c r="V57" s="209">
        <v>0</v>
      </c>
      <c r="W57" s="209">
        <v>0</v>
      </c>
      <c r="X57" s="209">
        <v>0</v>
      </c>
      <c r="Y57" s="209">
        <v>0</v>
      </c>
      <c r="Z57" s="209">
        <v>0</v>
      </c>
      <c r="AA57" s="209">
        <v>0</v>
      </c>
      <c r="AB57" s="209">
        <v>0</v>
      </c>
      <c r="AC57" s="209">
        <v>0</v>
      </c>
      <c r="AD57" s="209">
        <v>0</v>
      </c>
      <c r="AE57" s="209">
        <v>0</v>
      </c>
      <c r="AF57" s="209">
        <v>0</v>
      </c>
      <c r="AG57" s="209">
        <v>0</v>
      </c>
      <c r="AH57" s="209">
        <v>0</v>
      </c>
      <c r="AI57" s="209">
        <v>0</v>
      </c>
      <c r="AJ57" s="209">
        <v>0</v>
      </c>
      <c r="AK57" s="209">
        <v>0</v>
      </c>
      <c r="AL57" s="209">
        <v>0</v>
      </c>
      <c r="AM57" s="209">
        <v>0</v>
      </c>
      <c r="AN57" s="209">
        <v>0</v>
      </c>
      <c r="AO57" s="209">
        <v>0</v>
      </c>
      <c r="AP57" s="209">
        <v>0</v>
      </c>
      <c r="AQ57" s="209">
        <v>0</v>
      </c>
      <c r="AR57" s="209">
        <v>0</v>
      </c>
      <c r="AS57" s="209">
        <v>0</v>
      </c>
      <c r="AT57" s="209">
        <v>0</v>
      </c>
      <c r="AU57" s="209">
        <v>0</v>
      </c>
      <c r="AV57" s="209">
        <v>0</v>
      </c>
      <c r="AW57" s="209">
        <v>0</v>
      </c>
      <c r="AX57" s="209">
        <v>0</v>
      </c>
      <c r="AY57" s="209">
        <v>0</v>
      </c>
      <c r="AZ57" s="209">
        <v>0</v>
      </c>
      <c r="BA57" s="209">
        <v>0</v>
      </c>
      <c r="BB57" s="209">
        <v>0</v>
      </c>
      <c r="BC57" s="209">
        <v>0</v>
      </c>
      <c r="BD57" s="209">
        <v>0</v>
      </c>
      <c r="BE57" s="209">
        <v>0</v>
      </c>
      <c r="BF57" s="209">
        <v>0</v>
      </c>
      <c r="BG57" s="209">
        <v>0</v>
      </c>
      <c r="BH57" s="209">
        <v>0</v>
      </c>
      <c r="BI57" s="209">
        <v>0</v>
      </c>
      <c r="BJ57" s="209">
        <v>0</v>
      </c>
      <c r="BK57" s="12">
        <v>59</v>
      </c>
      <c r="BL57" s="12">
        <v>61</v>
      </c>
      <c r="BM57" s="12">
        <v>61</v>
      </c>
      <c r="BN57" s="12">
        <v>61</v>
      </c>
      <c r="BO57" s="12">
        <v>61</v>
      </c>
      <c r="BP57" s="12">
        <v>63</v>
      </c>
      <c r="BQ57" s="12">
        <v>63</v>
      </c>
      <c r="BR57" s="12">
        <v>64</v>
      </c>
      <c r="BS57" s="12">
        <v>63</v>
      </c>
      <c r="BT57" s="12">
        <v>63</v>
      </c>
      <c r="BU57" s="12">
        <v>64</v>
      </c>
      <c r="BV57" s="12">
        <v>62</v>
      </c>
      <c r="BW57" s="12">
        <v>64</v>
      </c>
      <c r="BX57" s="12">
        <v>64</v>
      </c>
      <c r="BY57" s="12">
        <v>66</v>
      </c>
      <c r="BZ57" s="12">
        <v>68</v>
      </c>
      <c r="CA57" s="12">
        <v>69</v>
      </c>
      <c r="CB57" s="12">
        <v>70</v>
      </c>
      <c r="CC57" s="12">
        <v>71</v>
      </c>
      <c r="CD57" s="12">
        <v>71</v>
      </c>
      <c r="CE57" s="12">
        <v>71</v>
      </c>
      <c r="CF57" s="12">
        <v>72</v>
      </c>
      <c r="CG57" s="12">
        <v>72</v>
      </c>
      <c r="CH57" s="12">
        <v>73</v>
      </c>
      <c r="CI57" s="12">
        <v>74</v>
      </c>
      <c r="CJ57" s="12">
        <v>74</v>
      </c>
      <c r="CK57" s="12">
        <v>75</v>
      </c>
      <c r="CL57" s="12">
        <v>75</v>
      </c>
      <c r="CM57" s="12">
        <v>76</v>
      </c>
      <c r="CN57" s="12">
        <v>76</v>
      </c>
      <c r="CO57" s="12">
        <v>77</v>
      </c>
      <c r="CP57" s="12">
        <v>77</v>
      </c>
      <c r="CQ57" s="12">
        <v>77</v>
      </c>
      <c r="CR57" s="12">
        <v>77</v>
      </c>
      <c r="CS57" s="12">
        <v>79</v>
      </c>
      <c r="CT57" s="12">
        <v>80</v>
      </c>
      <c r="CU57" s="12">
        <v>80</v>
      </c>
      <c r="CV57" s="12">
        <v>80</v>
      </c>
      <c r="CW57" s="12">
        <v>80</v>
      </c>
      <c r="CX57" s="12">
        <v>83</v>
      </c>
      <c r="CY57" s="12">
        <v>84</v>
      </c>
      <c r="CZ57" s="12">
        <v>86</v>
      </c>
      <c r="DA57" s="12">
        <v>86</v>
      </c>
      <c r="DB57" s="12">
        <v>87</v>
      </c>
      <c r="DC57" s="12">
        <v>86</v>
      </c>
      <c r="DD57" s="12">
        <v>86</v>
      </c>
      <c r="DE57" s="12">
        <v>87</v>
      </c>
      <c r="DF57" s="12">
        <v>88</v>
      </c>
      <c r="DG57" s="12">
        <v>89</v>
      </c>
      <c r="DH57" s="12">
        <v>91</v>
      </c>
      <c r="DI57" s="12">
        <v>90</v>
      </c>
      <c r="DJ57" s="12">
        <v>89</v>
      </c>
      <c r="DK57" s="12">
        <v>90</v>
      </c>
      <c r="DL57" s="12">
        <v>91</v>
      </c>
      <c r="DM57" s="12">
        <v>91</v>
      </c>
      <c r="DN57" s="12">
        <v>91</v>
      </c>
      <c r="DO57" s="12">
        <v>90</v>
      </c>
      <c r="DP57" s="12">
        <v>89</v>
      </c>
      <c r="DQ57" s="12">
        <v>90</v>
      </c>
      <c r="DR57" s="12">
        <v>90</v>
      </c>
    </row>
    <row r="58" spans="1:122" s="9" customFormat="1">
      <c r="A58" s="9" t="s">
        <v>418</v>
      </c>
      <c r="B58" s="9" t="s">
        <v>409</v>
      </c>
      <c r="C58" s="12">
        <v>866</v>
      </c>
      <c r="D58" s="12">
        <v>854</v>
      </c>
      <c r="E58" s="12">
        <v>875</v>
      </c>
      <c r="F58" s="12">
        <v>878</v>
      </c>
      <c r="G58" s="12">
        <v>878</v>
      </c>
      <c r="H58" s="12">
        <v>891</v>
      </c>
      <c r="I58" s="12">
        <v>897</v>
      </c>
      <c r="J58" s="12">
        <v>900</v>
      </c>
      <c r="K58" s="12">
        <v>911</v>
      </c>
      <c r="L58" s="12">
        <v>909</v>
      </c>
      <c r="M58" s="12">
        <v>910</v>
      </c>
      <c r="N58" s="12">
        <v>919</v>
      </c>
      <c r="O58" s="12">
        <v>915</v>
      </c>
      <c r="P58" s="12">
        <v>920</v>
      </c>
      <c r="Q58" s="12">
        <v>935</v>
      </c>
      <c r="R58" s="12">
        <v>946</v>
      </c>
      <c r="S58" s="12">
        <v>956</v>
      </c>
      <c r="T58" s="12">
        <v>977</v>
      </c>
      <c r="U58" s="12">
        <v>990</v>
      </c>
      <c r="V58" s="12">
        <v>999</v>
      </c>
      <c r="W58" s="12">
        <v>1007</v>
      </c>
      <c r="X58" s="12">
        <v>1026</v>
      </c>
      <c r="Y58" s="12">
        <v>1037</v>
      </c>
      <c r="Z58" s="12">
        <v>1040</v>
      </c>
      <c r="AA58" s="12">
        <v>1049</v>
      </c>
      <c r="AB58" s="12">
        <v>1069</v>
      </c>
      <c r="AC58" s="12">
        <v>1083</v>
      </c>
      <c r="AD58" s="12">
        <v>1092</v>
      </c>
      <c r="AE58" s="12">
        <v>1096</v>
      </c>
      <c r="AF58" s="12">
        <v>1106</v>
      </c>
      <c r="AG58" s="12">
        <v>1124</v>
      </c>
      <c r="AH58" s="12">
        <v>1135</v>
      </c>
      <c r="AI58" s="12">
        <v>1153</v>
      </c>
      <c r="AJ58" s="12">
        <v>1155</v>
      </c>
      <c r="AK58" s="12">
        <v>1154</v>
      </c>
      <c r="AL58" s="12">
        <v>1156</v>
      </c>
      <c r="AM58" s="12">
        <v>1167</v>
      </c>
      <c r="AN58" s="12">
        <v>1166</v>
      </c>
      <c r="AO58" s="12">
        <v>1172</v>
      </c>
      <c r="AP58" s="12">
        <v>1167</v>
      </c>
      <c r="AQ58" s="12">
        <v>1175</v>
      </c>
      <c r="AR58" s="12">
        <v>1174</v>
      </c>
      <c r="AS58" s="12">
        <v>1178</v>
      </c>
      <c r="AT58" s="12">
        <v>1183</v>
      </c>
      <c r="AU58" s="12">
        <v>1185</v>
      </c>
      <c r="AV58" s="12">
        <v>1200</v>
      </c>
      <c r="AW58" s="12">
        <v>1212</v>
      </c>
      <c r="AX58" s="12">
        <v>1226</v>
      </c>
      <c r="AY58" s="12">
        <v>1245</v>
      </c>
      <c r="AZ58" s="12">
        <v>1262</v>
      </c>
      <c r="BA58" s="12">
        <v>1259</v>
      </c>
      <c r="BB58" s="12">
        <v>1261</v>
      </c>
      <c r="BC58" s="12">
        <v>1308</v>
      </c>
      <c r="BD58" s="12">
        <v>1335</v>
      </c>
      <c r="BE58" s="12">
        <v>1359</v>
      </c>
      <c r="BF58" s="12">
        <v>1390</v>
      </c>
      <c r="BG58" s="12">
        <v>1405</v>
      </c>
      <c r="BH58" s="12">
        <v>1441</v>
      </c>
      <c r="BI58" s="12">
        <v>1486</v>
      </c>
      <c r="BJ58" s="12">
        <v>1525</v>
      </c>
      <c r="BK58" s="12">
        <v>126</v>
      </c>
      <c r="BL58" s="12">
        <v>124</v>
      </c>
      <c r="BM58" s="12">
        <v>125</v>
      </c>
      <c r="BN58" s="12">
        <v>125</v>
      </c>
      <c r="BO58" s="12">
        <v>125</v>
      </c>
      <c r="BP58" s="12">
        <v>124</v>
      </c>
      <c r="BQ58" s="12">
        <v>124</v>
      </c>
      <c r="BR58" s="12">
        <v>124</v>
      </c>
      <c r="BS58" s="12">
        <v>122</v>
      </c>
      <c r="BT58" s="12">
        <v>122</v>
      </c>
      <c r="BU58" s="12">
        <v>122</v>
      </c>
      <c r="BV58" s="12">
        <v>121</v>
      </c>
      <c r="BW58" s="12">
        <v>121</v>
      </c>
      <c r="BX58" s="12">
        <v>121</v>
      </c>
      <c r="BY58" s="12">
        <v>120</v>
      </c>
      <c r="BZ58" s="12">
        <v>119</v>
      </c>
      <c r="CA58" s="12">
        <v>119</v>
      </c>
      <c r="CB58" s="12">
        <v>120</v>
      </c>
      <c r="CC58" s="12">
        <v>120</v>
      </c>
      <c r="CD58" s="12">
        <v>122</v>
      </c>
      <c r="CE58" s="12">
        <v>122</v>
      </c>
      <c r="CF58" s="12">
        <v>124</v>
      </c>
      <c r="CG58" s="12">
        <v>124</v>
      </c>
      <c r="CH58" s="12">
        <v>124</v>
      </c>
      <c r="CI58" s="12">
        <v>123</v>
      </c>
      <c r="CJ58" s="12">
        <v>121</v>
      </c>
      <c r="CK58" s="12">
        <v>120</v>
      </c>
      <c r="CL58" s="12">
        <v>120</v>
      </c>
      <c r="CM58" s="12">
        <v>122</v>
      </c>
      <c r="CN58" s="12">
        <v>122</v>
      </c>
      <c r="CO58" s="12">
        <v>122</v>
      </c>
      <c r="CP58" s="12">
        <v>118</v>
      </c>
      <c r="CQ58" s="12">
        <v>118</v>
      </c>
      <c r="CR58" s="12">
        <v>118</v>
      </c>
      <c r="CS58" s="12">
        <v>118</v>
      </c>
      <c r="CT58" s="12">
        <v>118</v>
      </c>
      <c r="CU58" s="12">
        <v>118</v>
      </c>
      <c r="CV58" s="12">
        <v>116</v>
      </c>
      <c r="CW58" s="12">
        <v>116</v>
      </c>
      <c r="CX58" s="12">
        <v>115</v>
      </c>
      <c r="CY58" s="12">
        <v>114</v>
      </c>
      <c r="CZ58" s="12">
        <v>114</v>
      </c>
      <c r="DA58" s="12">
        <v>114</v>
      </c>
      <c r="DB58" s="12">
        <v>114</v>
      </c>
      <c r="DC58" s="12">
        <v>112</v>
      </c>
      <c r="DD58" s="12">
        <v>112</v>
      </c>
      <c r="DE58" s="12">
        <v>112</v>
      </c>
      <c r="DF58" s="12">
        <v>111</v>
      </c>
      <c r="DG58" s="12">
        <v>109</v>
      </c>
      <c r="DH58" s="12">
        <v>110</v>
      </c>
      <c r="DI58" s="12">
        <v>111</v>
      </c>
      <c r="DJ58" s="12">
        <v>111</v>
      </c>
      <c r="DK58" s="12">
        <v>111</v>
      </c>
      <c r="DL58" s="12">
        <v>110</v>
      </c>
      <c r="DM58" s="12">
        <v>109</v>
      </c>
      <c r="DN58" s="12">
        <v>111</v>
      </c>
      <c r="DO58" s="12">
        <v>111</v>
      </c>
      <c r="DP58" s="12">
        <v>110</v>
      </c>
      <c r="DQ58" s="12">
        <v>109</v>
      </c>
      <c r="DR58" s="12">
        <v>109</v>
      </c>
    </row>
    <row r="59" spans="1:122" s="9" customFormat="1"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</row>
    <row r="60" spans="1:122" s="9" customFormat="1">
      <c r="A60" s="9" t="s">
        <v>419</v>
      </c>
      <c r="B60" s="9" t="s">
        <v>420</v>
      </c>
      <c r="C60" s="12">
        <v>464158</v>
      </c>
      <c r="D60" s="12">
        <v>464225</v>
      </c>
      <c r="E60" s="12">
        <v>465506</v>
      </c>
      <c r="F60" s="12">
        <v>465070</v>
      </c>
      <c r="G60" s="12">
        <v>466349</v>
      </c>
      <c r="H60" s="12">
        <v>466402</v>
      </c>
      <c r="I60" s="12">
        <v>466304</v>
      </c>
      <c r="J60" s="12">
        <v>467411</v>
      </c>
      <c r="K60" s="12">
        <v>468027</v>
      </c>
      <c r="L60" s="12">
        <v>468220</v>
      </c>
      <c r="M60" s="12">
        <v>469064</v>
      </c>
      <c r="N60" s="12">
        <v>469013</v>
      </c>
      <c r="O60" s="12">
        <v>470550</v>
      </c>
      <c r="P60" s="12">
        <v>470463</v>
      </c>
      <c r="Q60" s="12">
        <v>471156</v>
      </c>
      <c r="R60" s="12">
        <v>471539</v>
      </c>
      <c r="S60" s="12">
        <v>472063</v>
      </c>
      <c r="T60" s="12">
        <v>471827</v>
      </c>
      <c r="U60" s="12">
        <v>472166</v>
      </c>
      <c r="V60" s="12">
        <v>473676</v>
      </c>
      <c r="W60" s="12">
        <v>473366</v>
      </c>
      <c r="X60" s="12">
        <v>474097</v>
      </c>
      <c r="Y60" s="12">
        <v>474137</v>
      </c>
      <c r="Z60" s="12">
        <v>475104</v>
      </c>
      <c r="AA60" s="12">
        <v>476050</v>
      </c>
      <c r="AB60" s="12">
        <v>475308</v>
      </c>
      <c r="AC60" s="12">
        <v>476069</v>
      </c>
      <c r="AD60" s="12">
        <v>476428</v>
      </c>
      <c r="AE60" s="12">
        <v>476066</v>
      </c>
      <c r="AF60" s="12">
        <v>475748</v>
      </c>
      <c r="AG60" s="12">
        <v>476324</v>
      </c>
      <c r="AH60" s="12">
        <v>475556</v>
      </c>
      <c r="AI60" s="12">
        <v>476976</v>
      </c>
      <c r="AJ60" s="12">
        <v>476497</v>
      </c>
      <c r="AK60" s="12">
        <v>475547</v>
      </c>
      <c r="AL60" s="12">
        <v>476124</v>
      </c>
      <c r="AM60" s="12">
        <v>477641</v>
      </c>
      <c r="AN60" s="12">
        <v>476657</v>
      </c>
      <c r="AO60" s="12">
        <v>477392</v>
      </c>
      <c r="AP60" s="12">
        <v>477232</v>
      </c>
      <c r="AQ60" s="12">
        <v>477044</v>
      </c>
      <c r="AR60" s="12">
        <v>476131</v>
      </c>
      <c r="AS60" s="12">
        <v>477658</v>
      </c>
      <c r="AT60" s="12">
        <v>477139</v>
      </c>
      <c r="AU60" s="12">
        <v>477765</v>
      </c>
      <c r="AV60" s="12">
        <v>477792</v>
      </c>
      <c r="AW60" s="12">
        <v>477477</v>
      </c>
      <c r="AX60" s="12">
        <v>478588</v>
      </c>
      <c r="AY60" s="12">
        <v>478448</v>
      </c>
      <c r="AZ60" s="12">
        <v>478143</v>
      </c>
      <c r="BA60" s="12">
        <v>479343</v>
      </c>
      <c r="BB60" s="12">
        <v>479081</v>
      </c>
      <c r="BC60" s="12">
        <v>477931</v>
      </c>
      <c r="BD60" s="12">
        <v>479052</v>
      </c>
      <c r="BE60" s="12">
        <v>478749</v>
      </c>
      <c r="BF60" s="12">
        <v>479305</v>
      </c>
      <c r="BG60" s="12">
        <v>480197</v>
      </c>
      <c r="BH60" s="12">
        <v>479718</v>
      </c>
      <c r="BI60" s="12">
        <v>480327</v>
      </c>
      <c r="BJ60" s="12">
        <v>480918</v>
      </c>
      <c r="BK60" s="12">
        <v>481073</v>
      </c>
      <c r="BL60" s="12">
        <v>480544</v>
      </c>
      <c r="BM60" s="12">
        <v>481382</v>
      </c>
      <c r="BN60" s="12">
        <v>481368</v>
      </c>
      <c r="BO60" s="12">
        <v>481412</v>
      </c>
      <c r="BP60" s="12">
        <v>481688</v>
      </c>
      <c r="BQ60" s="12">
        <v>481155</v>
      </c>
      <c r="BR60" s="12">
        <v>481734</v>
      </c>
      <c r="BS60" s="12">
        <v>482445</v>
      </c>
      <c r="BT60" s="12">
        <v>481978</v>
      </c>
      <c r="BU60" s="12">
        <v>482888</v>
      </c>
      <c r="BV60" s="12">
        <v>482498</v>
      </c>
      <c r="BW60" s="12">
        <v>483633</v>
      </c>
      <c r="BX60" s="12">
        <v>483579</v>
      </c>
      <c r="BY60" s="12">
        <v>483755</v>
      </c>
      <c r="BZ60" s="12">
        <v>483746</v>
      </c>
      <c r="CA60" s="12">
        <v>484186</v>
      </c>
      <c r="CB60" s="12">
        <v>483321</v>
      </c>
      <c r="CC60" s="12">
        <v>483920</v>
      </c>
      <c r="CD60" s="12">
        <v>484052</v>
      </c>
      <c r="CE60" s="12">
        <v>484081</v>
      </c>
      <c r="CF60" s="12">
        <v>484430</v>
      </c>
      <c r="CG60" s="12">
        <v>484303</v>
      </c>
      <c r="CH60" s="12">
        <v>484716</v>
      </c>
      <c r="CI60" s="12">
        <v>485330</v>
      </c>
      <c r="CJ60" s="12">
        <v>485465</v>
      </c>
      <c r="CK60" s="12">
        <v>486067</v>
      </c>
      <c r="CL60" s="12">
        <v>486847</v>
      </c>
      <c r="CM60" s="12">
        <v>487187</v>
      </c>
      <c r="CN60" s="12">
        <v>487089</v>
      </c>
      <c r="CO60" s="12">
        <v>487729</v>
      </c>
      <c r="CP60" s="12">
        <v>487536</v>
      </c>
      <c r="CQ60" s="12">
        <v>487633</v>
      </c>
      <c r="CR60" s="12">
        <v>487999</v>
      </c>
      <c r="CS60" s="12">
        <v>488148</v>
      </c>
      <c r="CT60" s="12">
        <v>488456</v>
      </c>
      <c r="CU60" s="12">
        <v>488897</v>
      </c>
      <c r="CV60" s="12">
        <v>488814</v>
      </c>
      <c r="CW60" s="12">
        <v>489360</v>
      </c>
      <c r="CX60" s="12">
        <v>490076</v>
      </c>
      <c r="CY60" s="12">
        <v>490400</v>
      </c>
      <c r="CZ60" s="12">
        <v>490415</v>
      </c>
      <c r="DA60" s="12">
        <v>490575</v>
      </c>
      <c r="DB60" s="12">
        <v>490563</v>
      </c>
      <c r="DC60" s="12">
        <v>491093</v>
      </c>
      <c r="DD60" s="12">
        <v>491674</v>
      </c>
      <c r="DE60" s="12">
        <v>491674</v>
      </c>
      <c r="DF60" s="12">
        <v>492358</v>
      </c>
      <c r="DG60" s="12">
        <v>492681</v>
      </c>
      <c r="DH60" s="12">
        <v>492966</v>
      </c>
      <c r="DI60" s="12">
        <v>493269</v>
      </c>
      <c r="DJ60" s="12">
        <v>493271</v>
      </c>
      <c r="DK60" s="12">
        <v>493362</v>
      </c>
      <c r="DL60" s="12">
        <v>493766</v>
      </c>
      <c r="DM60" s="12">
        <v>493871</v>
      </c>
      <c r="DN60" s="12">
        <v>493894</v>
      </c>
      <c r="DO60" s="12">
        <v>494236</v>
      </c>
      <c r="DP60" s="12">
        <v>494028</v>
      </c>
      <c r="DQ60" s="12">
        <v>494214</v>
      </c>
      <c r="DR60" s="12">
        <v>494632</v>
      </c>
    </row>
    <row r="61" spans="1:122" s="9" customFormat="1">
      <c r="A61" s="9" t="s">
        <v>421</v>
      </c>
      <c r="B61" s="9" t="s">
        <v>420</v>
      </c>
      <c r="C61" s="12">
        <v>399456</v>
      </c>
      <c r="D61" s="12">
        <v>399251</v>
      </c>
      <c r="E61" s="12">
        <v>400405</v>
      </c>
      <c r="F61" s="12">
        <v>400148</v>
      </c>
      <c r="G61" s="12">
        <v>400924</v>
      </c>
      <c r="H61" s="12">
        <v>401020</v>
      </c>
      <c r="I61" s="12">
        <v>401026</v>
      </c>
      <c r="J61" s="12">
        <v>401769</v>
      </c>
      <c r="K61" s="12">
        <v>402395</v>
      </c>
      <c r="L61" s="12">
        <v>402514</v>
      </c>
      <c r="M61" s="12">
        <v>403260</v>
      </c>
      <c r="N61" s="12">
        <v>403278</v>
      </c>
      <c r="O61" s="12">
        <v>404655</v>
      </c>
      <c r="P61" s="12">
        <v>404520</v>
      </c>
      <c r="Q61" s="12">
        <v>405231</v>
      </c>
      <c r="R61" s="12">
        <v>405526</v>
      </c>
      <c r="S61" s="12">
        <v>406002</v>
      </c>
      <c r="T61" s="12">
        <v>405587</v>
      </c>
      <c r="U61" s="12">
        <v>406189</v>
      </c>
      <c r="V61" s="12">
        <v>407306</v>
      </c>
      <c r="W61" s="12">
        <v>407219</v>
      </c>
      <c r="X61" s="12">
        <v>407797</v>
      </c>
      <c r="Y61" s="12">
        <v>408045</v>
      </c>
      <c r="Z61" s="12">
        <v>408923</v>
      </c>
      <c r="AA61" s="12">
        <v>409824</v>
      </c>
      <c r="AB61" s="12">
        <v>409335</v>
      </c>
      <c r="AC61" s="12">
        <v>409989</v>
      </c>
      <c r="AD61" s="12">
        <v>410258</v>
      </c>
      <c r="AE61" s="12">
        <v>409981</v>
      </c>
      <c r="AF61" s="12">
        <v>409701</v>
      </c>
      <c r="AG61" s="12">
        <v>410261</v>
      </c>
      <c r="AH61" s="12">
        <v>409940</v>
      </c>
      <c r="AI61" s="12">
        <v>411031</v>
      </c>
      <c r="AJ61" s="12">
        <v>410742</v>
      </c>
      <c r="AK61" s="12">
        <v>409919</v>
      </c>
      <c r="AL61" s="12">
        <v>410477</v>
      </c>
      <c r="AM61" s="12">
        <v>411937</v>
      </c>
      <c r="AN61" s="12">
        <v>411361</v>
      </c>
      <c r="AO61" s="12">
        <v>411978</v>
      </c>
      <c r="AP61" s="12">
        <v>412038</v>
      </c>
      <c r="AQ61" s="12">
        <v>411868</v>
      </c>
      <c r="AR61" s="12">
        <v>411146</v>
      </c>
      <c r="AS61" s="12">
        <v>412415</v>
      </c>
      <c r="AT61" s="12">
        <v>412178</v>
      </c>
      <c r="AU61" s="12">
        <v>412737</v>
      </c>
      <c r="AV61" s="12">
        <v>412771</v>
      </c>
      <c r="AW61" s="12">
        <v>412682</v>
      </c>
      <c r="AX61" s="12">
        <v>413641</v>
      </c>
      <c r="AY61" s="12">
        <v>413520</v>
      </c>
      <c r="AZ61" s="12">
        <v>413439</v>
      </c>
      <c r="BA61" s="12">
        <v>414308</v>
      </c>
      <c r="BB61" s="12">
        <v>414319</v>
      </c>
      <c r="BC61" s="12">
        <v>413361</v>
      </c>
      <c r="BD61" s="12">
        <v>414333</v>
      </c>
      <c r="BE61" s="12">
        <v>414191</v>
      </c>
      <c r="BF61" s="12">
        <v>414753</v>
      </c>
      <c r="BG61" s="12">
        <v>415381</v>
      </c>
      <c r="BH61" s="12">
        <v>415175</v>
      </c>
      <c r="BI61" s="12">
        <v>415793</v>
      </c>
      <c r="BJ61" s="12">
        <v>416141</v>
      </c>
      <c r="BK61" s="12">
        <v>416446</v>
      </c>
      <c r="BL61" s="12">
        <v>416050</v>
      </c>
      <c r="BM61" s="12">
        <v>416583</v>
      </c>
      <c r="BN61" s="12">
        <v>416727</v>
      </c>
      <c r="BO61" s="12">
        <v>416825</v>
      </c>
      <c r="BP61" s="12">
        <v>417242</v>
      </c>
      <c r="BQ61" s="12">
        <v>416833</v>
      </c>
      <c r="BR61" s="12">
        <v>417416</v>
      </c>
      <c r="BS61" s="12">
        <v>417861</v>
      </c>
      <c r="BT61" s="12">
        <v>417458</v>
      </c>
      <c r="BU61" s="12">
        <v>418422</v>
      </c>
      <c r="BV61" s="12">
        <v>418174</v>
      </c>
      <c r="BW61" s="12">
        <v>419034</v>
      </c>
      <c r="BX61" s="12">
        <v>419143</v>
      </c>
      <c r="BY61" s="12">
        <v>419302</v>
      </c>
      <c r="BZ61" s="12">
        <v>419337</v>
      </c>
      <c r="CA61" s="12">
        <v>419567</v>
      </c>
      <c r="CB61" s="12">
        <v>419255</v>
      </c>
      <c r="CC61" s="12">
        <v>419454</v>
      </c>
      <c r="CD61" s="12">
        <v>419617</v>
      </c>
      <c r="CE61" s="12">
        <v>419728</v>
      </c>
      <c r="CF61" s="12">
        <v>420032</v>
      </c>
      <c r="CG61" s="12">
        <v>419944</v>
      </c>
      <c r="CH61" s="12">
        <v>420240</v>
      </c>
      <c r="CI61" s="12">
        <v>420751</v>
      </c>
      <c r="CJ61" s="12">
        <v>421016</v>
      </c>
      <c r="CK61" s="12">
        <v>421631</v>
      </c>
      <c r="CL61" s="12">
        <v>422299</v>
      </c>
      <c r="CM61" s="12">
        <v>422480</v>
      </c>
      <c r="CN61" s="12">
        <v>422389</v>
      </c>
      <c r="CO61" s="12">
        <v>422875</v>
      </c>
      <c r="CP61" s="12">
        <v>422711</v>
      </c>
      <c r="CQ61" s="12">
        <v>422750</v>
      </c>
      <c r="CR61" s="12">
        <v>423090</v>
      </c>
      <c r="CS61" s="12">
        <v>423165</v>
      </c>
      <c r="CT61" s="12">
        <v>423281</v>
      </c>
      <c r="CU61" s="12">
        <v>423718</v>
      </c>
      <c r="CV61" s="12">
        <v>423751</v>
      </c>
      <c r="CW61" s="12">
        <v>424181</v>
      </c>
      <c r="CX61" s="12">
        <v>424496</v>
      </c>
      <c r="CY61" s="12">
        <v>424711</v>
      </c>
      <c r="CZ61" s="12">
        <v>424875</v>
      </c>
      <c r="DA61" s="12">
        <v>425359</v>
      </c>
      <c r="DB61" s="12">
        <v>425403</v>
      </c>
      <c r="DC61" s="12">
        <v>425936</v>
      </c>
      <c r="DD61" s="12">
        <v>426263</v>
      </c>
      <c r="DE61" s="12">
        <v>426367</v>
      </c>
      <c r="DF61" s="12">
        <v>426862</v>
      </c>
      <c r="DG61" s="12">
        <v>427328</v>
      </c>
      <c r="DH61" s="12">
        <v>427575</v>
      </c>
      <c r="DI61" s="12">
        <v>427912</v>
      </c>
      <c r="DJ61" s="12">
        <v>427954</v>
      </c>
      <c r="DK61" s="12">
        <v>428080</v>
      </c>
      <c r="DL61" s="12">
        <v>428451</v>
      </c>
      <c r="DM61" s="12">
        <v>428560</v>
      </c>
      <c r="DN61" s="12">
        <v>428615</v>
      </c>
      <c r="DO61" s="12">
        <v>428888</v>
      </c>
      <c r="DP61" s="12">
        <v>428694</v>
      </c>
      <c r="DQ61" s="12">
        <v>428838</v>
      </c>
      <c r="DR61" s="12">
        <v>429085</v>
      </c>
    </row>
    <row r="62" spans="1:122" s="9" customFormat="1">
      <c r="A62" s="9" t="s">
        <v>422</v>
      </c>
      <c r="B62" s="9" t="s">
        <v>420</v>
      </c>
      <c r="C62" s="12">
        <v>60628</v>
      </c>
      <c r="D62" s="12">
        <v>60873</v>
      </c>
      <c r="E62" s="12">
        <v>60975</v>
      </c>
      <c r="F62" s="12">
        <v>60774</v>
      </c>
      <c r="G62" s="12">
        <v>61251</v>
      </c>
      <c r="H62" s="12">
        <v>61221</v>
      </c>
      <c r="I62" s="12">
        <v>61206</v>
      </c>
      <c r="J62" s="12">
        <v>61468</v>
      </c>
      <c r="K62" s="12">
        <v>61450</v>
      </c>
      <c r="L62" s="12">
        <v>61498</v>
      </c>
      <c r="M62" s="12">
        <v>61606</v>
      </c>
      <c r="N62" s="12">
        <v>61525</v>
      </c>
      <c r="O62" s="12">
        <v>61704</v>
      </c>
      <c r="P62" s="12">
        <v>61674</v>
      </c>
      <c r="Q62" s="12">
        <v>61712</v>
      </c>
      <c r="R62" s="12">
        <v>61781</v>
      </c>
      <c r="S62" s="12">
        <v>61832</v>
      </c>
      <c r="T62" s="12">
        <v>61970</v>
      </c>
      <c r="U62" s="12">
        <v>61743</v>
      </c>
      <c r="V62" s="12">
        <v>62131</v>
      </c>
      <c r="W62" s="12">
        <v>61907</v>
      </c>
      <c r="X62" s="12">
        <v>62042</v>
      </c>
      <c r="Y62" s="12">
        <v>61858</v>
      </c>
      <c r="Z62" s="12">
        <v>61958</v>
      </c>
      <c r="AA62" s="12">
        <v>61966</v>
      </c>
      <c r="AB62" s="12">
        <v>61736</v>
      </c>
      <c r="AC62" s="12">
        <v>61802</v>
      </c>
      <c r="AD62" s="12">
        <v>61896</v>
      </c>
      <c r="AE62" s="12">
        <v>61800</v>
      </c>
      <c r="AF62" s="12">
        <v>61744</v>
      </c>
      <c r="AG62" s="12">
        <v>61750</v>
      </c>
      <c r="AH62" s="12">
        <v>61309</v>
      </c>
      <c r="AI62" s="12">
        <v>61620</v>
      </c>
      <c r="AJ62" s="12">
        <v>61416</v>
      </c>
      <c r="AK62" s="12">
        <v>61299</v>
      </c>
      <c r="AL62" s="12">
        <v>61298</v>
      </c>
      <c r="AM62" s="12">
        <v>61342</v>
      </c>
      <c r="AN62" s="12">
        <v>60927</v>
      </c>
      <c r="AO62" s="12">
        <v>61043</v>
      </c>
      <c r="AP62" s="12">
        <v>60800</v>
      </c>
      <c r="AQ62" s="12">
        <v>60836</v>
      </c>
      <c r="AR62" s="12">
        <v>60614</v>
      </c>
      <c r="AS62" s="12">
        <v>60863</v>
      </c>
      <c r="AT62" s="12">
        <v>60584</v>
      </c>
      <c r="AU62" s="12">
        <v>60636</v>
      </c>
      <c r="AV62" s="12">
        <v>60611</v>
      </c>
      <c r="AW62" s="12">
        <v>60382</v>
      </c>
      <c r="AX62" s="12">
        <v>60534</v>
      </c>
      <c r="AY62" s="12">
        <v>60510</v>
      </c>
      <c r="AZ62" s="12">
        <v>60295</v>
      </c>
      <c r="BA62" s="12">
        <v>60604</v>
      </c>
      <c r="BB62" s="12">
        <v>60336</v>
      </c>
      <c r="BC62" s="12">
        <v>60145</v>
      </c>
      <c r="BD62" s="12">
        <v>60295</v>
      </c>
      <c r="BE62" s="12">
        <v>60122</v>
      </c>
      <c r="BF62" s="12">
        <v>60120</v>
      </c>
      <c r="BG62" s="12">
        <v>60385</v>
      </c>
      <c r="BH62" s="12">
        <v>60110</v>
      </c>
      <c r="BI62" s="12">
        <v>60098</v>
      </c>
      <c r="BJ62" s="12">
        <v>60335</v>
      </c>
      <c r="BK62" s="12">
        <v>60187</v>
      </c>
      <c r="BL62" s="12">
        <v>60052</v>
      </c>
      <c r="BM62" s="12">
        <v>60342</v>
      </c>
      <c r="BN62" s="12">
        <v>60196</v>
      </c>
      <c r="BO62" s="12">
        <v>60140</v>
      </c>
      <c r="BP62" s="12">
        <v>59998</v>
      </c>
      <c r="BQ62" s="12">
        <v>59873</v>
      </c>
      <c r="BR62" s="12">
        <v>59870</v>
      </c>
      <c r="BS62" s="12">
        <v>60135</v>
      </c>
      <c r="BT62" s="12">
        <v>60064</v>
      </c>
      <c r="BU62" s="12">
        <v>60046</v>
      </c>
      <c r="BV62" s="12">
        <v>59879</v>
      </c>
      <c r="BW62" s="12">
        <v>60146</v>
      </c>
      <c r="BX62" s="12">
        <v>59985</v>
      </c>
      <c r="BY62" s="12">
        <v>59987</v>
      </c>
      <c r="BZ62" s="12">
        <v>59965</v>
      </c>
      <c r="CA62" s="12">
        <v>60176</v>
      </c>
      <c r="CB62" s="12">
        <v>59609</v>
      </c>
      <c r="CC62" s="12">
        <v>60000</v>
      </c>
      <c r="CD62" s="12">
        <v>59965</v>
      </c>
      <c r="CE62" s="12">
        <v>59884</v>
      </c>
      <c r="CF62" s="12">
        <v>59923</v>
      </c>
      <c r="CG62" s="12">
        <v>59887</v>
      </c>
      <c r="CH62" s="12">
        <v>60010</v>
      </c>
      <c r="CI62" s="12">
        <v>60100</v>
      </c>
      <c r="CJ62" s="12">
        <v>59967</v>
      </c>
      <c r="CK62" s="12">
        <v>59953</v>
      </c>
      <c r="CL62" s="12">
        <v>60066</v>
      </c>
      <c r="CM62" s="12">
        <v>60217</v>
      </c>
      <c r="CN62" s="12">
        <v>60211</v>
      </c>
      <c r="CO62" s="12">
        <v>60364</v>
      </c>
      <c r="CP62" s="12">
        <v>60334</v>
      </c>
      <c r="CQ62" s="12">
        <v>60399</v>
      </c>
      <c r="CR62" s="12">
        <v>60424</v>
      </c>
      <c r="CS62" s="12">
        <v>60490</v>
      </c>
      <c r="CT62" s="12">
        <v>60678</v>
      </c>
      <c r="CU62" s="12">
        <v>60678</v>
      </c>
      <c r="CV62" s="12">
        <v>60565</v>
      </c>
      <c r="CW62" s="12">
        <v>60672</v>
      </c>
      <c r="CX62" s="12">
        <v>61072</v>
      </c>
      <c r="CY62" s="12">
        <v>61184</v>
      </c>
      <c r="CZ62" s="12">
        <v>61027</v>
      </c>
      <c r="DA62" s="12">
        <v>60702</v>
      </c>
      <c r="DB62" s="12">
        <v>60649</v>
      </c>
      <c r="DC62" s="12">
        <v>60643</v>
      </c>
      <c r="DD62" s="12">
        <v>60898</v>
      </c>
      <c r="DE62" s="12">
        <v>60794</v>
      </c>
      <c r="DF62" s="12">
        <v>61011</v>
      </c>
      <c r="DG62" s="12">
        <v>60873</v>
      </c>
      <c r="DH62" s="12">
        <v>60914</v>
      </c>
      <c r="DI62" s="12">
        <v>60871</v>
      </c>
      <c r="DJ62" s="12">
        <v>60827</v>
      </c>
      <c r="DK62" s="12">
        <v>60799</v>
      </c>
      <c r="DL62" s="12">
        <v>60833</v>
      </c>
      <c r="DM62" s="12">
        <v>60847</v>
      </c>
      <c r="DN62" s="12">
        <v>60812</v>
      </c>
      <c r="DO62" s="12">
        <v>60882</v>
      </c>
      <c r="DP62" s="12">
        <v>60862</v>
      </c>
      <c r="DQ62" s="12">
        <v>60901</v>
      </c>
      <c r="DR62" s="12">
        <v>61064</v>
      </c>
    </row>
    <row r="63" spans="1:122" s="9" customFormat="1">
      <c r="A63" s="9" t="s">
        <v>423</v>
      </c>
      <c r="B63" s="9" t="s">
        <v>420</v>
      </c>
      <c r="C63" s="12">
        <v>4074</v>
      </c>
      <c r="D63" s="12">
        <v>4101</v>
      </c>
      <c r="E63" s="12">
        <v>4126</v>
      </c>
      <c r="F63" s="12">
        <v>4148</v>
      </c>
      <c r="G63" s="12">
        <v>4174</v>
      </c>
      <c r="H63" s="12">
        <v>4161</v>
      </c>
      <c r="I63" s="12">
        <v>4072</v>
      </c>
      <c r="J63" s="12">
        <v>4174</v>
      </c>
      <c r="K63" s="12">
        <v>4182</v>
      </c>
      <c r="L63" s="12">
        <v>4208</v>
      </c>
      <c r="M63" s="12">
        <v>4198</v>
      </c>
      <c r="N63" s="12">
        <v>4210</v>
      </c>
      <c r="O63" s="12">
        <v>4191</v>
      </c>
      <c r="P63" s="12">
        <v>4269</v>
      </c>
      <c r="Q63" s="12">
        <v>4213</v>
      </c>
      <c r="R63" s="12">
        <v>4232</v>
      </c>
      <c r="S63" s="12">
        <v>4229</v>
      </c>
      <c r="T63" s="12">
        <v>4270</v>
      </c>
      <c r="U63" s="12">
        <v>4234</v>
      </c>
      <c r="V63" s="12">
        <v>4239</v>
      </c>
      <c r="W63" s="12">
        <v>4240</v>
      </c>
      <c r="X63" s="12">
        <v>4258</v>
      </c>
      <c r="Y63" s="12">
        <v>4234</v>
      </c>
      <c r="Z63" s="12">
        <v>4223</v>
      </c>
      <c r="AA63" s="12">
        <v>4260</v>
      </c>
      <c r="AB63" s="12">
        <v>4237</v>
      </c>
      <c r="AC63" s="12">
        <v>4278</v>
      </c>
      <c r="AD63" s="12">
        <v>4274</v>
      </c>
      <c r="AE63" s="12">
        <v>4285</v>
      </c>
      <c r="AF63" s="12">
        <v>4303</v>
      </c>
      <c r="AG63" s="12">
        <v>4313</v>
      </c>
      <c r="AH63" s="12">
        <v>4307</v>
      </c>
      <c r="AI63" s="12">
        <v>4325</v>
      </c>
      <c r="AJ63" s="12">
        <v>4339</v>
      </c>
      <c r="AK63" s="12">
        <v>4329</v>
      </c>
      <c r="AL63" s="12">
        <v>4349</v>
      </c>
      <c r="AM63" s="12">
        <v>4362</v>
      </c>
      <c r="AN63" s="12">
        <v>4369</v>
      </c>
      <c r="AO63" s="12">
        <v>4371</v>
      </c>
      <c r="AP63" s="12">
        <v>4394</v>
      </c>
      <c r="AQ63" s="12">
        <v>4340</v>
      </c>
      <c r="AR63" s="12">
        <v>4371</v>
      </c>
      <c r="AS63" s="12">
        <v>4380</v>
      </c>
      <c r="AT63" s="12">
        <v>4377</v>
      </c>
      <c r="AU63" s="12">
        <v>4392</v>
      </c>
      <c r="AV63" s="12">
        <v>4410</v>
      </c>
      <c r="AW63" s="12">
        <v>4413</v>
      </c>
      <c r="AX63" s="12">
        <v>4413</v>
      </c>
      <c r="AY63" s="12">
        <v>4418</v>
      </c>
      <c r="AZ63" s="12">
        <v>4409</v>
      </c>
      <c r="BA63" s="12">
        <v>4431</v>
      </c>
      <c r="BB63" s="12">
        <v>4426</v>
      </c>
      <c r="BC63" s="12">
        <v>4425</v>
      </c>
      <c r="BD63" s="12">
        <v>4424</v>
      </c>
      <c r="BE63" s="12">
        <v>4436</v>
      </c>
      <c r="BF63" s="12">
        <v>4432</v>
      </c>
      <c r="BG63" s="12">
        <v>4431</v>
      </c>
      <c r="BH63" s="12">
        <v>4433</v>
      </c>
      <c r="BI63" s="12">
        <v>4436</v>
      </c>
      <c r="BJ63" s="12">
        <v>4442</v>
      </c>
      <c r="BK63" s="12">
        <v>4440</v>
      </c>
      <c r="BL63" s="12">
        <v>4442</v>
      </c>
      <c r="BM63" s="12">
        <v>4457</v>
      </c>
      <c r="BN63" s="12">
        <v>4445</v>
      </c>
      <c r="BO63" s="12">
        <v>4447</v>
      </c>
      <c r="BP63" s="12">
        <v>4448</v>
      </c>
      <c r="BQ63" s="12">
        <v>4449</v>
      </c>
      <c r="BR63" s="12">
        <v>4448</v>
      </c>
      <c r="BS63" s="12">
        <v>4449</v>
      </c>
      <c r="BT63" s="12">
        <v>4456</v>
      </c>
      <c r="BU63" s="12">
        <v>4420</v>
      </c>
      <c r="BV63" s="12">
        <v>4445</v>
      </c>
      <c r="BW63" s="12">
        <v>4453</v>
      </c>
      <c r="BX63" s="12">
        <v>4451</v>
      </c>
      <c r="BY63" s="12">
        <v>4466</v>
      </c>
      <c r="BZ63" s="12">
        <v>4444</v>
      </c>
      <c r="CA63" s="12">
        <v>4443</v>
      </c>
      <c r="CB63" s="12">
        <v>4457</v>
      </c>
      <c r="CC63" s="12">
        <v>4466</v>
      </c>
      <c r="CD63" s="12">
        <v>4470</v>
      </c>
      <c r="CE63" s="12">
        <v>4469</v>
      </c>
      <c r="CF63" s="12">
        <v>4475</v>
      </c>
      <c r="CG63" s="12">
        <v>4472</v>
      </c>
      <c r="CH63" s="12">
        <v>4466</v>
      </c>
      <c r="CI63" s="12">
        <v>4479</v>
      </c>
      <c r="CJ63" s="12">
        <v>4482</v>
      </c>
      <c r="CK63" s="12">
        <v>4483</v>
      </c>
      <c r="CL63" s="12">
        <v>4482</v>
      </c>
      <c r="CM63" s="12">
        <v>4490</v>
      </c>
      <c r="CN63" s="12">
        <v>4489</v>
      </c>
      <c r="CO63" s="12">
        <v>4490</v>
      </c>
      <c r="CP63" s="12">
        <v>4491</v>
      </c>
      <c r="CQ63" s="12">
        <v>4484</v>
      </c>
      <c r="CR63" s="12">
        <v>4485</v>
      </c>
      <c r="CS63" s="12">
        <v>4493</v>
      </c>
      <c r="CT63" s="12">
        <v>4497</v>
      </c>
      <c r="CU63" s="12">
        <v>4501</v>
      </c>
      <c r="CV63" s="12">
        <v>4498</v>
      </c>
      <c r="CW63" s="12">
        <v>4507</v>
      </c>
      <c r="CX63" s="12">
        <v>4508</v>
      </c>
      <c r="CY63" s="12">
        <v>4505</v>
      </c>
      <c r="CZ63" s="12">
        <v>4513</v>
      </c>
      <c r="DA63" s="12">
        <v>4514</v>
      </c>
      <c r="DB63" s="12">
        <v>4511</v>
      </c>
      <c r="DC63" s="12">
        <v>4514</v>
      </c>
      <c r="DD63" s="12">
        <v>4513</v>
      </c>
      <c r="DE63" s="12">
        <v>4513</v>
      </c>
      <c r="DF63" s="12">
        <v>4485</v>
      </c>
      <c r="DG63" s="12">
        <v>4480</v>
      </c>
      <c r="DH63" s="12">
        <v>4477</v>
      </c>
      <c r="DI63" s="12">
        <v>4486</v>
      </c>
      <c r="DJ63" s="12">
        <v>4490</v>
      </c>
      <c r="DK63" s="12">
        <v>4483</v>
      </c>
      <c r="DL63" s="12">
        <v>4482</v>
      </c>
      <c r="DM63" s="12">
        <v>4464</v>
      </c>
      <c r="DN63" s="12">
        <v>4467</v>
      </c>
      <c r="DO63" s="12">
        <v>4466</v>
      </c>
      <c r="DP63" s="12">
        <v>4472</v>
      </c>
      <c r="DQ63" s="12">
        <v>4475</v>
      </c>
      <c r="DR63" s="12">
        <v>4483</v>
      </c>
    </row>
    <row r="64" spans="1:122" s="9" customFormat="1"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</row>
    <row r="65" spans="1:122" s="9" customFormat="1">
      <c r="A65" s="9" t="s">
        <v>424</v>
      </c>
      <c r="B65" s="9" t="s">
        <v>425</v>
      </c>
      <c r="C65" s="12">
        <v>462293</v>
      </c>
      <c r="D65" s="12">
        <v>462319</v>
      </c>
      <c r="E65" s="12">
        <v>463581</v>
      </c>
      <c r="F65" s="12">
        <v>463370</v>
      </c>
      <c r="G65" s="12">
        <v>464540</v>
      </c>
      <c r="H65" s="12">
        <v>464571</v>
      </c>
      <c r="I65" s="12">
        <v>464501</v>
      </c>
      <c r="J65" s="12">
        <v>465739</v>
      </c>
      <c r="K65" s="12">
        <v>466364</v>
      </c>
      <c r="L65" s="12">
        <v>466540</v>
      </c>
      <c r="M65" s="12">
        <v>467396</v>
      </c>
      <c r="N65" s="12">
        <v>467287</v>
      </c>
      <c r="O65" s="12">
        <v>468901</v>
      </c>
      <c r="P65" s="12">
        <v>468733</v>
      </c>
      <c r="Q65" s="12">
        <v>469501</v>
      </c>
      <c r="R65" s="12">
        <v>469867</v>
      </c>
      <c r="S65" s="12">
        <v>469310</v>
      </c>
      <c r="T65" s="12">
        <v>470182</v>
      </c>
      <c r="U65" s="12">
        <v>470542</v>
      </c>
      <c r="V65" s="12">
        <v>472023</v>
      </c>
      <c r="W65" s="12">
        <v>471706</v>
      </c>
      <c r="X65" s="12">
        <v>472433</v>
      </c>
      <c r="Y65" s="12">
        <v>472500</v>
      </c>
      <c r="Z65" s="12">
        <v>473477</v>
      </c>
      <c r="AA65" s="12">
        <v>474254</v>
      </c>
      <c r="AB65" s="12">
        <v>473694</v>
      </c>
      <c r="AC65" s="12">
        <v>474418</v>
      </c>
      <c r="AD65" s="12">
        <v>474847</v>
      </c>
      <c r="AE65" s="12">
        <v>474420</v>
      </c>
      <c r="AF65" s="12">
        <v>475082</v>
      </c>
      <c r="AG65" s="12">
        <v>474684</v>
      </c>
      <c r="AH65" s="12">
        <v>473922</v>
      </c>
      <c r="AI65" s="12">
        <v>475347</v>
      </c>
      <c r="AJ65" s="12">
        <v>474869</v>
      </c>
      <c r="AK65" s="12">
        <v>473947</v>
      </c>
      <c r="AL65" s="12">
        <v>474483</v>
      </c>
      <c r="AM65" s="12">
        <v>476031</v>
      </c>
      <c r="AN65" s="12">
        <v>475044</v>
      </c>
      <c r="AO65" s="12">
        <v>475793</v>
      </c>
      <c r="AP65" s="12">
        <v>475651</v>
      </c>
      <c r="AQ65" s="12">
        <v>475503</v>
      </c>
      <c r="AR65" s="12">
        <v>474545</v>
      </c>
      <c r="AS65" s="12">
        <v>476078</v>
      </c>
      <c r="AT65" s="12">
        <v>475536</v>
      </c>
      <c r="AU65" s="12">
        <v>476162</v>
      </c>
      <c r="AV65" s="12">
        <v>476201</v>
      </c>
      <c r="AW65" s="12">
        <v>475877</v>
      </c>
      <c r="AX65" s="12">
        <v>477042</v>
      </c>
      <c r="AY65" s="12">
        <v>476876</v>
      </c>
      <c r="AZ65" s="12">
        <v>476566</v>
      </c>
      <c r="BA65" s="12">
        <v>477743</v>
      </c>
      <c r="BB65" s="12">
        <v>477490</v>
      </c>
      <c r="BC65" s="12">
        <v>476348</v>
      </c>
      <c r="BD65" s="12">
        <v>477459</v>
      </c>
      <c r="BE65" s="12">
        <v>477159</v>
      </c>
      <c r="BF65" s="12">
        <v>477716</v>
      </c>
      <c r="BG65" s="12">
        <v>478610</v>
      </c>
      <c r="BH65" s="12">
        <v>478127</v>
      </c>
      <c r="BI65" s="12">
        <v>478740</v>
      </c>
      <c r="BJ65" s="12">
        <v>479343</v>
      </c>
      <c r="BK65" s="12">
        <v>479510</v>
      </c>
      <c r="BL65" s="12">
        <v>478982</v>
      </c>
      <c r="BM65" s="12">
        <v>479815</v>
      </c>
      <c r="BN65" s="12">
        <v>479807</v>
      </c>
      <c r="BO65" s="12">
        <v>479853</v>
      </c>
      <c r="BP65" s="12">
        <v>480142</v>
      </c>
      <c r="BQ65" s="12">
        <v>479635</v>
      </c>
      <c r="BR65" s="12">
        <v>480207</v>
      </c>
      <c r="BS65" s="12">
        <v>480919</v>
      </c>
      <c r="BT65" s="12">
        <v>480450</v>
      </c>
      <c r="BU65" s="12">
        <v>481393</v>
      </c>
      <c r="BV65" s="12">
        <v>480986</v>
      </c>
      <c r="BW65" s="12">
        <v>482122</v>
      </c>
      <c r="BX65" s="12">
        <v>482067</v>
      </c>
      <c r="BY65" s="12">
        <v>482255</v>
      </c>
      <c r="BZ65" s="12">
        <v>482258</v>
      </c>
      <c r="CA65" s="12">
        <v>482716</v>
      </c>
      <c r="CB65" s="12">
        <v>482302</v>
      </c>
      <c r="CC65" s="12">
        <v>482842</v>
      </c>
      <c r="CD65" s="12">
        <v>482995</v>
      </c>
      <c r="CE65" s="12">
        <v>483017</v>
      </c>
      <c r="CF65" s="12">
        <v>483364</v>
      </c>
      <c r="CG65" s="12">
        <v>483231</v>
      </c>
      <c r="CH65" s="12">
        <v>483658</v>
      </c>
      <c r="CI65" s="12">
        <v>484272</v>
      </c>
      <c r="CJ65" s="12">
        <v>484396</v>
      </c>
      <c r="CK65" s="12">
        <v>484985</v>
      </c>
      <c r="CL65" s="12">
        <v>485779</v>
      </c>
      <c r="CM65" s="12">
        <v>486128</v>
      </c>
      <c r="CN65" s="12">
        <v>486048</v>
      </c>
      <c r="CO65" s="12">
        <v>486683</v>
      </c>
      <c r="CP65" s="12">
        <v>486473</v>
      </c>
      <c r="CQ65" s="12">
        <v>486614</v>
      </c>
      <c r="CR65" s="12">
        <v>486763</v>
      </c>
      <c r="CS65" s="12">
        <v>486256</v>
      </c>
      <c r="CT65" s="12">
        <v>487592</v>
      </c>
      <c r="CU65" s="12">
        <v>487629</v>
      </c>
      <c r="CV65" s="12">
        <v>487457</v>
      </c>
      <c r="CW65" s="12">
        <v>488522</v>
      </c>
      <c r="CX65" s="12">
        <v>488703</v>
      </c>
      <c r="CY65" s="12">
        <v>488856</v>
      </c>
      <c r="CZ65" s="12">
        <v>488988</v>
      </c>
      <c r="DA65" s="12">
        <v>489509</v>
      </c>
      <c r="DB65" s="12">
        <v>489317</v>
      </c>
      <c r="DC65" s="12">
        <v>489806</v>
      </c>
      <c r="DD65" s="12">
        <v>490323</v>
      </c>
      <c r="DE65" s="12">
        <v>489813</v>
      </c>
      <c r="DF65" s="12">
        <v>491498</v>
      </c>
      <c r="DG65" s="12">
        <v>491651</v>
      </c>
      <c r="DH65" s="12">
        <v>491954</v>
      </c>
      <c r="DI65" s="12">
        <v>492245</v>
      </c>
      <c r="DJ65" s="12">
        <v>492249</v>
      </c>
      <c r="DK65" s="12">
        <v>492354</v>
      </c>
      <c r="DL65" s="12">
        <v>492759</v>
      </c>
      <c r="DM65" s="12">
        <v>492888</v>
      </c>
      <c r="DN65" s="12">
        <v>492919</v>
      </c>
      <c r="DO65" s="12">
        <v>493251</v>
      </c>
      <c r="DP65" s="12">
        <v>493045</v>
      </c>
      <c r="DQ65" s="12">
        <v>493250</v>
      </c>
      <c r="DR65" s="12">
        <v>493672</v>
      </c>
    </row>
    <row r="66" spans="1:122" s="9" customFormat="1">
      <c r="A66" s="9" t="s">
        <v>421</v>
      </c>
      <c r="B66" s="9" t="s">
        <v>425</v>
      </c>
      <c r="C66" s="12">
        <v>398614</v>
      </c>
      <c r="D66" s="12">
        <v>398414</v>
      </c>
      <c r="E66" s="12">
        <v>399567</v>
      </c>
      <c r="F66" s="12">
        <v>399320</v>
      </c>
      <c r="G66" s="12">
        <v>400102</v>
      </c>
      <c r="H66" s="12">
        <v>400184</v>
      </c>
      <c r="I66" s="12">
        <v>400214</v>
      </c>
      <c r="J66" s="12">
        <v>401107</v>
      </c>
      <c r="K66" s="12">
        <v>401758</v>
      </c>
      <c r="L66" s="12">
        <v>401876</v>
      </c>
      <c r="M66" s="12">
        <v>402629</v>
      </c>
      <c r="N66" s="12">
        <v>402596</v>
      </c>
      <c r="O66" s="12">
        <v>404040</v>
      </c>
      <c r="P66" s="12">
        <v>403908</v>
      </c>
      <c r="Q66" s="12">
        <v>404622</v>
      </c>
      <c r="R66" s="12">
        <v>404923</v>
      </c>
      <c r="S66" s="12">
        <v>404520</v>
      </c>
      <c r="T66" s="12">
        <v>404993</v>
      </c>
      <c r="U66" s="12">
        <v>405596</v>
      </c>
      <c r="V66" s="12">
        <v>406718</v>
      </c>
      <c r="W66" s="12">
        <v>406630</v>
      </c>
      <c r="X66" s="12">
        <v>407211</v>
      </c>
      <c r="Y66" s="12">
        <v>407462</v>
      </c>
      <c r="Z66" s="12">
        <v>408344</v>
      </c>
      <c r="AA66" s="12">
        <v>409065</v>
      </c>
      <c r="AB66" s="12">
        <v>408762</v>
      </c>
      <c r="AC66" s="12">
        <v>409423</v>
      </c>
      <c r="AD66" s="12">
        <v>409692</v>
      </c>
      <c r="AE66" s="12">
        <v>409428</v>
      </c>
      <c r="AF66" s="12">
        <v>409091</v>
      </c>
      <c r="AG66" s="12">
        <v>409717</v>
      </c>
      <c r="AH66" s="12">
        <v>409405</v>
      </c>
      <c r="AI66" s="12">
        <v>410489</v>
      </c>
      <c r="AJ66" s="12">
        <v>410230</v>
      </c>
      <c r="AK66" s="12">
        <v>409402</v>
      </c>
      <c r="AL66" s="12">
        <v>409969</v>
      </c>
      <c r="AM66" s="12">
        <v>411427</v>
      </c>
      <c r="AN66" s="12">
        <v>410868</v>
      </c>
      <c r="AO66" s="12">
        <v>411482</v>
      </c>
      <c r="AP66" s="12">
        <v>411554</v>
      </c>
      <c r="AQ66" s="12">
        <v>411373</v>
      </c>
      <c r="AR66" s="12">
        <v>410652</v>
      </c>
      <c r="AS66" s="12">
        <v>411927</v>
      </c>
      <c r="AT66" s="12">
        <v>411687</v>
      </c>
      <c r="AU66" s="12">
        <v>412251</v>
      </c>
      <c r="AV66" s="12">
        <v>412284</v>
      </c>
      <c r="AW66" s="12">
        <v>412194</v>
      </c>
      <c r="AX66" s="12">
        <v>413155</v>
      </c>
      <c r="AY66" s="12">
        <v>413039</v>
      </c>
      <c r="AZ66" s="12">
        <v>412964</v>
      </c>
      <c r="BA66" s="12">
        <v>413825</v>
      </c>
      <c r="BB66" s="12">
        <v>413842</v>
      </c>
      <c r="BC66" s="12">
        <v>412897</v>
      </c>
      <c r="BD66" s="12">
        <v>413862</v>
      </c>
      <c r="BE66" s="12">
        <v>413721</v>
      </c>
      <c r="BF66" s="12">
        <v>414287</v>
      </c>
      <c r="BG66" s="12">
        <v>414917</v>
      </c>
      <c r="BH66" s="12">
        <v>414716</v>
      </c>
      <c r="BI66" s="12">
        <v>415331</v>
      </c>
      <c r="BJ66" s="12">
        <v>415682</v>
      </c>
      <c r="BK66" s="12">
        <v>415991</v>
      </c>
      <c r="BL66" s="12">
        <v>415600</v>
      </c>
      <c r="BM66" s="12">
        <v>416134</v>
      </c>
      <c r="BN66" s="12">
        <v>416283</v>
      </c>
      <c r="BO66" s="12">
        <v>416383</v>
      </c>
      <c r="BP66" s="12">
        <v>416801</v>
      </c>
      <c r="BQ66" s="12">
        <v>416399</v>
      </c>
      <c r="BR66" s="12">
        <v>416975</v>
      </c>
      <c r="BS66" s="12">
        <v>417429</v>
      </c>
      <c r="BT66" s="12">
        <v>417026</v>
      </c>
      <c r="BU66" s="12">
        <v>417994</v>
      </c>
      <c r="BV66" s="12">
        <v>417749</v>
      </c>
      <c r="BW66" s="12">
        <v>418616</v>
      </c>
      <c r="BX66" s="12">
        <v>418724</v>
      </c>
      <c r="BY66" s="12">
        <v>418887</v>
      </c>
      <c r="BZ66" s="12">
        <v>418926</v>
      </c>
      <c r="CA66" s="12">
        <v>419163</v>
      </c>
      <c r="CB66" s="12">
        <v>418895</v>
      </c>
      <c r="CC66" s="12">
        <v>419458</v>
      </c>
      <c r="CD66" s="12">
        <v>419631</v>
      </c>
      <c r="CE66" s="12">
        <v>419745</v>
      </c>
      <c r="CF66" s="12">
        <v>420051</v>
      </c>
      <c r="CG66" s="12">
        <v>419951</v>
      </c>
      <c r="CH66" s="12">
        <v>420264</v>
      </c>
      <c r="CI66" s="12">
        <v>420770</v>
      </c>
      <c r="CJ66" s="12">
        <v>421022</v>
      </c>
      <c r="CK66" s="12">
        <v>421629</v>
      </c>
      <c r="CL66" s="12">
        <v>422296</v>
      </c>
      <c r="CM66" s="12">
        <v>422481</v>
      </c>
      <c r="CN66" s="12">
        <v>422407</v>
      </c>
      <c r="CO66" s="12">
        <v>422879</v>
      </c>
      <c r="CP66" s="12">
        <v>422712</v>
      </c>
      <c r="CQ66" s="12">
        <v>422785</v>
      </c>
      <c r="CR66" s="12">
        <v>422936</v>
      </c>
      <c r="CS66" s="12">
        <v>422412</v>
      </c>
      <c r="CT66" s="12">
        <v>423502</v>
      </c>
      <c r="CU66" s="12">
        <v>423599</v>
      </c>
      <c r="CV66" s="12">
        <v>423533</v>
      </c>
      <c r="CW66" s="12">
        <v>424298</v>
      </c>
      <c r="CX66" s="12">
        <v>424230</v>
      </c>
      <c r="CY66" s="12">
        <v>424305</v>
      </c>
      <c r="CZ66" s="12">
        <v>424573</v>
      </c>
      <c r="DA66" s="12">
        <v>425353</v>
      </c>
      <c r="DB66" s="12">
        <v>425261</v>
      </c>
      <c r="DC66" s="12">
        <v>425791</v>
      </c>
      <c r="DD66" s="12">
        <v>426065</v>
      </c>
      <c r="DE66" s="12">
        <v>425787</v>
      </c>
      <c r="DF66" s="12">
        <v>426973</v>
      </c>
      <c r="DG66" s="12">
        <v>427328</v>
      </c>
      <c r="DH66" s="12">
        <v>427587</v>
      </c>
      <c r="DI66" s="12">
        <v>427915</v>
      </c>
      <c r="DJ66" s="12">
        <v>427959</v>
      </c>
      <c r="DK66" s="12">
        <v>428084</v>
      </c>
      <c r="DL66" s="12">
        <v>428450</v>
      </c>
      <c r="DM66" s="12">
        <v>428565</v>
      </c>
      <c r="DN66" s="12">
        <v>428625</v>
      </c>
      <c r="DO66" s="12">
        <v>428890</v>
      </c>
      <c r="DP66" s="12">
        <v>428698</v>
      </c>
      <c r="DQ66" s="12">
        <v>428853</v>
      </c>
      <c r="DR66" s="12">
        <v>429112</v>
      </c>
    </row>
    <row r="67" spans="1:122" s="9" customFormat="1">
      <c r="A67" s="9" t="s">
        <v>422</v>
      </c>
      <c r="B67" s="9" t="s">
        <v>425</v>
      </c>
      <c r="C67" s="12">
        <v>60162</v>
      </c>
      <c r="D67" s="12">
        <v>60390</v>
      </c>
      <c r="E67" s="12">
        <v>60493</v>
      </c>
      <c r="F67" s="12">
        <v>60456</v>
      </c>
      <c r="G67" s="12">
        <v>60841</v>
      </c>
      <c r="H67" s="12">
        <v>60789</v>
      </c>
      <c r="I67" s="12">
        <v>60772</v>
      </c>
      <c r="J67" s="12">
        <v>61024</v>
      </c>
      <c r="K67" s="12">
        <v>61001</v>
      </c>
      <c r="L67" s="12">
        <v>61057</v>
      </c>
      <c r="M67" s="12">
        <v>61157</v>
      </c>
      <c r="N67" s="12">
        <v>61072</v>
      </c>
      <c r="O67" s="12">
        <v>61255</v>
      </c>
      <c r="P67" s="12">
        <v>61216</v>
      </c>
      <c r="Q67" s="12">
        <v>61280</v>
      </c>
      <c r="R67" s="12">
        <v>61333</v>
      </c>
      <c r="S67" s="12">
        <v>61179</v>
      </c>
      <c r="T67" s="12">
        <v>61580</v>
      </c>
      <c r="U67" s="12">
        <v>61327</v>
      </c>
      <c r="V67" s="12">
        <v>61695</v>
      </c>
      <c r="W67" s="12">
        <v>61467</v>
      </c>
      <c r="X67" s="12">
        <v>61609</v>
      </c>
      <c r="Y67" s="12">
        <v>61429</v>
      </c>
      <c r="Z67" s="12">
        <v>61527</v>
      </c>
      <c r="AA67" s="12">
        <v>61567</v>
      </c>
      <c r="AB67" s="12">
        <v>61321</v>
      </c>
      <c r="AC67" s="12">
        <v>61380</v>
      </c>
      <c r="AD67" s="12">
        <v>61541</v>
      </c>
      <c r="AE67" s="12">
        <v>61379</v>
      </c>
      <c r="AF67" s="12">
        <v>62371</v>
      </c>
      <c r="AG67" s="12">
        <v>61345</v>
      </c>
      <c r="AH67" s="12">
        <v>60888</v>
      </c>
      <c r="AI67" s="12">
        <v>61209</v>
      </c>
      <c r="AJ67" s="12">
        <v>60994</v>
      </c>
      <c r="AK67" s="12">
        <v>60898</v>
      </c>
      <c r="AL67" s="12">
        <v>60849</v>
      </c>
      <c r="AM67" s="12">
        <v>60939</v>
      </c>
      <c r="AN67" s="12">
        <v>60502</v>
      </c>
      <c r="AO67" s="12">
        <v>60634</v>
      </c>
      <c r="AP67" s="12">
        <v>60416</v>
      </c>
      <c r="AQ67" s="12">
        <v>60454</v>
      </c>
      <c r="AR67" s="12">
        <v>60219</v>
      </c>
      <c r="AS67" s="12">
        <v>60467</v>
      </c>
      <c r="AT67" s="12">
        <v>60170</v>
      </c>
      <c r="AU67" s="12">
        <v>60228</v>
      </c>
      <c r="AV67" s="12">
        <v>60207</v>
      </c>
      <c r="AW67" s="12">
        <v>59969</v>
      </c>
      <c r="AX67" s="12">
        <v>60174</v>
      </c>
      <c r="AY67" s="12">
        <v>60119</v>
      </c>
      <c r="AZ67" s="12">
        <v>59887</v>
      </c>
      <c r="BA67" s="12">
        <v>60194</v>
      </c>
      <c r="BB67" s="12">
        <v>59930</v>
      </c>
      <c r="BC67" s="12">
        <v>59735</v>
      </c>
      <c r="BD67" s="12">
        <v>59882</v>
      </c>
      <c r="BE67" s="12">
        <v>59711</v>
      </c>
      <c r="BF67" s="12">
        <v>59709</v>
      </c>
      <c r="BG67" s="12">
        <v>59975</v>
      </c>
      <c r="BH67" s="12">
        <v>59693</v>
      </c>
      <c r="BI67" s="12">
        <v>59688</v>
      </c>
      <c r="BJ67" s="12">
        <v>59929</v>
      </c>
      <c r="BK67" s="12">
        <v>59777</v>
      </c>
      <c r="BL67" s="12">
        <v>59646</v>
      </c>
      <c r="BM67" s="12">
        <v>59934</v>
      </c>
      <c r="BN67" s="12">
        <v>59789</v>
      </c>
      <c r="BO67" s="12">
        <v>59733</v>
      </c>
      <c r="BP67" s="12">
        <v>59605</v>
      </c>
      <c r="BQ67" s="12">
        <v>59499</v>
      </c>
      <c r="BR67" s="12">
        <v>59496</v>
      </c>
      <c r="BS67" s="12">
        <v>59754</v>
      </c>
      <c r="BT67" s="12">
        <v>59680</v>
      </c>
      <c r="BU67" s="12">
        <v>59667</v>
      </c>
      <c r="BV67" s="12">
        <v>59497</v>
      </c>
      <c r="BW67" s="12">
        <v>59763</v>
      </c>
      <c r="BX67" s="12">
        <v>59598</v>
      </c>
      <c r="BY67" s="12">
        <v>59616</v>
      </c>
      <c r="BZ67" s="12">
        <v>59582</v>
      </c>
      <c r="CA67" s="12">
        <v>59801</v>
      </c>
      <c r="CB67" s="12">
        <v>59655</v>
      </c>
      <c r="CC67" s="12">
        <v>59634</v>
      </c>
      <c r="CD67" s="12">
        <v>59610</v>
      </c>
      <c r="CE67" s="12">
        <v>59519</v>
      </c>
      <c r="CF67" s="12">
        <v>59553</v>
      </c>
      <c r="CG67" s="12">
        <v>59523</v>
      </c>
      <c r="CH67" s="12">
        <v>59643</v>
      </c>
      <c r="CI67" s="12">
        <v>59742</v>
      </c>
      <c r="CJ67" s="12">
        <v>59613</v>
      </c>
      <c r="CK67" s="12">
        <v>59595</v>
      </c>
      <c r="CL67" s="12">
        <v>59723</v>
      </c>
      <c r="CM67" s="12">
        <v>59877</v>
      </c>
      <c r="CN67" s="12">
        <v>59871</v>
      </c>
      <c r="CO67" s="12">
        <v>60034</v>
      </c>
      <c r="CP67" s="12">
        <v>59990</v>
      </c>
      <c r="CQ67" s="12">
        <v>60063</v>
      </c>
      <c r="CR67" s="12">
        <v>60060</v>
      </c>
      <c r="CS67" s="12">
        <v>60076</v>
      </c>
      <c r="CT67" s="12">
        <v>60319</v>
      </c>
      <c r="CU67" s="12">
        <v>60260</v>
      </c>
      <c r="CV67" s="12">
        <v>60159</v>
      </c>
      <c r="CW67" s="12">
        <v>60446</v>
      </c>
      <c r="CX67" s="12">
        <v>60698</v>
      </c>
      <c r="CY67" s="12">
        <v>60775</v>
      </c>
      <c r="CZ67" s="12">
        <v>60635</v>
      </c>
      <c r="DA67" s="12">
        <v>60378</v>
      </c>
      <c r="DB67" s="12">
        <v>60280</v>
      </c>
      <c r="DC67" s="12">
        <v>60237</v>
      </c>
      <c r="DD67" s="12">
        <v>60481</v>
      </c>
      <c r="DE67" s="12">
        <v>60248</v>
      </c>
      <c r="DF67" s="12">
        <v>60747</v>
      </c>
      <c r="DG67" s="12">
        <v>60545</v>
      </c>
      <c r="DH67" s="12">
        <v>60591</v>
      </c>
      <c r="DI67" s="12">
        <v>60547</v>
      </c>
      <c r="DJ67" s="12">
        <v>60504</v>
      </c>
      <c r="DK67" s="12">
        <v>60482</v>
      </c>
      <c r="DL67" s="12">
        <v>60521</v>
      </c>
      <c r="DM67" s="12">
        <v>60533</v>
      </c>
      <c r="DN67" s="12">
        <v>60501</v>
      </c>
      <c r="DO67" s="12">
        <v>60569</v>
      </c>
      <c r="DP67" s="12">
        <v>60549</v>
      </c>
      <c r="DQ67" s="12">
        <v>60596</v>
      </c>
      <c r="DR67" s="12">
        <v>60756</v>
      </c>
    </row>
    <row r="68" spans="1:122" s="9" customFormat="1">
      <c r="A68" s="9" t="s">
        <v>423</v>
      </c>
      <c r="B68" s="9" t="s">
        <v>425</v>
      </c>
      <c r="C68" s="12">
        <v>3517</v>
      </c>
      <c r="D68" s="12">
        <v>3515</v>
      </c>
      <c r="E68" s="12">
        <v>3521</v>
      </c>
      <c r="F68" s="12">
        <v>3594</v>
      </c>
      <c r="G68" s="12">
        <v>3597</v>
      </c>
      <c r="H68" s="12">
        <v>3598</v>
      </c>
      <c r="I68" s="12">
        <v>3515</v>
      </c>
      <c r="J68" s="12">
        <v>3608</v>
      </c>
      <c r="K68" s="12">
        <v>3605</v>
      </c>
      <c r="L68" s="12">
        <v>3607</v>
      </c>
      <c r="M68" s="12">
        <v>3610</v>
      </c>
      <c r="N68" s="12">
        <v>3619</v>
      </c>
      <c r="O68" s="12">
        <v>3606</v>
      </c>
      <c r="P68" s="12">
        <v>3609</v>
      </c>
      <c r="Q68" s="12">
        <v>3599</v>
      </c>
      <c r="R68" s="12">
        <v>3611</v>
      </c>
      <c r="S68" s="12">
        <v>3611</v>
      </c>
      <c r="T68" s="12">
        <v>3609</v>
      </c>
      <c r="U68" s="12">
        <v>3619</v>
      </c>
      <c r="V68" s="12">
        <v>3610</v>
      </c>
      <c r="W68" s="12">
        <v>3609</v>
      </c>
      <c r="X68" s="12">
        <v>3613</v>
      </c>
      <c r="Y68" s="12">
        <v>3609</v>
      </c>
      <c r="Z68" s="12">
        <v>3606</v>
      </c>
      <c r="AA68" s="12">
        <v>3622</v>
      </c>
      <c r="AB68" s="12">
        <v>3611</v>
      </c>
      <c r="AC68" s="12">
        <v>3615</v>
      </c>
      <c r="AD68" s="12">
        <v>3614</v>
      </c>
      <c r="AE68" s="12">
        <v>3613</v>
      </c>
      <c r="AF68" s="12">
        <v>3620</v>
      </c>
      <c r="AG68" s="12">
        <v>3622</v>
      </c>
      <c r="AH68" s="12">
        <v>3629</v>
      </c>
      <c r="AI68" s="12">
        <v>3649</v>
      </c>
      <c r="AJ68" s="12">
        <v>3645</v>
      </c>
      <c r="AK68" s="12">
        <v>3647</v>
      </c>
      <c r="AL68" s="12">
        <v>3665</v>
      </c>
      <c r="AM68" s="12">
        <v>3665</v>
      </c>
      <c r="AN68" s="12">
        <v>3674</v>
      </c>
      <c r="AO68" s="12">
        <v>3677</v>
      </c>
      <c r="AP68" s="12">
        <v>3681</v>
      </c>
      <c r="AQ68" s="12">
        <v>3676</v>
      </c>
      <c r="AR68" s="12">
        <v>3674</v>
      </c>
      <c r="AS68" s="12">
        <v>3684</v>
      </c>
      <c r="AT68" s="12">
        <v>3679</v>
      </c>
      <c r="AU68" s="12">
        <v>3683</v>
      </c>
      <c r="AV68" s="12">
        <v>3710</v>
      </c>
      <c r="AW68" s="12">
        <v>3714</v>
      </c>
      <c r="AX68" s="12">
        <v>3713</v>
      </c>
      <c r="AY68" s="12">
        <v>3718</v>
      </c>
      <c r="AZ68" s="12">
        <v>3715</v>
      </c>
      <c r="BA68" s="12">
        <v>3724</v>
      </c>
      <c r="BB68" s="12">
        <v>3718</v>
      </c>
      <c r="BC68" s="12">
        <v>3716</v>
      </c>
      <c r="BD68" s="12">
        <v>3715</v>
      </c>
      <c r="BE68" s="12">
        <v>3727</v>
      </c>
      <c r="BF68" s="12">
        <v>3720</v>
      </c>
      <c r="BG68" s="12">
        <v>3718</v>
      </c>
      <c r="BH68" s="12">
        <v>3718</v>
      </c>
      <c r="BI68" s="12">
        <v>3721</v>
      </c>
      <c r="BJ68" s="12">
        <v>3732</v>
      </c>
      <c r="BK68" s="12">
        <v>3742</v>
      </c>
      <c r="BL68" s="12">
        <v>3736</v>
      </c>
      <c r="BM68" s="12">
        <v>3747</v>
      </c>
      <c r="BN68" s="12">
        <v>3735</v>
      </c>
      <c r="BO68" s="12">
        <v>3737</v>
      </c>
      <c r="BP68" s="12">
        <v>3736</v>
      </c>
      <c r="BQ68" s="12">
        <v>3737</v>
      </c>
      <c r="BR68" s="12">
        <v>3736</v>
      </c>
      <c r="BS68" s="12">
        <v>3736</v>
      </c>
      <c r="BT68" s="12">
        <v>3744</v>
      </c>
      <c r="BU68" s="12">
        <v>3732</v>
      </c>
      <c r="BV68" s="12">
        <v>3740</v>
      </c>
      <c r="BW68" s="12">
        <v>3743</v>
      </c>
      <c r="BX68" s="12">
        <v>3745</v>
      </c>
      <c r="BY68" s="12">
        <v>3752</v>
      </c>
      <c r="BZ68" s="12">
        <v>3750</v>
      </c>
      <c r="CA68" s="12">
        <v>3752</v>
      </c>
      <c r="CB68" s="12">
        <v>3752</v>
      </c>
      <c r="CC68" s="12">
        <v>3750</v>
      </c>
      <c r="CD68" s="12">
        <v>3754</v>
      </c>
      <c r="CE68" s="12">
        <v>3753</v>
      </c>
      <c r="CF68" s="12">
        <v>3760</v>
      </c>
      <c r="CG68" s="12">
        <v>3757</v>
      </c>
      <c r="CH68" s="12">
        <v>3751</v>
      </c>
      <c r="CI68" s="12">
        <v>3760</v>
      </c>
      <c r="CJ68" s="12">
        <v>3761</v>
      </c>
      <c r="CK68" s="12">
        <v>3761</v>
      </c>
      <c r="CL68" s="12">
        <v>3760</v>
      </c>
      <c r="CM68" s="12">
        <v>3770</v>
      </c>
      <c r="CN68" s="12">
        <v>3770</v>
      </c>
      <c r="CO68" s="12">
        <v>3770</v>
      </c>
      <c r="CP68" s="12">
        <v>3771</v>
      </c>
      <c r="CQ68" s="12">
        <v>3766</v>
      </c>
      <c r="CR68" s="12">
        <v>3767</v>
      </c>
      <c r="CS68" s="12">
        <v>3768</v>
      </c>
      <c r="CT68" s="12">
        <v>3771</v>
      </c>
      <c r="CU68" s="12">
        <v>3770</v>
      </c>
      <c r="CV68" s="12">
        <v>3765</v>
      </c>
      <c r="CW68" s="12">
        <v>3778</v>
      </c>
      <c r="CX68" s="12">
        <v>3775</v>
      </c>
      <c r="CY68" s="12">
        <v>3776</v>
      </c>
      <c r="CZ68" s="12">
        <v>3780</v>
      </c>
      <c r="DA68" s="12">
        <v>3778</v>
      </c>
      <c r="DB68" s="12">
        <v>3776</v>
      </c>
      <c r="DC68" s="12">
        <v>3778</v>
      </c>
      <c r="DD68" s="12">
        <v>3777</v>
      </c>
      <c r="DE68" s="12">
        <v>3778</v>
      </c>
      <c r="DF68" s="12">
        <v>3778</v>
      </c>
      <c r="DG68" s="12">
        <v>3778</v>
      </c>
      <c r="DH68" s="12">
        <v>3776</v>
      </c>
      <c r="DI68" s="12">
        <v>3783</v>
      </c>
      <c r="DJ68" s="12">
        <v>3786</v>
      </c>
      <c r="DK68" s="12">
        <v>3788</v>
      </c>
      <c r="DL68" s="12">
        <v>3788</v>
      </c>
      <c r="DM68" s="12">
        <v>3790</v>
      </c>
      <c r="DN68" s="12">
        <v>3793</v>
      </c>
      <c r="DO68" s="12">
        <v>3792</v>
      </c>
      <c r="DP68" s="12">
        <v>3798</v>
      </c>
      <c r="DQ68" s="12">
        <v>3801</v>
      </c>
      <c r="DR68" s="12">
        <v>3804</v>
      </c>
    </row>
    <row r="69" spans="1:122" s="9" customFormat="1"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</row>
    <row r="70" spans="1:122" s="9" customFormat="1">
      <c r="A70" s="9" t="s">
        <v>426</v>
      </c>
      <c r="B70" s="9" t="s">
        <v>427</v>
      </c>
      <c r="C70" s="12">
        <v>863693057</v>
      </c>
      <c r="D70" s="12">
        <v>764326484</v>
      </c>
      <c r="E70" s="12">
        <v>870681643</v>
      </c>
      <c r="F70" s="12">
        <v>819706246</v>
      </c>
      <c r="G70" s="12">
        <v>858625760</v>
      </c>
      <c r="H70" s="12">
        <v>891580689</v>
      </c>
      <c r="I70" s="12">
        <v>922805281</v>
      </c>
      <c r="J70" s="12">
        <v>967753024</v>
      </c>
      <c r="K70" s="12">
        <v>906396704</v>
      </c>
      <c r="L70" s="12">
        <v>922916425</v>
      </c>
      <c r="M70" s="12">
        <v>892144793</v>
      </c>
      <c r="N70" s="12">
        <v>887282127</v>
      </c>
      <c r="O70" s="12">
        <v>875057784</v>
      </c>
      <c r="P70" s="12">
        <v>762216000</v>
      </c>
      <c r="Q70" s="12">
        <v>878650109</v>
      </c>
      <c r="R70" s="12">
        <v>824883377</v>
      </c>
      <c r="S70" s="12">
        <v>897539719</v>
      </c>
      <c r="T70" s="12">
        <v>892614992</v>
      </c>
      <c r="U70" s="12">
        <v>926873869</v>
      </c>
      <c r="V70" s="12">
        <v>948188632</v>
      </c>
      <c r="W70" s="12">
        <v>910435952</v>
      </c>
      <c r="X70" s="12">
        <v>927105677</v>
      </c>
      <c r="Y70" s="12">
        <v>866348013</v>
      </c>
      <c r="Z70" s="12">
        <v>875122968</v>
      </c>
      <c r="AA70" s="12">
        <v>850900623</v>
      </c>
      <c r="AB70" s="12">
        <v>800986566</v>
      </c>
      <c r="AC70" s="12">
        <v>869751031</v>
      </c>
      <c r="AD70" s="12">
        <v>834726324</v>
      </c>
      <c r="AE70" s="12">
        <v>885833218</v>
      </c>
      <c r="AF70" s="12">
        <v>871392149</v>
      </c>
      <c r="AG70" s="12">
        <v>914696575</v>
      </c>
      <c r="AH70" s="12">
        <v>915226890</v>
      </c>
      <c r="AI70" s="12">
        <v>880382443</v>
      </c>
      <c r="AJ70" s="12">
        <v>890733535</v>
      </c>
      <c r="AK70" s="12">
        <v>839996643</v>
      </c>
      <c r="AL70" s="12">
        <v>835384277</v>
      </c>
      <c r="AM70" s="12">
        <v>812703851</v>
      </c>
      <c r="AN70" s="12">
        <v>725593258</v>
      </c>
      <c r="AO70" s="12">
        <v>796481056</v>
      </c>
      <c r="AP70" s="12">
        <v>784507160</v>
      </c>
      <c r="AQ70" s="12">
        <v>846794059</v>
      </c>
      <c r="AR70" s="12">
        <v>873295460</v>
      </c>
      <c r="AS70" s="12">
        <v>885222235</v>
      </c>
      <c r="AT70" s="12">
        <v>922849066</v>
      </c>
      <c r="AU70" s="12">
        <v>881242502</v>
      </c>
      <c r="AV70" s="12">
        <v>912710191</v>
      </c>
      <c r="AW70" s="12">
        <v>846782704</v>
      </c>
      <c r="AX70" s="12">
        <v>837753554</v>
      </c>
      <c r="AY70" s="12">
        <v>834475619</v>
      </c>
      <c r="AZ70" s="12">
        <v>730910773</v>
      </c>
      <c r="BA70" s="12">
        <v>812425232</v>
      </c>
      <c r="BB70" s="12">
        <v>800341781</v>
      </c>
      <c r="BC70" s="12">
        <v>848986059</v>
      </c>
      <c r="BD70" s="12">
        <v>832031750</v>
      </c>
      <c r="BE70" s="12">
        <v>870704849</v>
      </c>
      <c r="BF70" s="12">
        <v>889643995</v>
      </c>
      <c r="BG70" s="12">
        <v>850652081</v>
      </c>
      <c r="BH70" s="12">
        <v>874778151</v>
      </c>
      <c r="BI70" s="12">
        <v>828609629</v>
      </c>
      <c r="BJ70" s="12">
        <v>839543841</v>
      </c>
      <c r="BK70" s="12">
        <v>837786691</v>
      </c>
      <c r="BL70" s="12">
        <v>770438472</v>
      </c>
      <c r="BM70" s="12">
        <v>849494196</v>
      </c>
      <c r="BN70" s="12">
        <v>817153996</v>
      </c>
      <c r="BO70" s="12">
        <v>852346637</v>
      </c>
      <c r="BP70" s="12">
        <v>801896038</v>
      </c>
      <c r="BQ70" s="12">
        <v>852086530</v>
      </c>
      <c r="BR70" s="12">
        <v>866770161</v>
      </c>
      <c r="BS70" s="12">
        <v>841189157</v>
      </c>
      <c r="BT70" s="12">
        <v>859839404</v>
      </c>
      <c r="BU70" s="12">
        <v>806876671</v>
      </c>
      <c r="BV70" s="12">
        <v>805775249</v>
      </c>
      <c r="BW70" s="12">
        <v>814037002</v>
      </c>
      <c r="BX70" s="12">
        <v>752743446</v>
      </c>
      <c r="BY70" s="12">
        <v>790639685</v>
      </c>
      <c r="BZ70" s="12">
        <v>767933019</v>
      </c>
      <c r="CA70" s="12">
        <v>806597873</v>
      </c>
      <c r="CB70" s="12">
        <v>787837735</v>
      </c>
      <c r="CC70" s="12">
        <v>821781896</v>
      </c>
      <c r="CD70" s="12">
        <v>854106806</v>
      </c>
      <c r="CE70" s="12">
        <v>797481427</v>
      </c>
      <c r="CF70" s="12">
        <v>844274281</v>
      </c>
      <c r="CG70" s="12">
        <v>789993002</v>
      </c>
      <c r="CH70" s="12">
        <v>811731314</v>
      </c>
      <c r="CI70" s="12">
        <v>779118317</v>
      </c>
      <c r="CJ70" s="12">
        <v>689346632</v>
      </c>
      <c r="CK70" s="12">
        <v>757010591</v>
      </c>
      <c r="CL70" s="12">
        <v>767088542</v>
      </c>
      <c r="CM70" s="12">
        <v>806376992</v>
      </c>
      <c r="CN70" s="12">
        <v>780114656</v>
      </c>
      <c r="CO70" s="12">
        <v>836511655</v>
      </c>
      <c r="CP70" s="12">
        <v>841784313</v>
      </c>
      <c r="CQ70" s="12">
        <v>807819921</v>
      </c>
      <c r="CR70" s="12">
        <v>837075285</v>
      </c>
      <c r="CS70" s="12">
        <v>784205273</v>
      </c>
      <c r="CT70" s="12">
        <v>809842310</v>
      </c>
      <c r="CU70" s="12">
        <v>759603430</v>
      </c>
      <c r="CV70" s="12">
        <v>719532391</v>
      </c>
      <c r="CW70" s="12">
        <v>751509026</v>
      </c>
      <c r="CX70" s="12">
        <v>738516969</v>
      </c>
      <c r="CY70" s="12">
        <v>789457925</v>
      </c>
      <c r="CZ70" s="12">
        <v>766118683</v>
      </c>
      <c r="DA70" s="12">
        <v>825858607</v>
      </c>
      <c r="DB70" s="12">
        <v>844077990</v>
      </c>
      <c r="DC70" s="12">
        <v>827317847</v>
      </c>
      <c r="DD70" s="12">
        <v>852519822</v>
      </c>
      <c r="DE70" s="12">
        <v>771032331</v>
      </c>
      <c r="DF70" s="12">
        <v>760609498</v>
      </c>
      <c r="DG70" s="12">
        <v>727900694</v>
      </c>
      <c r="DH70" s="12">
        <v>686343565</v>
      </c>
      <c r="DI70" s="12">
        <v>729708629</v>
      </c>
      <c r="DJ70" s="12">
        <v>741035340</v>
      </c>
      <c r="DK70" s="12">
        <v>745828961</v>
      </c>
      <c r="DL70" s="12">
        <v>760233841</v>
      </c>
      <c r="DM70" s="12">
        <v>846303419</v>
      </c>
      <c r="DN70" s="12">
        <v>884260273</v>
      </c>
      <c r="DO70" s="12">
        <v>854858402</v>
      </c>
      <c r="DP70" s="12">
        <v>820583297</v>
      </c>
      <c r="DQ70" s="12">
        <v>808369316</v>
      </c>
      <c r="DR70" s="12">
        <v>783150796</v>
      </c>
    </row>
    <row r="71" spans="1:122" s="9" customFormat="1">
      <c r="A71" s="9" t="s">
        <v>421</v>
      </c>
      <c r="B71" s="9" t="s">
        <v>427</v>
      </c>
      <c r="C71" s="12">
        <v>270000864</v>
      </c>
      <c r="D71" s="12">
        <v>228145055</v>
      </c>
      <c r="E71" s="12">
        <v>265921742</v>
      </c>
      <c r="F71" s="12">
        <v>253277271</v>
      </c>
      <c r="G71" s="12">
        <v>251880736</v>
      </c>
      <c r="H71" s="12">
        <v>265474287</v>
      </c>
      <c r="I71" s="12">
        <v>276519479</v>
      </c>
      <c r="J71" s="12">
        <v>288959585</v>
      </c>
      <c r="K71" s="12">
        <v>268294541</v>
      </c>
      <c r="L71" s="12">
        <v>274609238</v>
      </c>
      <c r="M71" s="12">
        <v>269484019</v>
      </c>
      <c r="N71" s="12">
        <v>269864059</v>
      </c>
      <c r="O71" s="12">
        <v>276996747</v>
      </c>
      <c r="P71" s="12">
        <v>228343502</v>
      </c>
      <c r="Q71" s="12">
        <v>264801827</v>
      </c>
      <c r="R71" s="12">
        <v>251032221</v>
      </c>
      <c r="S71" s="12">
        <v>263451302</v>
      </c>
      <c r="T71" s="12">
        <v>268459275</v>
      </c>
      <c r="U71" s="12">
        <v>280321934</v>
      </c>
      <c r="V71" s="12">
        <v>290616543</v>
      </c>
      <c r="W71" s="12">
        <v>272105731</v>
      </c>
      <c r="X71" s="12">
        <v>273804663</v>
      </c>
      <c r="Y71" s="12">
        <v>259429521</v>
      </c>
      <c r="Z71" s="12">
        <v>271311106</v>
      </c>
      <c r="AA71" s="12">
        <v>273920787</v>
      </c>
      <c r="AB71" s="12">
        <v>242501023</v>
      </c>
      <c r="AC71" s="12">
        <v>259059056</v>
      </c>
      <c r="AD71" s="12">
        <v>246800149</v>
      </c>
      <c r="AE71" s="12">
        <v>259444786</v>
      </c>
      <c r="AF71" s="12">
        <v>256043047</v>
      </c>
      <c r="AG71" s="12">
        <v>273292365</v>
      </c>
      <c r="AH71" s="12">
        <v>268180621</v>
      </c>
      <c r="AI71" s="12">
        <v>254050958</v>
      </c>
      <c r="AJ71" s="12">
        <v>254976724</v>
      </c>
      <c r="AK71" s="12">
        <v>243291256</v>
      </c>
      <c r="AL71" s="12">
        <v>253622582</v>
      </c>
      <c r="AM71" s="12">
        <v>260349427</v>
      </c>
      <c r="AN71" s="12">
        <v>217852019</v>
      </c>
      <c r="AO71" s="12">
        <v>244479047</v>
      </c>
      <c r="AP71" s="12">
        <v>236481618</v>
      </c>
      <c r="AQ71" s="12">
        <v>250749163</v>
      </c>
      <c r="AR71" s="12">
        <v>260872863</v>
      </c>
      <c r="AS71" s="12">
        <v>264101209</v>
      </c>
      <c r="AT71" s="12">
        <v>277620819</v>
      </c>
      <c r="AU71" s="12">
        <v>261092379</v>
      </c>
      <c r="AV71" s="12">
        <v>271950850</v>
      </c>
      <c r="AW71" s="12">
        <v>255497014</v>
      </c>
      <c r="AX71" s="12">
        <v>254195545</v>
      </c>
      <c r="AY71" s="12">
        <v>263130523</v>
      </c>
      <c r="AZ71" s="12">
        <v>219593895</v>
      </c>
      <c r="BA71" s="12">
        <v>246181073</v>
      </c>
      <c r="BB71" s="12">
        <v>240026495</v>
      </c>
      <c r="BC71" s="12">
        <v>247413434</v>
      </c>
      <c r="BD71" s="12">
        <v>244822519</v>
      </c>
      <c r="BE71" s="12">
        <v>260315447</v>
      </c>
      <c r="BF71" s="12">
        <v>261454112</v>
      </c>
      <c r="BG71" s="12">
        <v>247870909</v>
      </c>
      <c r="BH71" s="12">
        <v>255551862</v>
      </c>
      <c r="BI71" s="12">
        <v>246627753</v>
      </c>
      <c r="BJ71" s="12">
        <v>256448848</v>
      </c>
      <c r="BK71" s="12">
        <v>269005070</v>
      </c>
      <c r="BL71" s="12">
        <v>222233185</v>
      </c>
      <c r="BM71" s="12">
        <v>250993192</v>
      </c>
      <c r="BN71" s="12">
        <v>237267040</v>
      </c>
      <c r="BO71" s="12">
        <v>249368511</v>
      </c>
      <c r="BP71" s="12">
        <v>239009268</v>
      </c>
      <c r="BQ71" s="12">
        <v>250119291</v>
      </c>
      <c r="BR71" s="12">
        <v>253586604</v>
      </c>
      <c r="BS71" s="12">
        <v>240150134</v>
      </c>
      <c r="BT71" s="12">
        <v>244604431</v>
      </c>
      <c r="BU71" s="12">
        <v>231661756</v>
      </c>
      <c r="BV71" s="12">
        <v>240744894</v>
      </c>
      <c r="BW71" s="12">
        <v>251077468</v>
      </c>
      <c r="BX71" s="12">
        <v>212891395</v>
      </c>
      <c r="BY71" s="12">
        <v>233310978</v>
      </c>
      <c r="BZ71" s="12">
        <v>220955582</v>
      </c>
      <c r="CA71" s="12">
        <v>225192309</v>
      </c>
      <c r="CB71" s="12">
        <v>220413308</v>
      </c>
      <c r="CC71" s="12">
        <v>232927861</v>
      </c>
      <c r="CD71" s="12">
        <v>237271349</v>
      </c>
      <c r="CE71" s="12">
        <v>218562903</v>
      </c>
      <c r="CF71" s="12">
        <v>234394589</v>
      </c>
      <c r="CG71" s="12">
        <v>219848248</v>
      </c>
      <c r="CH71" s="12">
        <v>232453249</v>
      </c>
      <c r="CI71" s="12">
        <v>232873111</v>
      </c>
      <c r="CJ71" s="12">
        <v>193452863</v>
      </c>
      <c r="CK71" s="12">
        <v>210660316</v>
      </c>
      <c r="CL71" s="12">
        <v>213295254</v>
      </c>
      <c r="CM71" s="12">
        <v>215792048</v>
      </c>
      <c r="CN71" s="12">
        <v>211226232</v>
      </c>
      <c r="CO71" s="12">
        <v>224223833</v>
      </c>
      <c r="CP71" s="12">
        <v>226626649</v>
      </c>
      <c r="CQ71" s="12">
        <v>215871387</v>
      </c>
      <c r="CR71" s="12">
        <v>223604837</v>
      </c>
      <c r="CS71" s="12">
        <v>213241522</v>
      </c>
      <c r="CT71" s="12">
        <v>225633746</v>
      </c>
      <c r="CU71" s="12">
        <v>219614927</v>
      </c>
      <c r="CV71" s="12">
        <v>199979751</v>
      </c>
      <c r="CW71" s="12">
        <v>204556859</v>
      </c>
      <c r="CX71" s="12">
        <v>193415658</v>
      </c>
      <c r="CY71" s="12">
        <v>206831708</v>
      </c>
      <c r="CZ71" s="12">
        <v>201770872</v>
      </c>
      <c r="DA71" s="12">
        <v>218955607</v>
      </c>
      <c r="DB71" s="12">
        <v>227592742</v>
      </c>
      <c r="DC71" s="12">
        <v>216098371</v>
      </c>
      <c r="DD71" s="12">
        <v>232444483</v>
      </c>
      <c r="DE71" s="12">
        <v>209576992</v>
      </c>
      <c r="DF71" s="12">
        <v>208026963</v>
      </c>
      <c r="DG71" s="12">
        <v>210947436</v>
      </c>
      <c r="DH71" s="12">
        <v>183196791</v>
      </c>
      <c r="DI71" s="12">
        <v>194233495</v>
      </c>
      <c r="DJ71" s="12">
        <v>190875103</v>
      </c>
      <c r="DK71" s="12">
        <v>188128319</v>
      </c>
      <c r="DL71" s="12">
        <v>199059331</v>
      </c>
      <c r="DM71" s="12">
        <v>233943848</v>
      </c>
      <c r="DN71" s="12">
        <v>246552941</v>
      </c>
      <c r="DO71" s="12">
        <v>247638338</v>
      </c>
      <c r="DP71" s="12">
        <v>222626986</v>
      </c>
      <c r="DQ71" s="12">
        <v>220277022</v>
      </c>
      <c r="DR71" s="12">
        <v>220805154</v>
      </c>
    </row>
    <row r="72" spans="1:122" s="9" customFormat="1">
      <c r="A72" s="9" t="s">
        <v>422</v>
      </c>
      <c r="B72" s="9" t="s">
        <v>427</v>
      </c>
      <c r="C72" s="12">
        <v>589431762</v>
      </c>
      <c r="D72" s="12">
        <v>531952278</v>
      </c>
      <c r="E72" s="12">
        <v>600569298</v>
      </c>
      <c r="F72" s="12">
        <v>562430568</v>
      </c>
      <c r="G72" s="12">
        <v>602571721</v>
      </c>
      <c r="H72" s="12">
        <v>621871659</v>
      </c>
      <c r="I72" s="12">
        <v>642298163</v>
      </c>
      <c r="J72" s="12">
        <v>674405949</v>
      </c>
      <c r="K72" s="12">
        <v>633963111</v>
      </c>
      <c r="L72" s="12">
        <v>644098706</v>
      </c>
      <c r="M72" s="12">
        <v>618439144</v>
      </c>
      <c r="N72" s="12">
        <v>613042113</v>
      </c>
      <c r="O72" s="12">
        <v>594325203</v>
      </c>
      <c r="P72" s="12">
        <v>529221479</v>
      </c>
      <c r="Q72" s="12">
        <v>609446769</v>
      </c>
      <c r="R72" s="12">
        <v>569812212</v>
      </c>
      <c r="S72" s="12">
        <v>629812216</v>
      </c>
      <c r="T72" s="12">
        <v>619973122</v>
      </c>
      <c r="U72" s="12">
        <v>642441375</v>
      </c>
      <c r="V72" s="12">
        <v>653336940</v>
      </c>
      <c r="W72" s="12">
        <v>634172448</v>
      </c>
      <c r="X72" s="12">
        <v>649072458</v>
      </c>
      <c r="Y72" s="12">
        <v>602638835</v>
      </c>
      <c r="Z72" s="12">
        <v>599601357</v>
      </c>
      <c r="AA72" s="12">
        <v>572509175</v>
      </c>
      <c r="AB72" s="12">
        <v>554362456</v>
      </c>
      <c r="AC72" s="12">
        <v>606353343</v>
      </c>
      <c r="AD72" s="12">
        <v>583619096</v>
      </c>
      <c r="AE72" s="12">
        <v>622223318</v>
      </c>
      <c r="AF72" s="12">
        <v>611055454</v>
      </c>
      <c r="AG72" s="12">
        <v>637311708</v>
      </c>
      <c r="AH72" s="12">
        <v>642757588</v>
      </c>
      <c r="AI72" s="12">
        <v>622272776</v>
      </c>
      <c r="AJ72" s="12">
        <v>631303774</v>
      </c>
      <c r="AK72" s="12">
        <v>592283600</v>
      </c>
      <c r="AL72" s="12">
        <v>577639349</v>
      </c>
      <c r="AM72" s="12">
        <v>548048841</v>
      </c>
      <c r="AN72" s="12">
        <v>503569485</v>
      </c>
      <c r="AO72" s="12">
        <v>548275715</v>
      </c>
      <c r="AP72" s="12">
        <v>543942782</v>
      </c>
      <c r="AQ72" s="12">
        <v>591707464</v>
      </c>
      <c r="AR72" s="12">
        <v>608594721</v>
      </c>
      <c r="AS72" s="12">
        <v>616940785</v>
      </c>
      <c r="AT72" s="12">
        <v>640735375</v>
      </c>
      <c r="AU72" s="12">
        <v>616312689</v>
      </c>
      <c r="AV72" s="12">
        <v>636402331</v>
      </c>
      <c r="AW72" s="12">
        <v>587284528</v>
      </c>
      <c r="AX72" s="12">
        <v>579158606</v>
      </c>
      <c r="AY72" s="12">
        <v>566790436</v>
      </c>
      <c r="AZ72" s="12">
        <v>507518962</v>
      </c>
      <c r="BA72" s="12">
        <v>561814932</v>
      </c>
      <c r="BB72" s="12">
        <v>556111050</v>
      </c>
      <c r="BC72" s="12">
        <v>597468463</v>
      </c>
      <c r="BD72" s="12">
        <v>582962287</v>
      </c>
      <c r="BE72" s="12">
        <v>606255006</v>
      </c>
      <c r="BF72" s="12">
        <v>624075223</v>
      </c>
      <c r="BG72" s="12">
        <v>598518332</v>
      </c>
      <c r="BH72" s="12">
        <v>614936964</v>
      </c>
      <c r="BI72" s="12">
        <v>577991396</v>
      </c>
      <c r="BJ72" s="12">
        <v>578751893</v>
      </c>
      <c r="BK72" s="12">
        <v>564299167</v>
      </c>
      <c r="BL72" s="12">
        <v>544461025</v>
      </c>
      <c r="BM72" s="12">
        <v>594041577</v>
      </c>
      <c r="BN72" s="12">
        <v>575886109</v>
      </c>
      <c r="BO72" s="12">
        <v>598698249</v>
      </c>
      <c r="BP72" s="12">
        <v>559094368</v>
      </c>
      <c r="BQ72" s="12">
        <v>597704663</v>
      </c>
      <c r="BR72" s="12">
        <v>609168872</v>
      </c>
      <c r="BS72" s="12">
        <v>596835131</v>
      </c>
      <c r="BT72" s="12">
        <v>610950560</v>
      </c>
      <c r="BU72" s="12">
        <v>571288446</v>
      </c>
      <c r="BV72" s="12">
        <v>560683465</v>
      </c>
      <c r="BW72" s="12">
        <v>558604928</v>
      </c>
      <c r="BX72" s="12">
        <v>535980404</v>
      </c>
      <c r="BY72" s="12">
        <v>553027830</v>
      </c>
      <c r="BZ72" s="12">
        <v>542666676</v>
      </c>
      <c r="CA72" s="12">
        <v>576976093</v>
      </c>
      <c r="CB72" s="12">
        <v>563951707</v>
      </c>
      <c r="CC72" s="12">
        <v>584389063</v>
      </c>
      <c r="CD72" s="12">
        <v>612877715</v>
      </c>
      <c r="CE72" s="12">
        <v>574997156</v>
      </c>
      <c r="CF72" s="12">
        <v>605547787</v>
      </c>
      <c r="CG72" s="12">
        <v>566022260</v>
      </c>
      <c r="CH72" s="12">
        <v>575060377</v>
      </c>
      <c r="CI72" s="12">
        <v>541777957</v>
      </c>
      <c r="CJ72" s="12">
        <v>492208686</v>
      </c>
      <c r="CK72" s="12">
        <v>541913380</v>
      </c>
      <c r="CL72" s="12">
        <v>550129123</v>
      </c>
      <c r="CM72" s="12">
        <v>585749603</v>
      </c>
      <c r="CN72" s="12">
        <v>565169161</v>
      </c>
      <c r="CO72" s="12">
        <v>608183466</v>
      </c>
      <c r="CP72" s="12">
        <v>611089917</v>
      </c>
      <c r="CQ72" s="12">
        <v>587677079</v>
      </c>
      <c r="CR72" s="12">
        <v>609083357</v>
      </c>
      <c r="CS72" s="12">
        <v>566932534</v>
      </c>
      <c r="CT72" s="12">
        <v>579854879</v>
      </c>
      <c r="CU72" s="12">
        <v>535813226</v>
      </c>
      <c r="CV72" s="12">
        <v>515596932</v>
      </c>
      <c r="CW72" s="12">
        <v>542447122</v>
      </c>
      <c r="CX72" s="12">
        <v>540926478</v>
      </c>
      <c r="CY72" s="12">
        <v>578484384</v>
      </c>
      <c r="CZ72" s="12">
        <v>560497556</v>
      </c>
      <c r="DA72" s="12">
        <v>602475245</v>
      </c>
      <c r="DB72" s="12">
        <v>612572919</v>
      </c>
      <c r="DC72" s="12">
        <v>606934123</v>
      </c>
      <c r="DD72" s="12">
        <v>615898612</v>
      </c>
      <c r="DE72" s="12">
        <v>557274486</v>
      </c>
      <c r="DF72" s="12">
        <v>548275892</v>
      </c>
      <c r="DG72" s="12">
        <v>512821264</v>
      </c>
      <c r="DH72" s="12">
        <v>499233859</v>
      </c>
      <c r="DI72" s="12">
        <v>531096626</v>
      </c>
      <c r="DJ72" s="12">
        <v>546141935</v>
      </c>
      <c r="DK72" s="12">
        <v>553552972</v>
      </c>
      <c r="DL72" s="12">
        <v>557130485</v>
      </c>
      <c r="DM72" s="12">
        <v>608247682</v>
      </c>
      <c r="DN72" s="12">
        <v>633654673</v>
      </c>
      <c r="DO72" s="12">
        <v>603099622</v>
      </c>
      <c r="DP72" s="12">
        <v>593911692</v>
      </c>
      <c r="DQ72" s="12">
        <v>584061977</v>
      </c>
      <c r="DR72" s="12">
        <v>557805044</v>
      </c>
    </row>
    <row r="73" spans="1:122" s="9" customFormat="1">
      <c r="A73" s="9" t="s">
        <v>423</v>
      </c>
      <c r="B73" s="9" t="s">
        <v>427</v>
      </c>
      <c r="C73" s="12">
        <v>4260431</v>
      </c>
      <c r="D73" s="12">
        <v>4229151</v>
      </c>
      <c r="E73" s="12">
        <v>4190603</v>
      </c>
      <c r="F73" s="12">
        <v>3998407</v>
      </c>
      <c r="G73" s="12">
        <v>4173303</v>
      </c>
      <c r="H73" s="12">
        <v>4234743</v>
      </c>
      <c r="I73" s="12">
        <v>3987639</v>
      </c>
      <c r="J73" s="12">
        <v>4387490</v>
      </c>
      <c r="K73" s="12">
        <v>4139052</v>
      </c>
      <c r="L73" s="12">
        <v>4208481</v>
      </c>
      <c r="M73" s="12">
        <v>4221630</v>
      </c>
      <c r="N73" s="12">
        <v>4375955</v>
      </c>
      <c r="O73" s="12">
        <v>3735834</v>
      </c>
      <c r="P73" s="12">
        <v>4651019</v>
      </c>
      <c r="Q73" s="12">
        <v>4401513</v>
      </c>
      <c r="R73" s="12">
        <v>4038944</v>
      </c>
      <c r="S73" s="12">
        <v>4276201</v>
      </c>
      <c r="T73" s="12">
        <v>4182595</v>
      </c>
      <c r="U73" s="12">
        <v>4110560</v>
      </c>
      <c r="V73" s="12">
        <v>4235149</v>
      </c>
      <c r="W73" s="12">
        <v>4157773</v>
      </c>
      <c r="X73" s="12">
        <v>4228556</v>
      </c>
      <c r="Y73" s="12">
        <v>4279657</v>
      </c>
      <c r="Z73" s="12">
        <v>4210505</v>
      </c>
      <c r="AA73" s="12">
        <v>4470661</v>
      </c>
      <c r="AB73" s="12">
        <v>4123087</v>
      </c>
      <c r="AC73" s="12">
        <v>4338632</v>
      </c>
      <c r="AD73" s="12">
        <v>4307079</v>
      </c>
      <c r="AE73" s="12">
        <v>4165114</v>
      </c>
      <c r="AF73" s="12">
        <v>4293648</v>
      </c>
      <c r="AG73" s="12">
        <v>4092502</v>
      </c>
      <c r="AH73" s="12">
        <v>4288681</v>
      </c>
      <c r="AI73" s="12">
        <v>4058709</v>
      </c>
      <c r="AJ73" s="12">
        <v>4453037</v>
      </c>
      <c r="AK73" s="12">
        <v>4421787</v>
      </c>
      <c r="AL73" s="12">
        <v>4122346</v>
      </c>
      <c r="AM73" s="12">
        <v>4305583</v>
      </c>
      <c r="AN73" s="12">
        <v>4171754</v>
      </c>
      <c r="AO73" s="12">
        <v>3726294</v>
      </c>
      <c r="AP73" s="12">
        <v>4082760</v>
      </c>
      <c r="AQ73" s="12">
        <v>4337432</v>
      </c>
      <c r="AR73" s="12">
        <v>3827876</v>
      </c>
      <c r="AS73" s="12">
        <v>4180241</v>
      </c>
      <c r="AT73" s="12">
        <v>4492872</v>
      </c>
      <c r="AU73" s="12">
        <v>3837434</v>
      </c>
      <c r="AV73" s="12">
        <v>4357010</v>
      </c>
      <c r="AW73" s="12">
        <v>4001162</v>
      </c>
      <c r="AX73" s="12">
        <v>4399403</v>
      </c>
      <c r="AY73" s="12">
        <v>4554660</v>
      </c>
      <c r="AZ73" s="12">
        <v>3797916</v>
      </c>
      <c r="BA73" s="12">
        <v>4429227</v>
      </c>
      <c r="BB73" s="12">
        <v>4204236</v>
      </c>
      <c r="BC73" s="12">
        <v>4104162</v>
      </c>
      <c r="BD73" s="12">
        <v>4246944</v>
      </c>
      <c r="BE73" s="12">
        <v>4134396</v>
      </c>
      <c r="BF73" s="12">
        <v>4114660</v>
      </c>
      <c r="BG73" s="12">
        <v>4262840</v>
      </c>
      <c r="BH73" s="12">
        <v>4289325</v>
      </c>
      <c r="BI73" s="12">
        <v>3990480</v>
      </c>
      <c r="BJ73" s="12">
        <v>4343100</v>
      </c>
      <c r="BK73" s="12">
        <v>4482454</v>
      </c>
      <c r="BL73" s="12">
        <v>3744262</v>
      </c>
      <c r="BM73" s="12">
        <v>4459427</v>
      </c>
      <c r="BN73" s="12">
        <v>4000847</v>
      </c>
      <c r="BO73" s="12">
        <v>4279877</v>
      </c>
      <c r="BP73" s="12">
        <v>3792402</v>
      </c>
      <c r="BQ73" s="12">
        <v>4262576</v>
      </c>
      <c r="BR73" s="12">
        <v>4014685</v>
      </c>
      <c r="BS73" s="12">
        <v>4203892</v>
      </c>
      <c r="BT73" s="12">
        <v>4284413</v>
      </c>
      <c r="BU73" s="12">
        <v>3926469</v>
      </c>
      <c r="BV73" s="12">
        <v>4346890</v>
      </c>
      <c r="BW73" s="12">
        <v>4354606</v>
      </c>
      <c r="BX73" s="12">
        <v>3871647</v>
      </c>
      <c r="BY73" s="12">
        <v>4300877</v>
      </c>
      <c r="BZ73" s="12">
        <v>4310761</v>
      </c>
      <c r="CA73" s="12">
        <v>4429471</v>
      </c>
      <c r="CB73" s="12">
        <v>3472720</v>
      </c>
      <c r="CC73" s="12">
        <v>4464972</v>
      </c>
      <c r="CD73" s="12">
        <v>3957742</v>
      </c>
      <c r="CE73" s="12">
        <v>3921368</v>
      </c>
      <c r="CF73" s="12">
        <v>4331905</v>
      </c>
      <c r="CG73" s="12">
        <v>4122494</v>
      </c>
      <c r="CH73" s="12">
        <v>4217688</v>
      </c>
      <c r="CI73" s="12">
        <v>4467249</v>
      </c>
      <c r="CJ73" s="12">
        <v>3685083</v>
      </c>
      <c r="CK73" s="12">
        <v>4436895</v>
      </c>
      <c r="CL73" s="12">
        <v>3664165</v>
      </c>
      <c r="CM73" s="12">
        <v>4835341</v>
      </c>
      <c r="CN73" s="12">
        <v>3719263</v>
      </c>
      <c r="CO73" s="12">
        <v>4104356</v>
      </c>
      <c r="CP73" s="12">
        <v>4067747</v>
      </c>
      <c r="CQ73" s="12">
        <v>4271455</v>
      </c>
      <c r="CR73" s="12">
        <v>4387091</v>
      </c>
      <c r="CS73" s="12">
        <v>4031217</v>
      </c>
      <c r="CT73" s="12">
        <v>4353685</v>
      </c>
      <c r="CU73" s="12">
        <v>4175277</v>
      </c>
      <c r="CV73" s="12">
        <v>3955708</v>
      </c>
      <c r="CW73" s="12">
        <v>4505045</v>
      </c>
      <c r="CX73" s="12">
        <v>4174833</v>
      </c>
      <c r="CY73" s="12">
        <v>4141833</v>
      </c>
      <c r="CZ73" s="12">
        <v>3850255</v>
      </c>
      <c r="DA73" s="12">
        <v>4427755</v>
      </c>
      <c r="DB73" s="12">
        <v>3912329</v>
      </c>
      <c r="DC73" s="12">
        <v>4285353</v>
      </c>
      <c r="DD73" s="12">
        <v>4176727</v>
      </c>
      <c r="DE73" s="12">
        <v>4180853</v>
      </c>
      <c r="DF73" s="12">
        <v>4306643</v>
      </c>
      <c r="DG73" s="12">
        <v>4131994</v>
      </c>
      <c r="DH73" s="12">
        <v>3912915</v>
      </c>
      <c r="DI73" s="12">
        <v>4378508</v>
      </c>
      <c r="DJ73" s="12">
        <v>4018302</v>
      </c>
      <c r="DK73" s="12">
        <v>4147670</v>
      </c>
      <c r="DL73" s="12">
        <v>4044025</v>
      </c>
      <c r="DM73" s="12">
        <v>4111889</v>
      </c>
      <c r="DN73" s="12">
        <v>4052659</v>
      </c>
      <c r="DO73" s="12">
        <v>4120442</v>
      </c>
      <c r="DP73" s="12">
        <v>4044619</v>
      </c>
      <c r="DQ73" s="12">
        <v>4030317</v>
      </c>
      <c r="DR73" s="12">
        <v>4540598</v>
      </c>
    </row>
    <row r="74" spans="1:122" s="9" customFormat="1"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</row>
    <row r="75" spans="1:122" s="9" customFormat="1">
      <c r="A75" s="9" t="s">
        <v>428</v>
      </c>
      <c r="B75" s="9" t="s">
        <v>427</v>
      </c>
      <c r="C75" s="12">
        <v>912756106</v>
      </c>
      <c r="D75" s="12">
        <v>803800543</v>
      </c>
      <c r="E75" s="12">
        <v>917174408</v>
      </c>
      <c r="F75" s="12">
        <v>873245205</v>
      </c>
      <c r="G75" s="12">
        <v>914057663</v>
      </c>
      <c r="H75" s="12">
        <v>939596703</v>
      </c>
      <c r="I75" s="12">
        <v>984323499</v>
      </c>
      <c r="J75" s="12">
        <v>1011814355</v>
      </c>
      <c r="K75" s="12">
        <v>961769667</v>
      </c>
      <c r="L75" s="12">
        <v>976483877</v>
      </c>
      <c r="M75" s="12">
        <v>948019185</v>
      </c>
      <c r="N75" s="12">
        <v>937485207</v>
      </c>
      <c r="O75" s="12">
        <v>924221347</v>
      </c>
      <c r="P75" s="12">
        <v>810687123</v>
      </c>
      <c r="Q75" s="12">
        <v>919193077</v>
      </c>
      <c r="R75" s="12">
        <v>887500041</v>
      </c>
      <c r="S75" s="12">
        <v>945490085</v>
      </c>
      <c r="T75" s="12">
        <v>937372731</v>
      </c>
      <c r="U75" s="12">
        <v>985751363</v>
      </c>
      <c r="V75" s="12">
        <v>1003618850</v>
      </c>
      <c r="W75" s="12">
        <v>958240218</v>
      </c>
      <c r="X75" s="12">
        <v>975568969</v>
      </c>
      <c r="Y75" s="12">
        <v>920586212</v>
      </c>
      <c r="Z75" s="12">
        <v>925338667</v>
      </c>
      <c r="AA75" s="12">
        <v>889263388</v>
      </c>
      <c r="AB75" s="12">
        <v>848734198</v>
      </c>
      <c r="AC75" s="12">
        <v>922429854</v>
      </c>
      <c r="AD75" s="12">
        <v>886419193</v>
      </c>
      <c r="AE75" s="12">
        <v>932377995</v>
      </c>
      <c r="AF75" s="12">
        <v>917826932</v>
      </c>
      <c r="AG75" s="12">
        <v>972810962</v>
      </c>
      <c r="AH75" s="12">
        <v>968102930</v>
      </c>
      <c r="AI75" s="12">
        <v>923223541</v>
      </c>
      <c r="AJ75" s="12">
        <v>942641783</v>
      </c>
      <c r="AK75" s="12">
        <v>881078574</v>
      </c>
      <c r="AL75" s="12">
        <v>900408996</v>
      </c>
      <c r="AM75" s="12">
        <v>859019606</v>
      </c>
      <c r="AN75" s="12">
        <v>761058937</v>
      </c>
      <c r="AO75" s="12">
        <v>845159735</v>
      </c>
      <c r="AP75" s="12">
        <v>826563429</v>
      </c>
      <c r="AQ75" s="12">
        <v>904707842</v>
      </c>
      <c r="AR75" s="12">
        <v>910090179</v>
      </c>
      <c r="AS75" s="12">
        <v>947074726</v>
      </c>
      <c r="AT75" s="12">
        <v>960733417</v>
      </c>
      <c r="AU75" s="12">
        <v>921294748</v>
      </c>
      <c r="AV75" s="12">
        <v>965934375</v>
      </c>
      <c r="AW75" s="12">
        <v>878764310</v>
      </c>
      <c r="AX75" s="12">
        <v>887097759</v>
      </c>
      <c r="AY75" s="12">
        <v>875822113</v>
      </c>
      <c r="AZ75" s="12">
        <v>769758636</v>
      </c>
      <c r="BA75" s="12">
        <v>853122666</v>
      </c>
      <c r="BB75" s="12">
        <v>837098204</v>
      </c>
      <c r="BC75" s="12">
        <v>890126017</v>
      </c>
      <c r="BD75" s="12">
        <v>879994665</v>
      </c>
      <c r="BE75" s="12">
        <v>911595359</v>
      </c>
      <c r="BF75" s="12">
        <v>930399440</v>
      </c>
      <c r="BG75" s="12">
        <v>894536169</v>
      </c>
      <c r="BH75" s="12">
        <v>915878763</v>
      </c>
      <c r="BI75" s="12">
        <v>869148541</v>
      </c>
      <c r="BJ75" s="12">
        <v>895947385</v>
      </c>
      <c r="BK75" s="12">
        <v>868747138</v>
      </c>
      <c r="BL75" s="12">
        <v>812719189</v>
      </c>
      <c r="BM75" s="12">
        <v>886556644</v>
      </c>
      <c r="BN75" s="12">
        <v>868765753</v>
      </c>
      <c r="BO75" s="12">
        <v>888902328</v>
      </c>
      <c r="BP75" s="12">
        <v>859926440</v>
      </c>
      <c r="BQ75" s="12">
        <v>897362636</v>
      </c>
      <c r="BR75" s="12">
        <v>915751871</v>
      </c>
      <c r="BS75" s="12">
        <v>881854093</v>
      </c>
      <c r="BT75" s="12">
        <v>900004894</v>
      </c>
      <c r="BU75" s="12">
        <v>846589422</v>
      </c>
      <c r="BV75" s="12">
        <v>858002645</v>
      </c>
      <c r="BW75" s="12">
        <v>858119649</v>
      </c>
      <c r="BX75" s="12">
        <v>791017293</v>
      </c>
      <c r="BY75" s="12">
        <v>829244894</v>
      </c>
      <c r="BZ75" s="12">
        <v>808163804</v>
      </c>
      <c r="CA75" s="12">
        <v>846748901</v>
      </c>
      <c r="CB75" s="12">
        <v>832905864</v>
      </c>
      <c r="CC75" s="12">
        <v>867744933</v>
      </c>
      <c r="CD75" s="12">
        <v>897577538</v>
      </c>
      <c r="CE75" s="12">
        <v>838298095</v>
      </c>
      <c r="CF75" s="12">
        <v>892409979</v>
      </c>
      <c r="CG75" s="12">
        <v>830314356</v>
      </c>
      <c r="CH75" s="12">
        <v>854217552</v>
      </c>
      <c r="CI75" s="12">
        <v>821102452</v>
      </c>
      <c r="CJ75" s="12">
        <v>723020723</v>
      </c>
      <c r="CK75" s="12">
        <v>797749743</v>
      </c>
      <c r="CL75" s="12">
        <v>810785779</v>
      </c>
      <c r="CM75" s="12">
        <v>845502653</v>
      </c>
      <c r="CN75" s="12">
        <v>821238515</v>
      </c>
      <c r="CO75" s="12">
        <v>880928352</v>
      </c>
      <c r="CP75" s="12">
        <v>888648330</v>
      </c>
      <c r="CQ75" s="12">
        <v>853480367</v>
      </c>
      <c r="CR75" s="12">
        <v>883493453</v>
      </c>
      <c r="CS75" s="12">
        <v>823331117</v>
      </c>
      <c r="CT75" s="12">
        <v>849875041</v>
      </c>
      <c r="CU75" s="12">
        <v>801843342</v>
      </c>
      <c r="CV75" s="12">
        <v>751813852</v>
      </c>
      <c r="CW75" s="12">
        <v>793196071</v>
      </c>
      <c r="CX75" s="12">
        <v>774936587</v>
      </c>
      <c r="CY75" s="12">
        <v>829554245</v>
      </c>
      <c r="CZ75" s="12">
        <v>806616240</v>
      </c>
      <c r="DA75" s="12">
        <v>872424263</v>
      </c>
      <c r="DB75" s="12">
        <v>880525681</v>
      </c>
      <c r="DC75" s="12">
        <v>876179799</v>
      </c>
      <c r="DD75" s="12">
        <v>888995351</v>
      </c>
      <c r="DE75" s="12">
        <v>803637086</v>
      </c>
      <c r="DF75" s="12">
        <v>804107087</v>
      </c>
      <c r="DG75" s="12">
        <v>772991682</v>
      </c>
      <c r="DH75" s="12">
        <v>711207929</v>
      </c>
      <c r="DI75" s="12">
        <v>768958780</v>
      </c>
      <c r="DJ75" s="12">
        <v>777408080</v>
      </c>
      <c r="DK75" s="12">
        <v>783941294</v>
      </c>
      <c r="DL75" s="12">
        <v>805107465</v>
      </c>
      <c r="DM75" s="12">
        <v>894393441</v>
      </c>
      <c r="DN75" s="12">
        <v>931277362</v>
      </c>
      <c r="DO75" s="12">
        <v>887366848</v>
      </c>
      <c r="DP75" s="12">
        <v>876569406</v>
      </c>
      <c r="DQ75" s="12">
        <v>844082380</v>
      </c>
      <c r="DR75" s="12">
        <v>831090139</v>
      </c>
    </row>
    <row r="76" spans="1:122" s="9" customFormat="1">
      <c r="A76" s="9" t="s">
        <v>429</v>
      </c>
      <c r="B76" s="9" t="s">
        <v>427</v>
      </c>
      <c r="C76" s="12">
        <v>34977343</v>
      </c>
      <c r="D76" s="12">
        <v>28110640</v>
      </c>
      <c r="E76" s="12">
        <v>31372853</v>
      </c>
      <c r="F76" s="12">
        <v>32073853</v>
      </c>
      <c r="G76" s="12">
        <v>31903125</v>
      </c>
      <c r="H76" s="12">
        <v>32330359</v>
      </c>
      <c r="I76" s="12">
        <v>32874072</v>
      </c>
      <c r="J76" s="12">
        <v>34876796</v>
      </c>
      <c r="K76" s="12">
        <v>33405789</v>
      </c>
      <c r="L76" s="12">
        <v>33296048</v>
      </c>
      <c r="M76" s="12">
        <v>32534088</v>
      </c>
      <c r="N76" s="12">
        <v>31484026</v>
      </c>
      <c r="O76" s="12">
        <v>31871461</v>
      </c>
      <c r="P76" s="12">
        <v>28728969</v>
      </c>
      <c r="Q76" s="12">
        <v>34487006</v>
      </c>
      <c r="R76" s="12">
        <v>29396443</v>
      </c>
      <c r="S76" s="12">
        <v>31279210</v>
      </c>
      <c r="T76" s="12">
        <v>32097064</v>
      </c>
      <c r="U76" s="12">
        <v>32782772</v>
      </c>
      <c r="V76" s="12">
        <v>33484716</v>
      </c>
      <c r="W76" s="12">
        <v>33687994</v>
      </c>
      <c r="X76" s="12">
        <v>35276268</v>
      </c>
      <c r="Y76" s="12">
        <v>32182892</v>
      </c>
      <c r="Z76" s="12">
        <v>32310945</v>
      </c>
      <c r="AA76" s="12">
        <v>30713027</v>
      </c>
      <c r="AB76" s="12">
        <v>31498917</v>
      </c>
      <c r="AC76" s="12">
        <v>32587175</v>
      </c>
      <c r="AD76" s="12">
        <v>30066248</v>
      </c>
      <c r="AE76" s="12">
        <v>31682827</v>
      </c>
      <c r="AF76" s="12">
        <v>30897141</v>
      </c>
      <c r="AG76" s="12">
        <v>33239630</v>
      </c>
      <c r="AH76" s="12">
        <v>33000773</v>
      </c>
      <c r="AI76" s="12">
        <v>31782680</v>
      </c>
      <c r="AJ76" s="12">
        <v>32928745</v>
      </c>
      <c r="AK76" s="12">
        <v>28169314</v>
      </c>
      <c r="AL76" s="12">
        <v>28076809</v>
      </c>
      <c r="AM76" s="12">
        <v>29210885</v>
      </c>
      <c r="AN76" s="12">
        <v>27332502</v>
      </c>
      <c r="AO76" s="12">
        <v>28731263</v>
      </c>
      <c r="AP76" s="12">
        <v>26371621</v>
      </c>
      <c r="AQ76" s="12">
        <v>32954117</v>
      </c>
      <c r="AR76" s="12">
        <v>31223410</v>
      </c>
      <c r="AS76" s="12">
        <v>32756044</v>
      </c>
      <c r="AT76" s="12">
        <v>33463449</v>
      </c>
      <c r="AU76" s="12">
        <v>32318317</v>
      </c>
      <c r="AV76" s="12">
        <v>34484260</v>
      </c>
      <c r="AW76" s="12">
        <v>31023354</v>
      </c>
      <c r="AX76" s="12">
        <v>31816850</v>
      </c>
      <c r="AY76" s="12">
        <v>31502923</v>
      </c>
      <c r="AZ76" s="12">
        <v>30064136</v>
      </c>
      <c r="BA76" s="12">
        <v>33497205</v>
      </c>
      <c r="BB76" s="12">
        <v>30995575</v>
      </c>
      <c r="BC76" s="12">
        <v>31749640</v>
      </c>
      <c r="BD76" s="12">
        <v>30564333</v>
      </c>
      <c r="BE76" s="12">
        <v>32783142</v>
      </c>
      <c r="BF76" s="12">
        <v>32455451</v>
      </c>
      <c r="BG76" s="12">
        <v>31957267</v>
      </c>
      <c r="BH76" s="12">
        <v>33379334</v>
      </c>
      <c r="BI76" s="12">
        <v>31895699</v>
      </c>
      <c r="BJ76" s="12">
        <v>30769011</v>
      </c>
      <c r="BK76" s="12">
        <v>31322381</v>
      </c>
      <c r="BL76" s="12">
        <v>29766177</v>
      </c>
      <c r="BM76" s="12">
        <v>33852749</v>
      </c>
      <c r="BN76" s="12">
        <v>31547147</v>
      </c>
      <c r="BO76" s="12">
        <v>32144801</v>
      </c>
      <c r="BP76" s="12">
        <v>30164042</v>
      </c>
      <c r="BQ76" s="12">
        <v>31897484</v>
      </c>
      <c r="BR76" s="12">
        <v>32381253</v>
      </c>
      <c r="BS76" s="12">
        <v>31076918</v>
      </c>
      <c r="BT76" s="12">
        <v>31427072</v>
      </c>
      <c r="BU76" s="12">
        <v>30734218</v>
      </c>
      <c r="BV76" s="12">
        <v>32736981</v>
      </c>
      <c r="BW76" s="12">
        <v>31560104</v>
      </c>
      <c r="BX76" s="12">
        <v>29061653</v>
      </c>
      <c r="BY76" s="12">
        <v>31705820</v>
      </c>
      <c r="BZ76" s="12">
        <v>29091526</v>
      </c>
      <c r="CA76" s="12">
        <v>29802791</v>
      </c>
      <c r="CB76" s="12">
        <v>29658551</v>
      </c>
      <c r="CC76" s="12">
        <v>29865283</v>
      </c>
      <c r="CD76" s="12">
        <v>31479239</v>
      </c>
      <c r="CE76" s="12">
        <v>29412332</v>
      </c>
      <c r="CF76" s="12">
        <v>31138981</v>
      </c>
      <c r="CG76" s="12">
        <v>28636913</v>
      </c>
      <c r="CH76" s="12">
        <v>30105373</v>
      </c>
      <c r="CI76" s="12">
        <v>31914167</v>
      </c>
      <c r="CJ76" s="12">
        <v>26799664</v>
      </c>
      <c r="CK76" s="12">
        <v>30249721</v>
      </c>
      <c r="CL76" s="12">
        <v>28207916</v>
      </c>
      <c r="CM76" s="12">
        <v>28928872</v>
      </c>
      <c r="CN76" s="12">
        <v>27969192</v>
      </c>
      <c r="CO76" s="12">
        <v>29494336</v>
      </c>
      <c r="CP76" s="12">
        <v>27934776</v>
      </c>
      <c r="CQ76" s="12">
        <v>26052759</v>
      </c>
      <c r="CR76" s="12">
        <v>30085259</v>
      </c>
      <c r="CS76" s="12">
        <v>28321754</v>
      </c>
      <c r="CT76" s="12">
        <v>29032509</v>
      </c>
      <c r="CU76" s="12">
        <v>29264654</v>
      </c>
      <c r="CV76" s="12">
        <v>27138579</v>
      </c>
      <c r="CW76" s="12">
        <v>26670066</v>
      </c>
      <c r="CX76" s="12">
        <v>25672999</v>
      </c>
      <c r="CY76" s="12">
        <v>27472961</v>
      </c>
      <c r="CZ76" s="12">
        <v>26724703</v>
      </c>
      <c r="DA76" s="12">
        <v>27032959</v>
      </c>
      <c r="DB76" s="12">
        <v>29036744</v>
      </c>
      <c r="DC76" s="12">
        <v>30505542</v>
      </c>
      <c r="DD76" s="12">
        <v>27572646</v>
      </c>
      <c r="DE76" s="12">
        <v>23788930</v>
      </c>
      <c r="DF76" s="12">
        <v>26109350</v>
      </c>
      <c r="DG76" s="12">
        <v>498954648</v>
      </c>
      <c r="DH76" s="12">
        <v>393236598</v>
      </c>
      <c r="DI76" s="12">
        <v>443610678</v>
      </c>
      <c r="DJ76" s="12">
        <v>470159563</v>
      </c>
      <c r="DK76" s="12">
        <v>465960576</v>
      </c>
      <c r="DL76" s="12">
        <v>474481665</v>
      </c>
      <c r="DM76" s="12">
        <v>515989934</v>
      </c>
      <c r="DN76" s="12">
        <v>561120082</v>
      </c>
      <c r="DO76" s="12">
        <v>515903655</v>
      </c>
      <c r="DP76" s="12">
        <v>511893343</v>
      </c>
      <c r="DQ76" s="12">
        <v>479482735</v>
      </c>
      <c r="DR76" s="12">
        <v>467879960</v>
      </c>
    </row>
    <row r="77" spans="1:122" s="9" customFormat="1">
      <c r="A77" s="9" t="s">
        <v>430</v>
      </c>
      <c r="B77" s="9" t="s">
        <v>427</v>
      </c>
      <c r="C77" s="12">
        <v>514399230</v>
      </c>
      <c r="D77" s="12">
        <v>412028610</v>
      </c>
      <c r="E77" s="12">
        <v>454803010</v>
      </c>
      <c r="F77" s="12">
        <v>489449140</v>
      </c>
      <c r="G77" s="12">
        <v>460798400</v>
      </c>
      <c r="H77" s="12">
        <v>481712950</v>
      </c>
      <c r="I77" s="12">
        <v>498020230</v>
      </c>
      <c r="J77" s="12">
        <v>538186980</v>
      </c>
      <c r="K77" s="12">
        <v>509988190</v>
      </c>
      <c r="L77" s="12">
        <v>498636210</v>
      </c>
      <c r="M77" s="12">
        <v>477756510</v>
      </c>
      <c r="N77" s="12">
        <v>459068360</v>
      </c>
      <c r="O77" s="12">
        <v>461357820</v>
      </c>
      <c r="P77" s="12">
        <v>417321060</v>
      </c>
      <c r="Q77" s="12">
        <v>517163600</v>
      </c>
      <c r="R77" s="12">
        <v>426622120</v>
      </c>
      <c r="S77" s="12">
        <v>459470960</v>
      </c>
      <c r="T77" s="12">
        <v>468606030</v>
      </c>
      <c r="U77" s="12">
        <v>503482270</v>
      </c>
      <c r="V77" s="12">
        <v>521800170</v>
      </c>
      <c r="W77" s="12">
        <v>504086240</v>
      </c>
      <c r="X77" s="12">
        <v>531936960</v>
      </c>
      <c r="Y77" s="12">
        <v>461050540</v>
      </c>
      <c r="Z77" s="12">
        <v>471340650</v>
      </c>
      <c r="AA77" s="12">
        <v>436389330</v>
      </c>
      <c r="AB77" s="12">
        <v>474534990</v>
      </c>
      <c r="AC77" s="12">
        <v>479159720</v>
      </c>
      <c r="AD77" s="12">
        <v>424231850</v>
      </c>
      <c r="AE77" s="12">
        <v>463252380</v>
      </c>
      <c r="AF77" s="12">
        <v>456516890</v>
      </c>
      <c r="AG77" s="12">
        <v>485535350</v>
      </c>
      <c r="AH77" s="12">
        <v>486405620</v>
      </c>
      <c r="AI77" s="12">
        <v>477508900</v>
      </c>
      <c r="AJ77" s="12">
        <v>504497240</v>
      </c>
      <c r="AK77" s="12">
        <v>430915830</v>
      </c>
      <c r="AL77" s="12">
        <v>421004600</v>
      </c>
      <c r="AM77" s="12">
        <v>422336490</v>
      </c>
      <c r="AN77" s="12">
        <v>403784910</v>
      </c>
      <c r="AO77" s="12">
        <v>436832650</v>
      </c>
      <c r="AP77" s="12">
        <v>377239100</v>
      </c>
      <c r="AQ77" s="12">
        <v>484369230</v>
      </c>
      <c r="AR77" s="12">
        <v>450452850</v>
      </c>
      <c r="AS77" s="12">
        <v>482147130</v>
      </c>
      <c r="AT77" s="12">
        <v>470776020</v>
      </c>
      <c r="AU77" s="12">
        <v>450669360</v>
      </c>
      <c r="AV77" s="12">
        <v>488028720</v>
      </c>
      <c r="AW77" s="12">
        <v>419111410</v>
      </c>
      <c r="AX77" s="12">
        <v>422496440</v>
      </c>
      <c r="AY77" s="12">
        <v>423030420</v>
      </c>
      <c r="AZ77" s="12">
        <v>430803550</v>
      </c>
      <c r="BA77" s="12">
        <v>474055250</v>
      </c>
      <c r="BB77" s="12">
        <v>406057830</v>
      </c>
      <c r="BC77" s="12">
        <v>446508910</v>
      </c>
      <c r="BD77" s="12">
        <v>412574920</v>
      </c>
      <c r="BE77" s="12">
        <v>444303700</v>
      </c>
      <c r="BF77" s="12">
        <v>440694780</v>
      </c>
      <c r="BG77" s="12">
        <v>431563000</v>
      </c>
      <c r="BH77" s="12">
        <v>450317250</v>
      </c>
      <c r="BI77" s="12">
        <v>432588460</v>
      </c>
      <c r="BJ77" s="12">
        <v>415023920</v>
      </c>
      <c r="BK77" s="12">
        <v>407248760</v>
      </c>
      <c r="BL77" s="12">
        <v>415800150</v>
      </c>
      <c r="BM77" s="12">
        <v>465520540</v>
      </c>
      <c r="BN77" s="12">
        <v>427889870</v>
      </c>
      <c r="BO77" s="12">
        <v>434892730</v>
      </c>
      <c r="BP77" s="12">
        <v>398677240</v>
      </c>
      <c r="BQ77" s="12">
        <v>421202140</v>
      </c>
      <c r="BR77" s="12">
        <v>434049850</v>
      </c>
      <c r="BS77" s="12">
        <v>435887440</v>
      </c>
      <c r="BT77" s="12">
        <v>432757720</v>
      </c>
      <c r="BU77" s="12">
        <v>421862910</v>
      </c>
      <c r="BV77" s="12">
        <v>460094740</v>
      </c>
      <c r="BW77" s="12">
        <v>422754650</v>
      </c>
      <c r="BX77" s="12">
        <v>393871500</v>
      </c>
      <c r="BY77" s="12">
        <v>439160990</v>
      </c>
      <c r="BZ77" s="12">
        <v>399386550</v>
      </c>
      <c r="CA77" s="12">
        <v>378863840</v>
      </c>
      <c r="CB77" s="12">
        <v>385686860</v>
      </c>
      <c r="CC77" s="12">
        <v>391595290</v>
      </c>
      <c r="CD77" s="12">
        <v>426193400</v>
      </c>
      <c r="CE77" s="12">
        <v>391530390</v>
      </c>
      <c r="CF77" s="12">
        <v>421128760</v>
      </c>
      <c r="CG77" s="12">
        <v>381759120</v>
      </c>
      <c r="CH77" s="12">
        <v>390512400</v>
      </c>
      <c r="CI77" s="12">
        <v>452613730</v>
      </c>
      <c r="CJ77" s="12">
        <v>352174450</v>
      </c>
      <c r="CK77" s="12">
        <v>396740850</v>
      </c>
      <c r="CL77" s="12">
        <v>368896470</v>
      </c>
      <c r="CM77" s="12">
        <v>372380906</v>
      </c>
      <c r="CN77" s="12">
        <v>361805916</v>
      </c>
      <c r="CO77" s="12">
        <v>372656492</v>
      </c>
      <c r="CP77" s="12">
        <v>375341687</v>
      </c>
      <c r="CQ77" s="12">
        <v>354607690</v>
      </c>
      <c r="CR77" s="12">
        <v>404482780</v>
      </c>
      <c r="CS77" s="12">
        <v>366526910</v>
      </c>
      <c r="CT77" s="12">
        <v>360378500</v>
      </c>
      <c r="CU77" s="12">
        <v>381782480</v>
      </c>
      <c r="CV77" s="12">
        <v>365636930</v>
      </c>
      <c r="CW77" s="12">
        <v>341889750</v>
      </c>
      <c r="CX77" s="12">
        <v>315829006</v>
      </c>
      <c r="CY77" s="12">
        <v>356661300</v>
      </c>
      <c r="CZ77" s="12">
        <v>347813766</v>
      </c>
      <c r="DA77" s="12">
        <v>346961272</v>
      </c>
      <c r="DB77" s="12">
        <v>365348864</v>
      </c>
      <c r="DC77" s="12">
        <v>430586902</v>
      </c>
      <c r="DD77" s="12">
        <v>368397384</v>
      </c>
      <c r="DE77" s="12">
        <v>315340044</v>
      </c>
      <c r="DF77" s="12">
        <v>351298395</v>
      </c>
      <c r="DG77" s="12">
        <v>356445365</v>
      </c>
      <c r="DH77" s="12">
        <v>280192210</v>
      </c>
      <c r="DI77" s="12">
        <v>308322414</v>
      </c>
      <c r="DJ77" s="12">
        <v>359650668</v>
      </c>
      <c r="DK77" s="12">
        <v>351456324</v>
      </c>
      <c r="DL77" s="12">
        <v>358794650</v>
      </c>
      <c r="DM77" s="12">
        <v>374292352</v>
      </c>
      <c r="DN77" s="12">
        <v>387666610</v>
      </c>
      <c r="DO77" s="12">
        <v>371626172</v>
      </c>
      <c r="DP77" s="12">
        <v>366505548</v>
      </c>
      <c r="DQ77" s="12">
        <v>348236896</v>
      </c>
      <c r="DR77" s="12">
        <v>346344024</v>
      </c>
    </row>
    <row r="78" spans="1:122" s="9" customFormat="1">
      <c r="A78" s="9" t="s">
        <v>431</v>
      </c>
      <c r="B78" s="9" t="s">
        <v>427</v>
      </c>
      <c r="C78" s="12">
        <v>146169219</v>
      </c>
      <c r="D78" s="12">
        <v>117118317</v>
      </c>
      <c r="E78" s="12">
        <v>129815236</v>
      </c>
      <c r="F78" s="12">
        <v>122363844</v>
      </c>
      <c r="G78" s="12">
        <v>130931221</v>
      </c>
      <c r="H78" s="12">
        <v>138100247</v>
      </c>
      <c r="I78" s="12">
        <v>137844320</v>
      </c>
      <c r="J78" s="12">
        <v>149634280</v>
      </c>
      <c r="K78" s="12">
        <v>127180136</v>
      </c>
      <c r="L78" s="12">
        <v>144904046</v>
      </c>
      <c r="M78" s="12">
        <v>141209230</v>
      </c>
      <c r="N78" s="12">
        <v>131518670</v>
      </c>
      <c r="O78" s="12">
        <v>129590760</v>
      </c>
      <c r="P78" s="12">
        <v>115562256</v>
      </c>
      <c r="Q78" s="12">
        <v>141598992</v>
      </c>
      <c r="R78" s="12">
        <v>117986261</v>
      </c>
      <c r="S78" s="12">
        <v>134735761</v>
      </c>
      <c r="T78" s="12">
        <v>128221372</v>
      </c>
      <c r="U78" s="12">
        <v>139450536</v>
      </c>
      <c r="V78" s="12">
        <v>139148216</v>
      </c>
      <c r="W78" s="12">
        <v>131872835</v>
      </c>
      <c r="X78" s="12">
        <v>133191457</v>
      </c>
      <c r="Y78" s="12">
        <v>133414055</v>
      </c>
      <c r="Z78" s="12">
        <v>120954954</v>
      </c>
      <c r="AA78" s="12">
        <v>120092083</v>
      </c>
      <c r="AB78" s="12">
        <v>116360526</v>
      </c>
      <c r="AC78" s="12">
        <v>127428854</v>
      </c>
      <c r="AD78" s="12">
        <v>132502458</v>
      </c>
      <c r="AE78" s="12">
        <v>126495839</v>
      </c>
      <c r="AF78" s="12">
        <v>131584974</v>
      </c>
      <c r="AG78" s="12">
        <v>143811976</v>
      </c>
      <c r="AH78" s="12">
        <v>129935956</v>
      </c>
      <c r="AI78" s="12">
        <v>125419880</v>
      </c>
      <c r="AJ78" s="12">
        <v>129265399</v>
      </c>
      <c r="AK78" s="12">
        <v>111103520</v>
      </c>
      <c r="AL78" s="12">
        <v>122146758</v>
      </c>
      <c r="AM78" s="12">
        <v>113839458</v>
      </c>
      <c r="AN78" s="12">
        <v>94511842</v>
      </c>
      <c r="AO78" s="12">
        <v>107440096</v>
      </c>
      <c r="AP78" s="12">
        <v>116585226</v>
      </c>
      <c r="AQ78" s="12">
        <v>132975707</v>
      </c>
      <c r="AR78" s="12">
        <v>128055601</v>
      </c>
      <c r="AS78" s="12">
        <v>136747017</v>
      </c>
      <c r="AT78" s="12">
        <v>144142586</v>
      </c>
      <c r="AU78" s="12">
        <v>141217966</v>
      </c>
      <c r="AV78" s="12">
        <v>157651580</v>
      </c>
      <c r="AW78" s="12">
        <v>128127785</v>
      </c>
      <c r="AX78" s="12">
        <v>141063969</v>
      </c>
      <c r="AY78" s="12">
        <v>131797883</v>
      </c>
      <c r="AZ78" s="12">
        <v>117265813</v>
      </c>
      <c r="BA78" s="12">
        <v>124803684</v>
      </c>
      <c r="BB78" s="12">
        <v>120034507</v>
      </c>
      <c r="BC78" s="12">
        <v>125107007</v>
      </c>
      <c r="BD78" s="12">
        <v>134336987</v>
      </c>
      <c r="BE78" s="12">
        <v>139135738</v>
      </c>
      <c r="BF78" s="12">
        <v>138629075</v>
      </c>
      <c r="BG78" s="12">
        <v>130695205</v>
      </c>
      <c r="BH78" s="12">
        <v>136698814</v>
      </c>
      <c r="BI78" s="12">
        <v>132350450</v>
      </c>
      <c r="BJ78" s="12">
        <v>146039580</v>
      </c>
      <c r="BK78" s="12">
        <v>141557554</v>
      </c>
      <c r="BL78" s="12">
        <v>131015251</v>
      </c>
      <c r="BM78" s="12">
        <v>131517744</v>
      </c>
      <c r="BN78" s="12">
        <v>132246793</v>
      </c>
      <c r="BO78" s="12">
        <v>141249145</v>
      </c>
      <c r="BP78" s="12">
        <v>132461417</v>
      </c>
      <c r="BQ78" s="12">
        <v>138587651</v>
      </c>
      <c r="BR78" s="12">
        <v>138225211</v>
      </c>
      <c r="BS78" s="12">
        <v>137254744</v>
      </c>
      <c r="BT78" s="12">
        <v>135816041</v>
      </c>
      <c r="BU78" s="12">
        <v>118909430</v>
      </c>
      <c r="BV78" s="12">
        <v>126693893</v>
      </c>
      <c r="BW78" s="12">
        <v>135965935</v>
      </c>
      <c r="BX78" s="12">
        <v>125368736</v>
      </c>
      <c r="BY78" s="12">
        <v>121747424</v>
      </c>
      <c r="BZ78" s="12">
        <v>117876791</v>
      </c>
      <c r="CA78" s="12">
        <v>121632674</v>
      </c>
      <c r="CB78" s="12">
        <v>114758979</v>
      </c>
      <c r="CC78" s="12">
        <v>118206952</v>
      </c>
      <c r="CD78" s="12">
        <v>129754403</v>
      </c>
      <c r="CE78" s="12">
        <v>117958595</v>
      </c>
      <c r="CF78" s="12">
        <v>141891292</v>
      </c>
      <c r="CG78" s="12">
        <v>117595425</v>
      </c>
      <c r="CH78" s="12">
        <v>129232755</v>
      </c>
      <c r="CI78" s="12">
        <v>127309229</v>
      </c>
      <c r="CJ78" s="12">
        <v>98188637</v>
      </c>
      <c r="CK78" s="12">
        <v>131184303</v>
      </c>
      <c r="CL78" s="12">
        <v>119334910</v>
      </c>
      <c r="CM78" s="12">
        <v>130735283</v>
      </c>
      <c r="CN78" s="12">
        <v>113236173</v>
      </c>
      <c r="CO78" s="12">
        <v>138060397</v>
      </c>
      <c r="CP78" s="12">
        <v>125096655</v>
      </c>
      <c r="CQ78" s="12">
        <v>124546910</v>
      </c>
      <c r="CR78" s="12">
        <v>130819903</v>
      </c>
      <c r="CS78" s="12">
        <v>126661682</v>
      </c>
      <c r="CT78" s="12">
        <v>135712725</v>
      </c>
      <c r="CU78" s="12">
        <v>122859750</v>
      </c>
      <c r="CV78" s="12">
        <v>122090088</v>
      </c>
      <c r="CW78" s="12">
        <v>122395092</v>
      </c>
      <c r="CX78" s="12">
        <v>107584142</v>
      </c>
      <c r="CY78" s="12">
        <v>121630457</v>
      </c>
      <c r="CZ78" s="12">
        <v>107777438</v>
      </c>
      <c r="DA78" s="12">
        <v>120055782</v>
      </c>
      <c r="DB78" s="12">
        <v>141833202</v>
      </c>
      <c r="DC78" s="12">
        <v>140439754</v>
      </c>
      <c r="DD78" s="12">
        <v>139213978</v>
      </c>
      <c r="DE78" s="12">
        <v>113510132</v>
      </c>
      <c r="DF78" s="12">
        <v>121205075</v>
      </c>
      <c r="DG78" s="12">
        <v>135726530</v>
      </c>
      <c r="DH78" s="12">
        <v>108233990</v>
      </c>
      <c r="DI78" s="12">
        <v>130973213</v>
      </c>
      <c r="DJ78" s="12">
        <v>105554088</v>
      </c>
      <c r="DK78" s="12">
        <v>107548420</v>
      </c>
      <c r="DL78" s="12">
        <v>111903943</v>
      </c>
      <c r="DM78" s="12">
        <v>133160787</v>
      </c>
      <c r="DN78" s="12">
        <v>157137701</v>
      </c>
      <c r="DO78" s="12">
        <v>134167278</v>
      </c>
      <c r="DP78" s="12">
        <v>137658220</v>
      </c>
      <c r="DQ78" s="12">
        <v>124858950</v>
      </c>
      <c r="DR78" s="12">
        <v>115899751</v>
      </c>
    </row>
    <row r="79" spans="1:122" s="9" customFormat="1">
      <c r="A79" s="9" t="s">
        <v>432</v>
      </c>
      <c r="B79" s="9" t="s">
        <v>427</v>
      </c>
      <c r="C79" s="210">
        <v>0</v>
      </c>
      <c r="D79" s="210">
        <v>0</v>
      </c>
      <c r="E79" s="210">
        <v>0</v>
      </c>
      <c r="F79" s="210">
        <v>0</v>
      </c>
      <c r="G79" s="210">
        <v>0</v>
      </c>
      <c r="H79" s="210">
        <v>0</v>
      </c>
      <c r="I79" s="210">
        <v>0</v>
      </c>
      <c r="J79" s="210">
        <v>0</v>
      </c>
      <c r="K79" s="210">
        <v>0</v>
      </c>
      <c r="L79" s="210">
        <v>0</v>
      </c>
      <c r="M79" s="210">
        <v>0</v>
      </c>
      <c r="N79" s="210">
        <v>0</v>
      </c>
      <c r="O79" s="210">
        <v>0</v>
      </c>
      <c r="P79" s="210">
        <v>0</v>
      </c>
      <c r="Q79" s="210">
        <v>0</v>
      </c>
      <c r="R79" s="210">
        <v>0</v>
      </c>
      <c r="S79" s="210">
        <v>0</v>
      </c>
      <c r="T79" s="210">
        <v>0</v>
      </c>
      <c r="U79" s="210">
        <v>0</v>
      </c>
      <c r="V79" s="210">
        <v>0</v>
      </c>
      <c r="W79" s="210">
        <v>0</v>
      </c>
      <c r="X79" s="210">
        <v>0</v>
      </c>
      <c r="Y79" s="210">
        <v>0</v>
      </c>
      <c r="Z79" s="210">
        <v>0</v>
      </c>
      <c r="AA79" s="210">
        <v>0</v>
      </c>
      <c r="AB79" s="210">
        <v>0</v>
      </c>
      <c r="AC79" s="210">
        <v>0</v>
      </c>
      <c r="AD79" s="210">
        <v>0</v>
      </c>
      <c r="AE79" s="210">
        <v>0</v>
      </c>
      <c r="AF79" s="210">
        <v>0</v>
      </c>
      <c r="AG79" s="210">
        <v>0</v>
      </c>
      <c r="AH79" s="210">
        <v>0</v>
      </c>
      <c r="AI79" s="210">
        <v>0</v>
      </c>
      <c r="AJ79" s="210">
        <v>0</v>
      </c>
      <c r="AK79" s="210">
        <v>0</v>
      </c>
      <c r="AL79" s="210">
        <v>0</v>
      </c>
      <c r="AM79" s="210">
        <v>0</v>
      </c>
      <c r="AN79" s="210">
        <v>0</v>
      </c>
      <c r="AO79" s="210">
        <v>0</v>
      </c>
      <c r="AP79" s="210">
        <v>0</v>
      </c>
      <c r="AQ79" s="210">
        <v>0</v>
      </c>
      <c r="AR79" s="210">
        <v>0</v>
      </c>
      <c r="AS79" s="210">
        <v>0</v>
      </c>
      <c r="AT79" s="210">
        <v>0</v>
      </c>
      <c r="AU79" s="210">
        <v>0</v>
      </c>
      <c r="AV79" s="210">
        <v>0</v>
      </c>
      <c r="AW79" s="210">
        <v>0</v>
      </c>
      <c r="AX79" s="210">
        <v>0</v>
      </c>
      <c r="AY79" s="210">
        <v>0</v>
      </c>
      <c r="AZ79" s="210">
        <v>0</v>
      </c>
      <c r="BA79" s="210">
        <v>0</v>
      </c>
      <c r="BB79" s="210">
        <v>0</v>
      </c>
      <c r="BC79" s="210">
        <v>0</v>
      </c>
      <c r="BD79" s="210">
        <v>0</v>
      </c>
      <c r="BE79" s="210">
        <v>0</v>
      </c>
      <c r="BF79" s="210">
        <v>0</v>
      </c>
      <c r="BG79" s="210">
        <v>0</v>
      </c>
      <c r="BH79" s="12">
        <v>59732</v>
      </c>
      <c r="BI79" s="12">
        <v>165</v>
      </c>
      <c r="BJ79" s="12">
        <v>2397734</v>
      </c>
      <c r="BK79" s="12">
        <v>2999112</v>
      </c>
      <c r="BL79" s="12">
        <v>722779</v>
      </c>
      <c r="BM79" s="12">
        <v>4405515</v>
      </c>
      <c r="BN79" s="12">
        <v>1417712</v>
      </c>
      <c r="BO79" s="12">
        <v>1206112</v>
      </c>
      <c r="BP79" s="12">
        <v>3145978</v>
      </c>
      <c r="BQ79" s="12">
        <v>2114243</v>
      </c>
      <c r="BR79" s="12">
        <v>4316899</v>
      </c>
      <c r="BS79" s="12">
        <v>5481863</v>
      </c>
      <c r="BT79" s="12">
        <v>678521</v>
      </c>
      <c r="BU79" s="12">
        <v>1293431</v>
      </c>
      <c r="BV79" s="12">
        <v>1287566</v>
      </c>
      <c r="BW79" s="12">
        <v>1297744</v>
      </c>
      <c r="BX79" s="12">
        <v>412161</v>
      </c>
      <c r="BY79" s="12">
        <v>2166357</v>
      </c>
      <c r="BZ79" s="12">
        <v>578123</v>
      </c>
      <c r="CA79" s="12">
        <v>2052350</v>
      </c>
      <c r="CB79" s="12">
        <v>6887552</v>
      </c>
      <c r="CC79" s="12">
        <v>1994431</v>
      </c>
      <c r="CD79" s="12">
        <v>822201</v>
      </c>
      <c r="CE79" s="12">
        <v>6016643</v>
      </c>
      <c r="CF79" s="12">
        <v>794385</v>
      </c>
      <c r="CG79" s="12">
        <v>1355083</v>
      </c>
      <c r="CH79" s="12">
        <v>1302034</v>
      </c>
      <c r="CI79" s="12">
        <v>4978888</v>
      </c>
      <c r="CJ79" s="12">
        <v>1569583</v>
      </c>
      <c r="CK79" s="12">
        <v>1157266</v>
      </c>
      <c r="CL79" s="12">
        <v>1413534</v>
      </c>
      <c r="CM79" s="12">
        <v>3874850</v>
      </c>
      <c r="CN79" s="12">
        <v>823825</v>
      </c>
      <c r="CO79" s="12">
        <v>1078316</v>
      </c>
      <c r="CP79" s="12">
        <v>2371960</v>
      </c>
      <c r="CQ79" s="12">
        <v>5214261</v>
      </c>
      <c r="CR79" s="12">
        <v>3722135</v>
      </c>
      <c r="CS79" s="12">
        <v>3122888</v>
      </c>
      <c r="CT79" s="12">
        <v>3592615</v>
      </c>
      <c r="CU79" s="12">
        <v>3249736</v>
      </c>
      <c r="CV79" s="12">
        <v>2264309</v>
      </c>
      <c r="CW79" s="12">
        <v>197222</v>
      </c>
      <c r="CX79" s="12">
        <v>1250791</v>
      </c>
      <c r="CY79" s="12">
        <v>5910171</v>
      </c>
      <c r="CZ79" s="12">
        <v>2067559</v>
      </c>
      <c r="DA79" s="12">
        <v>6431624</v>
      </c>
      <c r="DB79" s="12">
        <v>575026</v>
      </c>
      <c r="DC79" s="12">
        <v>0</v>
      </c>
      <c r="DD79" s="12">
        <v>7049264</v>
      </c>
      <c r="DE79" s="12">
        <v>3740591</v>
      </c>
      <c r="DF79" s="12">
        <v>7672259</v>
      </c>
      <c r="DG79" s="12">
        <v>5598625</v>
      </c>
      <c r="DH79" s="12">
        <v>3988492</v>
      </c>
      <c r="DI79" s="12">
        <v>2389470</v>
      </c>
      <c r="DJ79" s="12">
        <v>2010919</v>
      </c>
      <c r="DK79" s="12">
        <v>3836396</v>
      </c>
      <c r="DL79" s="12">
        <v>835745</v>
      </c>
      <c r="DM79" s="12">
        <v>6856061</v>
      </c>
      <c r="DN79" s="12">
        <v>13504681</v>
      </c>
      <c r="DO79" s="12">
        <v>7095761</v>
      </c>
      <c r="DP79" s="12">
        <v>5047877</v>
      </c>
      <c r="DQ79" s="12">
        <v>3219870</v>
      </c>
      <c r="DR79" s="12">
        <v>2801450</v>
      </c>
    </row>
    <row r="80" spans="1:122" s="9" customFormat="1">
      <c r="A80" s="9" t="s">
        <v>433</v>
      </c>
      <c r="B80" s="9" t="s">
        <v>427</v>
      </c>
      <c r="C80" s="12">
        <v>546683</v>
      </c>
      <c r="D80" s="12">
        <v>680342</v>
      </c>
      <c r="E80" s="12">
        <v>1512520</v>
      </c>
      <c r="F80" s="12">
        <v>3316442</v>
      </c>
      <c r="G80" s="12">
        <v>3653154</v>
      </c>
      <c r="H80" s="12">
        <v>3289178</v>
      </c>
      <c r="I80" s="12">
        <v>3324667</v>
      </c>
      <c r="J80" s="12">
        <v>3165174</v>
      </c>
      <c r="K80" s="12">
        <v>2949810</v>
      </c>
      <c r="L80" s="12">
        <v>3443331</v>
      </c>
      <c r="M80" s="12">
        <v>1854839</v>
      </c>
      <c r="N80" s="12">
        <v>1654652</v>
      </c>
      <c r="O80" s="12">
        <v>1996660</v>
      </c>
      <c r="P80" s="12">
        <v>1310110</v>
      </c>
      <c r="Q80" s="12">
        <v>2231601</v>
      </c>
      <c r="R80" s="12">
        <v>1222729</v>
      </c>
      <c r="S80" s="12">
        <v>1200977</v>
      </c>
      <c r="T80" s="12">
        <v>738070</v>
      </c>
      <c r="U80" s="12">
        <v>1137190</v>
      </c>
      <c r="V80" s="12">
        <v>1251871</v>
      </c>
      <c r="W80" s="12">
        <v>1289859</v>
      </c>
      <c r="X80" s="12">
        <v>1455918</v>
      </c>
      <c r="Y80" s="12">
        <v>1354495</v>
      </c>
      <c r="Z80" s="12">
        <v>1065054</v>
      </c>
      <c r="AA80" s="12">
        <v>1460553</v>
      </c>
      <c r="AB80" s="12">
        <v>1290119</v>
      </c>
      <c r="AC80" s="12">
        <v>1964797</v>
      </c>
      <c r="AD80" s="12">
        <v>1987685</v>
      </c>
      <c r="AE80" s="12">
        <v>1890517</v>
      </c>
      <c r="AF80" s="12">
        <v>1366294</v>
      </c>
      <c r="AG80" s="210">
        <v>1411174</v>
      </c>
      <c r="AH80" s="210">
        <v>1920585</v>
      </c>
      <c r="AI80" s="210">
        <v>1213789</v>
      </c>
      <c r="AJ80" s="12">
        <v>1134195</v>
      </c>
      <c r="AK80" s="12">
        <v>1512912</v>
      </c>
      <c r="AL80" s="12">
        <v>9377730</v>
      </c>
      <c r="AM80" s="12">
        <v>3079776</v>
      </c>
      <c r="AN80" s="12">
        <v>3086835</v>
      </c>
      <c r="AO80" s="12">
        <v>3640854</v>
      </c>
      <c r="AP80" s="12">
        <v>3710975</v>
      </c>
      <c r="AQ80" s="12">
        <v>2171889</v>
      </c>
      <c r="AR80" s="12">
        <v>2330016</v>
      </c>
      <c r="AS80" s="12">
        <v>3518265</v>
      </c>
      <c r="AT80" s="12">
        <v>3136854</v>
      </c>
      <c r="AU80" s="12">
        <v>3008284</v>
      </c>
      <c r="AV80" s="12">
        <v>3500829</v>
      </c>
      <c r="AW80" s="12">
        <v>2873697</v>
      </c>
      <c r="AX80" s="12">
        <v>2526498</v>
      </c>
      <c r="AY80" s="12">
        <v>1752735</v>
      </c>
      <c r="AZ80" s="12">
        <v>900539</v>
      </c>
      <c r="BA80" s="12">
        <v>3106329</v>
      </c>
      <c r="BB80" s="12">
        <v>3107512</v>
      </c>
      <c r="BC80" s="12">
        <v>2439907</v>
      </c>
      <c r="BD80" s="12">
        <v>1530097</v>
      </c>
      <c r="BE80" s="12">
        <v>2117014</v>
      </c>
      <c r="BF80" s="12">
        <v>1517304</v>
      </c>
      <c r="BG80" s="12">
        <v>944269</v>
      </c>
      <c r="BH80" s="12">
        <v>1616947</v>
      </c>
      <c r="BI80" s="12">
        <v>3332274</v>
      </c>
      <c r="BJ80" s="12">
        <v>2683870</v>
      </c>
      <c r="BK80" s="12">
        <v>1470177</v>
      </c>
      <c r="BL80" s="12">
        <v>1438285</v>
      </c>
      <c r="BM80" s="12">
        <v>2090392</v>
      </c>
      <c r="BN80" s="12">
        <v>3358402</v>
      </c>
      <c r="BO80" s="12">
        <v>2679483</v>
      </c>
      <c r="BP80" s="12">
        <v>3107494</v>
      </c>
      <c r="BQ80" s="12">
        <v>2712436</v>
      </c>
      <c r="BR80" s="12">
        <v>2500283</v>
      </c>
      <c r="BS80" s="12">
        <v>2254714</v>
      </c>
      <c r="BT80" s="12">
        <v>750886</v>
      </c>
      <c r="BU80" s="12">
        <v>1972121</v>
      </c>
      <c r="BV80" s="12">
        <v>3073651</v>
      </c>
      <c r="BW80" s="12">
        <v>2780434</v>
      </c>
      <c r="BX80" s="12">
        <v>2096636</v>
      </c>
      <c r="BY80" s="12">
        <v>2927640</v>
      </c>
      <c r="BZ80" s="12">
        <v>3800120</v>
      </c>
      <c r="CA80" s="12">
        <v>3788168</v>
      </c>
      <c r="CB80" s="12">
        <v>3505326</v>
      </c>
      <c r="CC80" s="12">
        <v>3807176</v>
      </c>
      <c r="CD80" s="12">
        <v>3718644</v>
      </c>
      <c r="CE80" s="12">
        <v>3394733</v>
      </c>
      <c r="CF80" s="12">
        <v>2569245</v>
      </c>
      <c r="CG80" s="12">
        <v>2114030</v>
      </c>
      <c r="CH80" s="12">
        <v>2471298</v>
      </c>
      <c r="CI80" s="12">
        <v>2666189</v>
      </c>
      <c r="CJ80" s="12">
        <v>2808973</v>
      </c>
      <c r="CK80" s="12">
        <v>3092246</v>
      </c>
      <c r="CL80" s="12">
        <v>2126129</v>
      </c>
      <c r="CM80" s="12">
        <v>2126409</v>
      </c>
      <c r="CN80" s="12">
        <v>3051913</v>
      </c>
      <c r="CO80" s="12">
        <v>2684805</v>
      </c>
      <c r="CP80" s="12">
        <v>3044174</v>
      </c>
      <c r="CQ80" s="12">
        <v>1505325</v>
      </c>
      <c r="CR80" s="12">
        <v>1855270</v>
      </c>
      <c r="CS80" s="12">
        <v>1730936</v>
      </c>
      <c r="CT80" s="12">
        <v>826686</v>
      </c>
      <c r="CU80" s="12">
        <v>1788786</v>
      </c>
      <c r="CV80" s="12">
        <v>997417</v>
      </c>
      <c r="CW80" s="12">
        <v>2413936</v>
      </c>
      <c r="CX80" s="12">
        <v>3338737</v>
      </c>
      <c r="CY80" s="12">
        <v>2625388</v>
      </c>
      <c r="CZ80" s="12">
        <v>2988713</v>
      </c>
      <c r="DA80" s="12">
        <v>2899105</v>
      </c>
      <c r="DB80" s="12">
        <v>2922816</v>
      </c>
      <c r="DC80" s="12">
        <v>2100679</v>
      </c>
      <c r="DD80" s="12">
        <v>3106041</v>
      </c>
      <c r="DE80" s="12">
        <v>3204053</v>
      </c>
      <c r="DF80" s="12">
        <v>3139351</v>
      </c>
      <c r="DG80" s="12">
        <v>1184128</v>
      </c>
      <c r="DH80" s="12">
        <v>821906</v>
      </c>
      <c r="DI80" s="12">
        <v>1925581</v>
      </c>
      <c r="DJ80" s="12">
        <v>2943888</v>
      </c>
      <c r="DK80" s="12">
        <v>3119436</v>
      </c>
      <c r="DL80" s="12">
        <v>2947327</v>
      </c>
      <c r="DM80" s="12">
        <v>1680734</v>
      </c>
      <c r="DN80" s="12">
        <v>2811090</v>
      </c>
      <c r="DO80" s="12">
        <v>3014444</v>
      </c>
      <c r="DP80" s="12">
        <v>2681698</v>
      </c>
      <c r="DQ80" s="12">
        <v>3167019</v>
      </c>
      <c r="DR80" s="12">
        <v>2834735</v>
      </c>
    </row>
    <row r="81" spans="1:122" s="9" customFormat="1">
      <c r="A81" s="9" t="s">
        <v>434</v>
      </c>
      <c r="B81" s="9" t="s">
        <v>427</v>
      </c>
      <c r="C81" s="12">
        <v>661115132</v>
      </c>
      <c r="D81" s="12">
        <v>529827269</v>
      </c>
      <c r="E81" s="12">
        <v>586130766</v>
      </c>
      <c r="F81" s="12">
        <v>615129426</v>
      </c>
      <c r="G81" s="12">
        <v>595382775</v>
      </c>
      <c r="H81" s="12">
        <v>623102375</v>
      </c>
      <c r="I81" s="12">
        <v>639189217</v>
      </c>
      <c r="J81" s="12">
        <v>690986434</v>
      </c>
      <c r="K81" s="12">
        <v>640118136</v>
      </c>
      <c r="L81" s="12">
        <v>646983587</v>
      </c>
      <c r="M81" s="12">
        <v>620820579</v>
      </c>
      <c r="N81" s="12">
        <v>592241682</v>
      </c>
      <c r="O81" s="12">
        <v>592945280</v>
      </c>
      <c r="P81" s="12">
        <v>534193426</v>
      </c>
      <c r="Q81" s="12">
        <v>660994193</v>
      </c>
      <c r="R81" s="12">
        <v>545831110</v>
      </c>
      <c r="S81" s="12">
        <v>595407698</v>
      </c>
      <c r="T81" s="12">
        <v>597565472</v>
      </c>
      <c r="U81" s="12">
        <v>644069996</v>
      </c>
      <c r="V81" s="12">
        <v>662200257</v>
      </c>
      <c r="W81" s="12">
        <v>637248934</v>
      </c>
      <c r="X81" s="12">
        <v>666584335</v>
      </c>
      <c r="Y81" s="12">
        <v>595819090</v>
      </c>
      <c r="Z81" s="12">
        <v>593360658</v>
      </c>
      <c r="AA81" s="12">
        <v>557941966</v>
      </c>
      <c r="AB81" s="12">
        <v>592185635</v>
      </c>
      <c r="AC81" s="12">
        <v>608553371</v>
      </c>
      <c r="AD81" s="12">
        <v>558721993</v>
      </c>
      <c r="AE81" s="12">
        <v>591668736</v>
      </c>
      <c r="AF81" s="12">
        <v>589468158</v>
      </c>
      <c r="AG81" s="12">
        <v>630758500</v>
      </c>
      <c r="AH81" s="12">
        <v>618262161</v>
      </c>
      <c r="AI81" s="12">
        <v>604142569</v>
      </c>
      <c r="AJ81" s="12">
        <v>634896834</v>
      </c>
      <c r="AK81" s="12">
        <v>543532262</v>
      </c>
      <c r="AL81" s="12">
        <v>552529088</v>
      </c>
      <c r="AM81" s="12">
        <v>539255724</v>
      </c>
      <c r="AN81" s="12">
        <v>501383587</v>
      </c>
      <c r="AO81" s="12">
        <v>547913600</v>
      </c>
      <c r="AP81" s="12">
        <v>497535301</v>
      </c>
      <c r="AQ81" s="12">
        <v>619516826</v>
      </c>
      <c r="AR81" s="12">
        <v>580838467</v>
      </c>
      <c r="AS81" s="12">
        <v>622412412</v>
      </c>
      <c r="AT81" s="12">
        <v>618055460</v>
      </c>
      <c r="AU81" s="12">
        <v>594895610</v>
      </c>
      <c r="AV81" s="12">
        <v>649181129</v>
      </c>
      <c r="AW81" s="12">
        <v>550112892</v>
      </c>
      <c r="AX81" s="12">
        <v>566086907</v>
      </c>
      <c r="AY81" s="12">
        <v>556581038</v>
      </c>
      <c r="AZ81" s="12">
        <v>548969902</v>
      </c>
      <c r="BA81" s="12">
        <v>601965263</v>
      </c>
      <c r="BB81" s="12">
        <v>529199849</v>
      </c>
      <c r="BC81" s="12">
        <v>574055824</v>
      </c>
      <c r="BD81" s="12">
        <v>548442004</v>
      </c>
      <c r="BE81" s="12">
        <v>585556452</v>
      </c>
      <c r="BF81" s="12">
        <v>580841159</v>
      </c>
      <c r="BG81" s="12">
        <v>563202474</v>
      </c>
      <c r="BH81" s="12">
        <v>588692743</v>
      </c>
      <c r="BI81" s="12">
        <v>568271349</v>
      </c>
      <c r="BJ81" s="12">
        <v>566145104</v>
      </c>
      <c r="BK81" s="12">
        <v>553275603</v>
      </c>
      <c r="BL81" s="12">
        <v>548976465</v>
      </c>
      <c r="BM81" s="12">
        <v>603534191</v>
      </c>
      <c r="BN81" s="12">
        <v>564912777</v>
      </c>
      <c r="BO81" s="12">
        <v>580027470</v>
      </c>
      <c r="BP81" s="12">
        <v>537392129</v>
      </c>
      <c r="BQ81" s="12">
        <v>564616470</v>
      </c>
      <c r="BR81" s="12">
        <v>579092243</v>
      </c>
      <c r="BS81" s="12">
        <v>580878761</v>
      </c>
      <c r="BT81" s="12">
        <v>570003168</v>
      </c>
      <c r="BU81" s="12">
        <v>544037892</v>
      </c>
      <c r="BV81" s="12">
        <v>591149850</v>
      </c>
      <c r="BW81" s="12">
        <v>562798763</v>
      </c>
      <c r="BX81" s="12">
        <v>521749033</v>
      </c>
      <c r="BY81" s="12">
        <v>566002411</v>
      </c>
      <c r="BZ81" s="12">
        <v>521641584</v>
      </c>
      <c r="CA81" s="12">
        <v>506337032</v>
      </c>
      <c r="CB81" s="12">
        <v>510838717</v>
      </c>
      <c r="CC81" s="12">
        <v>515603849</v>
      </c>
      <c r="CD81" s="12">
        <v>560488648</v>
      </c>
      <c r="CE81" s="12">
        <v>518900361</v>
      </c>
      <c r="CF81" s="12">
        <v>566383682</v>
      </c>
      <c r="CG81" s="12">
        <v>502823658</v>
      </c>
      <c r="CH81" s="12">
        <v>523518487</v>
      </c>
      <c r="CI81" s="12">
        <v>587568036</v>
      </c>
      <c r="CJ81" s="12">
        <v>454741643</v>
      </c>
      <c r="CK81" s="12">
        <v>532174665</v>
      </c>
      <c r="CL81" s="12">
        <v>491771043</v>
      </c>
      <c r="CM81" s="12">
        <v>509117448</v>
      </c>
      <c r="CN81" s="12">
        <v>478917827</v>
      </c>
      <c r="CO81" s="12">
        <v>514480010</v>
      </c>
      <c r="CP81" s="12">
        <v>505854476</v>
      </c>
      <c r="CQ81" s="12">
        <v>485874186</v>
      </c>
      <c r="CR81" s="12">
        <v>540880088</v>
      </c>
      <c r="CS81" s="12">
        <v>498042416</v>
      </c>
      <c r="CT81" s="12">
        <v>500510526</v>
      </c>
      <c r="CU81" s="12">
        <v>509680752</v>
      </c>
      <c r="CV81" s="12">
        <v>490988744</v>
      </c>
      <c r="CW81" s="12">
        <v>466896000</v>
      </c>
      <c r="CX81" s="12">
        <v>428002676</v>
      </c>
      <c r="CY81" s="12">
        <v>486827316</v>
      </c>
      <c r="CZ81" s="12">
        <v>460647476</v>
      </c>
      <c r="DA81" s="12">
        <v>476347783</v>
      </c>
      <c r="DB81" s="12">
        <v>510679908</v>
      </c>
      <c r="DC81" s="12">
        <v>573127335</v>
      </c>
      <c r="DD81" s="12">
        <v>517766667</v>
      </c>
      <c r="DE81" s="12">
        <v>435794820</v>
      </c>
      <c r="DF81" s="12">
        <v>483315080</v>
      </c>
    </row>
    <row r="82" spans="1:122" s="9" customFormat="1">
      <c r="A82" s="9" t="s">
        <v>435</v>
      </c>
      <c r="B82" s="9" t="s">
        <v>427</v>
      </c>
      <c r="C82" s="12">
        <v>286618317</v>
      </c>
      <c r="D82" s="12">
        <v>302083914</v>
      </c>
      <c r="E82" s="12">
        <v>362416495</v>
      </c>
      <c r="F82" s="12">
        <v>290189632</v>
      </c>
      <c r="G82" s="12">
        <v>350578013</v>
      </c>
      <c r="H82" s="12">
        <v>348824687</v>
      </c>
      <c r="I82" s="12">
        <v>378008354</v>
      </c>
      <c r="J82" s="12">
        <v>355704717</v>
      </c>
      <c r="K82" s="12">
        <v>355056320</v>
      </c>
      <c r="L82" s="12">
        <v>362796338</v>
      </c>
      <c r="M82" s="12">
        <v>359732694</v>
      </c>
      <c r="N82" s="12">
        <v>376727551</v>
      </c>
      <c r="O82" s="12">
        <v>363147528</v>
      </c>
      <c r="P82" s="12">
        <v>305222666</v>
      </c>
      <c r="Q82" s="12">
        <v>292687450</v>
      </c>
      <c r="R82" s="12">
        <v>371065374</v>
      </c>
      <c r="S82" s="12">
        <v>381361597</v>
      </c>
      <c r="T82" s="12">
        <v>371904323</v>
      </c>
      <c r="U82" s="12">
        <v>374464139</v>
      </c>
      <c r="V82" s="12">
        <v>374903309</v>
      </c>
      <c r="W82" s="12">
        <v>354679278</v>
      </c>
      <c r="X82" s="12">
        <v>344260902</v>
      </c>
      <c r="Y82" s="12">
        <v>356950014</v>
      </c>
      <c r="Z82" s="12">
        <v>364288954</v>
      </c>
      <c r="AA82" s="12">
        <v>362034449</v>
      </c>
      <c r="AB82" s="12">
        <v>288047480</v>
      </c>
      <c r="AC82" s="12">
        <v>346463658</v>
      </c>
      <c r="AD82" s="12">
        <v>357763448</v>
      </c>
      <c r="AE82" s="12">
        <v>372392086</v>
      </c>
      <c r="AF82" s="12">
        <v>359255915</v>
      </c>
      <c r="AG82" s="12">
        <v>375292092</v>
      </c>
      <c r="AH82" s="12">
        <v>382841542</v>
      </c>
      <c r="AI82" s="12">
        <v>350863652</v>
      </c>
      <c r="AJ82" s="12">
        <v>340673694</v>
      </c>
      <c r="AK82" s="12">
        <v>365715626</v>
      </c>
      <c r="AL82" s="12">
        <v>375956717</v>
      </c>
      <c r="AM82" s="12">
        <v>348974767</v>
      </c>
      <c r="AN82" s="12">
        <v>287007852</v>
      </c>
      <c r="AO82" s="12">
        <v>325977398</v>
      </c>
      <c r="AP82" s="12">
        <v>355399749</v>
      </c>
      <c r="AQ82" s="12">
        <v>318145133</v>
      </c>
      <c r="AR82" s="12">
        <v>360475122</v>
      </c>
      <c r="AS82" s="12">
        <v>357418358</v>
      </c>
      <c r="AT82" s="12">
        <v>375911006</v>
      </c>
      <c r="AU82" s="12">
        <v>358400655</v>
      </c>
      <c r="AV82" s="12">
        <v>350891906</v>
      </c>
      <c r="AW82" s="12">
        <v>359415572</v>
      </c>
      <c r="AX82" s="12">
        <v>352617174</v>
      </c>
      <c r="AY82" s="12">
        <v>350583870</v>
      </c>
      <c r="AZ82" s="12">
        <v>250645798</v>
      </c>
      <c r="BA82" s="12">
        <v>284354800</v>
      </c>
      <c r="BB82" s="12">
        <v>338592394</v>
      </c>
      <c r="BC82" s="12">
        <v>347612473</v>
      </c>
      <c r="BD82" s="12">
        <v>361819778</v>
      </c>
      <c r="BE82" s="12">
        <v>358495745</v>
      </c>
      <c r="BF82" s="12">
        <v>381731492</v>
      </c>
      <c r="BG82" s="12">
        <v>363074386</v>
      </c>
      <c r="BH82" s="12">
        <v>360296650</v>
      </c>
      <c r="BI82" s="12">
        <v>332445435</v>
      </c>
      <c r="BJ82" s="12">
        <v>360571292</v>
      </c>
      <c r="BK82" s="12">
        <v>346793916</v>
      </c>
      <c r="BL82" s="12">
        <v>293508901</v>
      </c>
      <c r="BM82" s="12">
        <v>316875202</v>
      </c>
      <c r="BN82" s="12">
        <v>335400123</v>
      </c>
      <c r="BO82" s="12">
        <v>341019659</v>
      </c>
      <c r="BP82" s="12">
        <v>352698353</v>
      </c>
      <c r="BQ82" s="12">
        <v>364643650</v>
      </c>
      <c r="BR82" s="12">
        <v>369040881</v>
      </c>
      <c r="BS82" s="12">
        <v>332052250</v>
      </c>
      <c r="BT82" s="12">
        <v>361428798</v>
      </c>
      <c r="BU82" s="12">
        <v>333285748</v>
      </c>
      <c r="BV82" s="12">
        <v>299589776</v>
      </c>
      <c r="BW82" s="12">
        <v>326880990</v>
      </c>
      <c r="BX82" s="12">
        <v>298329913</v>
      </c>
      <c r="BY82" s="12">
        <v>294948303</v>
      </c>
      <c r="BZ82" s="12">
        <v>315613746</v>
      </c>
      <c r="CA82" s="12">
        <v>370214660</v>
      </c>
      <c r="CB82" s="12">
        <v>351725688</v>
      </c>
      <c r="CC82" s="12">
        <v>382006367</v>
      </c>
      <c r="CD82" s="12">
        <v>368568129</v>
      </c>
      <c r="CE82" s="12">
        <v>348810066</v>
      </c>
      <c r="CF82" s="12">
        <v>357165278</v>
      </c>
      <c r="CG82" s="12">
        <v>356127611</v>
      </c>
      <c r="CH82" s="12">
        <v>360804438</v>
      </c>
      <c r="CI82" s="12">
        <v>265267143</v>
      </c>
      <c r="CJ82" s="12">
        <v>295078744</v>
      </c>
      <c r="CK82" s="12">
        <v>295824798</v>
      </c>
      <c r="CL82" s="12">
        <v>347222652</v>
      </c>
      <c r="CM82" s="12">
        <v>365314077</v>
      </c>
      <c r="CN82" s="12">
        <v>370289880</v>
      </c>
      <c r="CO82" s="12">
        <v>395942678</v>
      </c>
      <c r="CP82" s="12">
        <v>410728630</v>
      </c>
      <c r="CQ82" s="12">
        <v>393658940</v>
      </c>
      <c r="CR82" s="12">
        <v>372698624</v>
      </c>
      <c r="CS82" s="12">
        <v>353610455</v>
      </c>
      <c r="CT82" s="12">
        <v>378397024</v>
      </c>
      <c r="CU82" s="12">
        <v>321427244</v>
      </c>
      <c r="CV82" s="12">
        <v>287963687</v>
      </c>
      <c r="CW82" s="12">
        <v>352920137</v>
      </c>
      <c r="CX82" s="12">
        <v>373145070</v>
      </c>
      <c r="CY82" s="12">
        <v>370199890</v>
      </c>
      <c r="CZ82" s="12">
        <v>372693467</v>
      </c>
      <c r="DA82" s="12">
        <v>423109439</v>
      </c>
      <c r="DB82" s="12">
        <v>398882517</v>
      </c>
      <c r="DC82" s="12">
        <v>333558006</v>
      </c>
      <c r="DD82" s="12">
        <v>398801330</v>
      </c>
      <c r="DE82" s="12">
        <v>391631196</v>
      </c>
      <c r="DF82" s="12">
        <v>346901357</v>
      </c>
      <c r="DG82" s="12">
        <v>300927256</v>
      </c>
      <c r="DH82" s="12">
        <v>340172585</v>
      </c>
      <c r="DI82" s="12">
        <v>350046533</v>
      </c>
      <c r="DJ82" s="12">
        <v>333626015</v>
      </c>
      <c r="DK82" s="12">
        <v>344442246</v>
      </c>
      <c r="DL82" s="12">
        <v>357098800</v>
      </c>
      <c r="DM82" s="12">
        <v>405541460</v>
      </c>
      <c r="DN82" s="12">
        <v>398719644</v>
      </c>
      <c r="DO82" s="12">
        <v>399593246</v>
      </c>
      <c r="DP82" s="12">
        <v>392262433</v>
      </c>
      <c r="DQ82" s="12">
        <v>390542484</v>
      </c>
      <c r="DR82" s="12">
        <v>389339891</v>
      </c>
    </row>
    <row r="83" spans="1:122" s="9" customFormat="1"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</row>
    <row r="84" spans="1:122" s="9" customFormat="1">
      <c r="A84" s="9" t="s">
        <v>436</v>
      </c>
      <c r="B84" s="9" t="s">
        <v>44</v>
      </c>
      <c r="C84" s="12">
        <v>174955209</v>
      </c>
      <c r="D84" s="12">
        <v>156728330</v>
      </c>
      <c r="E84" s="12">
        <v>174197087</v>
      </c>
      <c r="F84" s="12">
        <v>170582216</v>
      </c>
      <c r="G84" s="12">
        <v>176573612</v>
      </c>
      <c r="H84" s="12">
        <v>191283374</v>
      </c>
      <c r="I84" s="12">
        <v>202082921</v>
      </c>
      <c r="J84" s="12">
        <v>210313253</v>
      </c>
      <c r="K84" s="12">
        <v>194980948</v>
      </c>
      <c r="L84" s="12">
        <v>189661627</v>
      </c>
      <c r="M84" s="12">
        <v>178546442</v>
      </c>
      <c r="N84" s="12">
        <v>170247368</v>
      </c>
      <c r="O84" s="12">
        <v>166329361</v>
      </c>
      <c r="P84" s="12">
        <v>149813806</v>
      </c>
      <c r="Q84" s="12">
        <v>164542928</v>
      </c>
      <c r="R84" s="12">
        <v>162176531</v>
      </c>
      <c r="S84" s="12">
        <v>181126760</v>
      </c>
      <c r="T84" s="12">
        <v>185739773</v>
      </c>
      <c r="U84" s="12">
        <v>201347184</v>
      </c>
      <c r="V84" s="12">
        <v>212383840</v>
      </c>
      <c r="W84" s="12">
        <v>189993803</v>
      </c>
      <c r="X84" s="12">
        <v>214286705</v>
      </c>
      <c r="Y84" s="12">
        <v>205094981</v>
      </c>
      <c r="Z84" s="12">
        <v>220595791</v>
      </c>
      <c r="AA84" s="12">
        <v>215816864</v>
      </c>
      <c r="AB84" s="12">
        <v>214545034</v>
      </c>
      <c r="AC84" s="12">
        <v>234138370</v>
      </c>
      <c r="AD84" s="12">
        <v>225050528</v>
      </c>
      <c r="AE84" s="12">
        <v>248071249</v>
      </c>
      <c r="AF84" s="12">
        <v>261106839</v>
      </c>
      <c r="AG84" s="12">
        <v>288652973</v>
      </c>
      <c r="AH84" s="12">
        <v>298808212</v>
      </c>
      <c r="AI84" s="12">
        <v>293343766</v>
      </c>
      <c r="AJ84" s="12">
        <v>287537348</v>
      </c>
      <c r="AK84" s="12">
        <v>251534485</v>
      </c>
      <c r="AL84" s="12">
        <v>215344474</v>
      </c>
      <c r="AM84" s="12">
        <v>184975760</v>
      </c>
      <c r="AN84" s="12">
        <v>149013214</v>
      </c>
      <c r="AO84" s="12">
        <v>150366167</v>
      </c>
      <c r="AP84" s="12">
        <v>148835962</v>
      </c>
      <c r="AQ84" s="12">
        <v>160282977</v>
      </c>
      <c r="AR84" s="12">
        <v>166372552</v>
      </c>
      <c r="AS84" s="12">
        <v>177535799</v>
      </c>
      <c r="AT84" s="12">
        <v>204808874</v>
      </c>
      <c r="AU84" s="12">
        <v>198970912</v>
      </c>
      <c r="AV84" s="12">
        <v>215130250</v>
      </c>
      <c r="AW84" s="12">
        <v>196767656</v>
      </c>
      <c r="AX84" s="12">
        <v>195062904</v>
      </c>
      <c r="AY84" s="12">
        <v>198343571</v>
      </c>
      <c r="AZ84" s="12">
        <v>179623800</v>
      </c>
      <c r="BA84" s="12">
        <v>203749266</v>
      </c>
      <c r="BB84" s="12">
        <v>193920881</v>
      </c>
      <c r="BC84" s="12">
        <v>214367433</v>
      </c>
      <c r="BD84" s="12">
        <v>210708259</v>
      </c>
      <c r="BE84" s="12">
        <v>220256031</v>
      </c>
      <c r="BF84" s="12">
        <v>226974150</v>
      </c>
      <c r="BG84" s="12">
        <v>213095893</v>
      </c>
      <c r="BH84" s="12">
        <v>222345106</v>
      </c>
      <c r="BI84" s="12">
        <v>213895715</v>
      </c>
      <c r="BJ84" s="12">
        <v>218451186</v>
      </c>
      <c r="BK84" s="12">
        <v>227759036</v>
      </c>
      <c r="BL84" s="12">
        <v>214644655</v>
      </c>
      <c r="BM84" s="12">
        <v>242173846</v>
      </c>
      <c r="BN84" s="12">
        <v>242935205</v>
      </c>
      <c r="BO84" s="12">
        <v>266703682</v>
      </c>
      <c r="BP84" s="12">
        <v>263574727</v>
      </c>
      <c r="BQ84" s="12">
        <v>281588742</v>
      </c>
      <c r="BR84" s="12">
        <v>293913925</v>
      </c>
      <c r="BS84" s="12">
        <v>288755602</v>
      </c>
      <c r="BT84" s="12">
        <v>289521511</v>
      </c>
      <c r="BU84" s="12">
        <v>269767494</v>
      </c>
      <c r="BV84" s="12">
        <v>265621304</v>
      </c>
      <c r="BW84" s="12">
        <v>269431479</v>
      </c>
      <c r="BX84" s="12">
        <v>253004008</v>
      </c>
      <c r="BY84" s="12">
        <v>268506055</v>
      </c>
      <c r="BZ84" s="12">
        <v>264308115</v>
      </c>
      <c r="CA84" s="12">
        <v>282408658</v>
      </c>
      <c r="CB84" s="12">
        <v>286551565</v>
      </c>
      <c r="CC84" s="12">
        <v>284408437</v>
      </c>
      <c r="CD84" s="12">
        <v>286909135</v>
      </c>
      <c r="CE84" s="12">
        <v>270633191</v>
      </c>
      <c r="CF84" s="12">
        <v>283354002</v>
      </c>
      <c r="CG84" s="12">
        <v>263919691</v>
      </c>
      <c r="CH84" s="12">
        <v>267624006</v>
      </c>
      <c r="CI84" s="12">
        <v>272194419</v>
      </c>
      <c r="CJ84" s="12">
        <v>229775799</v>
      </c>
      <c r="CK84" s="12">
        <v>257088523</v>
      </c>
      <c r="CL84" s="12">
        <v>254837680</v>
      </c>
      <c r="CM84" s="12">
        <v>259811603</v>
      </c>
      <c r="CN84" s="12">
        <v>256596261</v>
      </c>
      <c r="CO84" s="12">
        <v>271089910</v>
      </c>
      <c r="CP84" s="12">
        <v>271007218</v>
      </c>
      <c r="CQ84" s="12">
        <v>260476386</v>
      </c>
      <c r="CR84" s="12">
        <v>280261746</v>
      </c>
      <c r="CS84" s="12">
        <v>264802343</v>
      </c>
      <c r="CT84" s="12">
        <v>268068773</v>
      </c>
      <c r="CU84" s="12">
        <v>258857764</v>
      </c>
      <c r="CV84" s="12">
        <v>242055803</v>
      </c>
      <c r="CW84" s="12">
        <v>261557356</v>
      </c>
      <c r="CX84" s="12">
        <v>248344777</v>
      </c>
      <c r="CY84" s="12">
        <v>268240723</v>
      </c>
      <c r="CZ84" s="12">
        <v>263998674</v>
      </c>
      <c r="DA84" s="12">
        <v>281394096</v>
      </c>
      <c r="DB84" s="12">
        <v>285249284</v>
      </c>
      <c r="DC84" s="12">
        <v>281479952</v>
      </c>
      <c r="DD84" s="12">
        <v>281417392</v>
      </c>
      <c r="DE84" s="12">
        <v>244169504</v>
      </c>
      <c r="DF84" s="12">
        <v>237461375</v>
      </c>
      <c r="DG84" s="12">
        <v>218636395</v>
      </c>
      <c r="DH84" s="12">
        <v>185522878</v>
      </c>
      <c r="DI84" s="12">
        <v>198735482</v>
      </c>
      <c r="DJ84" s="12">
        <v>195460464</v>
      </c>
      <c r="DK84" s="12">
        <v>194126898</v>
      </c>
      <c r="DL84" s="12">
        <v>202256117</v>
      </c>
      <c r="DM84" s="12">
        <v>226343027</v>
      </c>
      <c r="DN84" s="12">
        <v>237354606</v>
      </c>
      <c r="DO84" s="12">
        <v>220255576</v>
      </c>
      <c r="DP84" s="12">
        <v>206750456</v>
      </c>
      <c r="DQ84" s="12">
        <v>192936769</v>
      </c>
      <c r="DR84" s="12">
        <v>188380272</v>
      </c>
    </row>
    <row r="85" spans="1:122" s="9" customFormat="1">
      <c r="A85" s="9" t="s">
        <v>421</v>
      </c>
      <c r="B85" s="9" t="s">
        <v>44</v>
      </c>
      <c r="C85" s="12">
        <v>61418681</v>
      </c>
      <c r="D85" s="12">
        <v>52326089</v>
      </c>
      <c r="E85" s="12">
        <v>59934510</v>
      </c>
      <c r="F85" s="12">
        <v>59039315</v>
      </c>
      <c r="G85" s="12">
        <v>58598904</v>
      </c>
      <c r="H85" s="12">
        <v>63978650</v>
      </c>
      <c r="I85" s="12">
        <v>68077124</v>
      </c>
      <c r="J85" s="12">
        <v>70760309</v>
      </c>
      <c r="K85" s="12">
        <v>65020600</v>
      </c>
      <c r="L85" s="12">
        <v>63880239</v>
      </c>
      <c r="M85" s="12">
        <v>61084644</v>
      </c>
      <c r="N85" s="12">
        <v>58874649</v>
      </c>
      <c r="O85" s="12">
        <v>60153877</v>
      </c>
      <c r="P85" s="12">
        <v>51079417</v>
      </c>
      <c r="Q85" s="12">
        <v>56886433</v>
      </c>
      <c r="R85" s="12">
        <v>56421028</v>
      </c>
      <c r="S85" s="12">
        <v>61054290</v>
      </c>
      <c r="T85" s="12">
        <v>63181485</v>
      </c>
      <c r="U85" s="12">
        <v>68922095</v>
      </c>
      <c r="V85" s="12">
        <v>73224885</v>
      </c>
      <c r="W85" s="12">
        <v>63976205</v>
      </c>
      <c r="X85" s="12">
        <v>71477567</v>
      </c>
      <c r="Y85" s="12">
        <v>68996318</v>
      </c>
      <c r="Z85" s="12">
        <v>76690544</v>
      </c>
      <c r="AA85" s="12">
        <v>78155723</v>
      </c>
      <c r="AB85" s="12">
        <v>72697021</v>
      </c>
      <c r="AC85" s="12">
        <v>77522133</v>
      </c>
      <c r="AD85" s="12">
        <v>74810950</v>
      </c>
      <c r="AE85" s="12">
        <v>81463962</v>
      </c>
      <c r="AF85" s="12">
        <v>85180652</v>
      </c>
      <c r="AG85" s="12">
        <v>95633143</v>
      </c>
      <c r="AH85" s="12">
        <v>96608151</v>
      </c>
      <c r="AI85" s="12">
        <v>93849780</v>
      </c>
      <c r="AJ85" s="12">
        <v>91128318</v>
      </c>
      <c r="AK85" s="12">
        <v>81284410</v>
      </c>
      <c r="AL85" s="12">
        <v>74248851</v>
      </c>
      <c r="AM85" s="12">
        <v>67076594</v>
      </c>
      <c r="AN85" s="12">
        <v>51180851</v>
      </c>
      <c r="AO85" s="12">
        <v>52777785</v>
      </c>
      <c r="AP85" s="12">
        <v>52472755</v>
      </c>
      <c r="AQ85" s="12">
        <v>55267835</v>
      </c>
      <c r="AR85" s="12">
        <v>57923230</v>
      </c>
      <c r="AS85" s="12">
        <v>60711708</v>
      </c>
      <c r="AT85" s="12">
        <v>69767805</v>
      </c>
      <c r="AU85" s="12">
        <v>66549800</v>
      </c>
      <c r="AV85" s="12">
        <v>71925519</v>
      </c>
      <c r="AW85" s="12">
        <v>67010344</v>
      </c>
      <c r="AX85" s="12">
        <v>66751458</v>
      </c>
      <c r="AY85" s="12">
        <v>70276250</v>
      </c>
      <c r="AZ85" s="12">
        <v>60299397</v>
      </c>
      <c r="BA85" s="12">
        <v>68404051</v>
      </c>
      <c r="BB85" s="12">
        <v>65155407</v>
      </c>
      <c r="BC85" s="12">
        <v>69888923</v>
      </c>
      <c r="BD85" s="12">
        <v>69423645</v>
      </c>
      <c r="BE85" s="12">
        <v>73670018</v>
      </c>
      <c r="BF85" s="12">
        <v>74736137</v>
      </c>
      <c r="BG85" s="12">
        <v>69443588</v>
      </c>
      <c r="BH85" s="12">
        <v>72717176</v>
      </c>
      <c r="BI85" s="12">
        <v>71302022</v>
      </c>
      <c r="BJ85" s="12">
        <v>74749694</v>
      </c>
      <c r="BK85" s="12">
        <v>81045838</v>
      </c>
      <c r="BL85" s="12">
        <v>68979026</v>
      </c>
      <c r="BM85" s="12">
        <v>79573334</v>
      </c>
      <c r="BN85" s="12">
        <v>78039697</v>
      </c>
      <c r="BO85" s="12">
        <v>86231575</v>
      </c>
      <c r="BP85" s="12">
        <v>85668841</v>
      </c>
      <c r="BQ85" s="12">
        <v>90606659</v>
      </c>
      <c r="BR85" s="12">
        <v>93779810</v>
      </c>
      <c r="BS85" s="12">
        <v>90129320</v>
      </c>
      <c r="BT85" s="12">
        <v>89791748</v>
      </c>
      <c r="BU85" s="12">
        <v>84695711</v>
      </c>
      <c r="BV85" s="12">
        <v>87161686</v>
      </c>
      <c r="BW85" s="12">
        <v>91003743</v>
      </c>
      <c r="BX85" s="12">
        <v>78333363</v>
      </c>
      <c r="BY85" s="12">
        <v>86449930</v>
      </c>
      <c r="BZ85" s="12">
        <v>82873689</v>
      </c>
      <c r="CA85" s="12">
        <v>86043052</v>
      </c>
      <c r="CB85" s="12">
        <v>88513900</v>
      </c>
      <c r="CC85" s="12">
        <v>88149716</v>
      </c>
      <c r="CD85" s="12">
        <v>88225640</v>
      </c>
      <c r="CE85" s="12">
        <v>81322806</v>
      </c>
      <c r="CF85" s="12">
        <v>86637901</v>
      </c>
      <c r="CG85" s="12">
        <v>80929914</v>
      </c>
      <c r="CH85" s="12">
        <v>84460229</v>
      </c>
      <c r="CI85" s="12">
        <v>88349096</v>
      </c>
      <c r="CJ85" s="12">
        <v>70906083</v>
      </c>
      <c r="CK85" s="12">
        <v>79047547</v>
      </c>
      <c r="CL85" s="12">
        <v>78833355</v>
      </c>
      <c r="CM85" s="12">
        <v>77483483</v>
      </c>
      <c r="CN85" s="12">
        <v>77994186</v>
      </c>
      <c r="CO85" s="12">
        <v>81856888</v>
      </c>
      <c r="CP85" s="12">
        <v>81458196</v>
      </c>
      <c r="CQ85" s="12">
        <v>78326321</v>
      </c>
      <c r="CR85" s="12">
        <v>83333826</v>
      </c>
      <c r="CS85" s="12">
        <v>79420453</v>
      </c>
      <c r="CT85" s="12">
        <v>82532777</v>
      </c>
      <c r="CU85" s="12">
        <v>82127182</v>
      </c>
      <c r="CV85" s="12">
        <v>74207798</v>
      </c>
      <c r="CW85" s="12">
        <v>78779498</v>
      </c>
      <c r="CX85" s="12">
        <v>73648667</v>
      </c>
      <c r="CY85" s="12">
        <v>78685577</v>
      </c>
      <c r="CZ85" s="12">
        <v>77995613</v>
      </c>
      <c r="DA85" s="12">
        <v>84119894</v>
      </c>
      <c r="DB85" s="12">
        <v>86058731</v>
      </c>
      <c r="DC85" s="12">
        <v>82369591</v>
      </c>
      <c r="DD85" s="12">
        <v>84639978</v>
      </c>
      <c r="DE85" s="12">
        <v>73467873</v>
      </c>
      <c r="DF85" s="12">
        <v>71962007</v>
      </c>
      <c r="DG85" s="12">
        <v>70335102</v>
      </c>
      <c r="DH85" s="12">
        <v>56518809</v>
      </c>
      <c r="DI85" s="12">
        <v>60591187</v>
      </c>
      <c r="DJ85" s="12">
        <v>58936332</v>
      </c>
      <c r="DK85" s="12">
        <v>57457869</v>
      </c>
      <c r="DL85" s="12">
        <v>61451124</v>
      </c>
      <c r="DM85" s="12">
        <v>71238193</v>
      </c>
      <c r="DN85" s="12">
        <v>74480625</v>
      </c>
      <c r="DO85" s="12">
        <v>71234191</v>
      </c>
      <c r="DP85" s="12">
        <v>63438829</v>
      </c>
      <c r="DQ85" s="12">
        <v>60074607</v>
      </c>
      <c r="DR85" s="12">
        <v>59641960</v>
      </c>
    </row>
    <row r="86" spans="1:122" s="9" customFormat="1">
      <c r="A86" s="9" t="s">
        <v>422</v>
      </c>
      <c r="B86" s="9" t="s">
        <v>44</v>
      </c>
      <c r="C86" s="12">
        <v>112643652</v>
      </c>
      <c r="D86" s="12">
        <v>103529555</v>
      </c>
      <c r="E86" s="12">
        <v>113370589</v>
      </c>
      <c r="F86" s="12">
        <v>110678069</v>
      </c>
      <c r="G86" s="12">
        <v>117081981</v>
      </c>
      <c r="H86" s="12">
        <v>126353658</v>
      </c>
      <c r="I86" s="12">
        <v>133084984</v>
      </c>
      <c r="J86" s="12">
        <v>138564097</v>
      </c>
      <c r="K86" s="12">
        <v>129027950</v>
      </c>
      <c r="L86" s="12">
        <v>124870084</v>
      </c>
      <c r="M86" s="12">
        <v>116591525</v>
      </c>
      <c r="N86" s="12">
        <v>110503371</v>
      </c>
      <c r="O86" s="12">
        <v>105427374</v>
      </c>
      <c r="P86" s="12">
        <v>97807768</v>
      </c>
      <c r="Q86" s="12">
        <v>106799422</v>
      </c>
      <c r="R86" s="12">
        <v>104928369</v>
      </c>
      <c r="S86" s="12">
        <v>119172724</v>
      </c>
      <c r="T86" s="12">
        <v>121653353</v>
      </c>
      <c r="U86" s="12">
        <v>131489718</v>
      </c>
      <c r="V86" s="12">
        <v>138178453</v>
      </c>
      <c r="W86" s="12">
        <v>125113713</v>
      </c>
      <c r="X86" s="12">
        <v>141791576</v>
      </c>
      <c r="Y86" s="12">
        <v>135054652</v>
      </c>
      <c r="Z86" s="12">
        <v>142815771</v>
      </c>
      <c r="AA86" s="12">
        <v>136507501</v>
      </c>
      <c r="AB86" s="12">
        <v>140711253</v>
      </c>
      <c r="AC86" s="12">
        <v>155412570</v>
      </c>
      <c r="AD86" s="12">
        <v>149053723</v>
      </c>
      <c r="AE86" s="12">
        <v>165400656</v>
      </c>
      <c r="AF86" s="12">
        <v>174606708</v>
      </c>
      <c r="AG86" s="12">
        <v>191677289</v>
      </c>
      <c r="AH86" s="12">
        <v>200757208</v>
      </c>
      <c r="AI86" s="12">
        <v>198057981</v>
      </c>
      <c r="AJ86" s="12">
        <v>194936201</v>
      </c>
      <c r="AK86" s="12">
        <v>168904181</v>
      </c>
      <c r="AL86" s="12">
        <v>140020009</v>
      </c>
      <c r="AM86" s="12">
        <v>116897413</v>
      </c>
      <c r="AN86" s="12">
        <v>96962947</v>
      </c>
      <c r="AO86" s="12">
        <v>96923752</v>
      </c>
      <c r="AP86" s="12">
        <v>95569691</v>
      </c>
      <c r="AQ86" s="12">
        <v>104160980</v>
      </c>
      <c r="AR86" s="12">
        <v>107667760</v>
      </c>
      <c r="AS86" s="12">
        <v>115935536</v>
      </c>
      <c r="AT86" s="12">
        <v>133995815</v>
      </c>
      <c r="AU86" s="12">
        <v>131482329</v>
      </c>
      <c r="AV86" s="12">
        <v>142118609</v>
      </c>
      <c r="AW86" s="12">
        <v>128769731</v>
      </c>
      <c r="AX86" s="12">
        <v>127240017</v>
      </c>
      <c r="AY86" s="12">
        <v>126938656</v>
      </c>
      <c r="AZ86" s="12">
        <v>118346686</v>
      </c>
      <c r="BA86" s="12">
        <v>134188270</v>
      </c>
      <c r="BB86" s="12">
        <v>127683334</v>
      </c>
      <c r="BC86" s="12">
        <v>143378155</v>
      </c>
      <c r="BD86" s="12">
        <v>140145737</v>
      </c>
      <c r="BE86" s="12">
        <v>145470089</v>
      </c>
      <c r="BF86" s="12">
        <v>151115673</v>
      </c>
      <c r="BG86" s="12">
        <v>142518585</v>
      </c>
      <c r="BH86" s="12">
        <v>148470828</v>
      </c>
      <c r="BI86" s="12">
        <v>141496378</v>
      </c>
      <c r="BJ86" s="12">
        <v>142513925</v>
      </c>
      <c r="BK86" s="12">
        <v>145442942</v>
      </c>
      <c r="BL86" s="12">
        <v>144555380</v>
      </c>
      <c r="BM86" s="12">
        <v>161271818</v>
      </c>
      <c r="BN86" s="12">
        <v>163628124</v>
      </c>
      <c r="BO86" s="12">
        <v>179051970</v>
      </c>
      <c r="BP86" s="12">
        <v>176570001</v>
      </c>
      <c r="BQ86" s="12">
        <v>189494383</v>
      </c>
      <c r="BR86" s="12">
        <v>198694149</v>
      </c>
      <c r="BS86" s="12">
        <v>197090497</v>
      </c>
      <c r="BT86" s="12">
        <v>198204178</v>
      </c>
      <c r="BU86" s="12">
        <v>183689194</v>
      </c>
      <c r="BV86" s="12">
        <v>176955663</v>
      </c>
      <c r="BW86" s="12">
        <v>176916783</v>
      </c>
      <c r="BX86" s="12">
        <v>173303405</v>
      </c>
      <c r="BY86" s="12">
        <v>180527874</v>
      </c>
      <c r="BZ86" s="12">
        <v>179891980</v>
      </c>
      <c r="CA86" s="12">
        <v>194758788</v>
      </c>
      <c r="CB86" s="12">
        <v>196676174</v>
      </c>
      <c r="CC86" s="12">
        <v>194697328</v>
      </c>
      <c r="CD86" s="12">
        <v>197206497</v>
      </c>
      <c r="CE86" s="12">
        <v>187905163</v>
      </c>
      <c r="CF86" s="12">
        <v>195191819</v>
      </c>
      <c r="CG86" s="12">
        <v>181520811</v>
      </c>
      <c r="CH86" s="12">
        <v>181682975</v>
      </c>
      <c r="CI86" s="12">
        <v>182241783</v>
      </c>
      <c r="CJ86" s="12">
        <v>157596481</v>
      </c>
      <c r="CK86" s="12">
        <v>176490620</v>
      </c>
      <c r="CL86" s="12">
        <v>174703538</v>
      </c>
      <c r="CM86" s="12">
        <v>180712567</v>
      </c>
      <c r="CN86" s="12">
        <v>177294552</v>
      </c>
      <c r="CO86" s="12">
        <v>187815189</v>
      </c>
      <c r="CP86" s="12">
        <v>188152230</v>
      </c>
      <c r="CQ86" s="12">
        <v>180690237</v>
      </c>
      <c r="CR86" s="12">
        <v>195381056</v>
      </c>
      <c r="CS86" s="12">
        <v>183943160</v>
      </c>
      <c r="CT86" s="12">
        <v>184017512</v>
      </c>
      <c r="CU86" s="12">
        <v>175252955</v>
      </c>
      <c r="CV86" s="12">
        <v>166459163</v>
      </c>
      <c r="CW86" s="12">
        <v>181171469</v>
      </c>
      <c r="CX86" s="12">
        <v>173244177</v>
      </c>
      <c r="CY86" s="12">
        <v>188063441</v>
      </c>
      <c r="CZ86" s="12">
        <v>184604009</v>
      </c>
      <c r="DA86" s="12">
        <v>195700314</v>
      </c>
      <c r="DB86" s="12">
        <v>197774462</v>
      </c>
      <c r="DC86" s="12">
        <v>197576991</v>
      </c>
      <c r="DD86" s="12">
        <v>195312376</v>
      </c>
      <c r="DE86" s="12">
        <v>169303787</v>
      </c>
      <c r="DF86" s="12">
        <v>164093104</v>
      </c>
      <c r="DG86" s="12">
        <v>147054895</v>
      </c>
      <c r="DH86" s="12">
        <v>127899979</v>
      </c>
      <c r="DI86" s="12">
        <v>136923453</v>
      </c>
      <c r="DJ86" s="12">
        <v>135415751</v>
      </c>
      <c r="DK86" s="12">
        <v>135542831</v>
      </c>
      <c r="DL86" s="12">
        <v>139670156</v>
      </c>
      <c r="DM86" s="12">
        <v>153929407</v>
      </c>
      <c r="DN86" s="12">
        <v>161700331</v>
      </c>
      <c r="DO86" s="12">
        <v>147867863</v>
      </c>
      <c r="DP86" s="12">
        <v>142212220</v>
      </c>
      <c r="DQ86" s="12">
        <v>131822816</v>
      </c>
      <c r="DR86" s="12">
        <v>127562773</v>
      </c>
    </row>
    <row r="87" spans="1:122" s="9" customFormat="1">
      <c r="A87" s="9" t="s">
        <v>423</v>
      </c>
      <c r="B87" s="9" t="s">
        <v>44</v>
      </c>
      <c r="C87" s="12">
        <v>892876</v>
      </c>
      <c r="D87" s="12">
        <v>872686</v>
      </c>
      <c r="E87" s="12">
        <v>891988</v>
      </c>
      <c r="F87" s="12">
        <v>864832</v>
      </c>
      <c r="G87" s="12">
        <v>892727</v>
      </c>
      <c r="H87" s="12">
        <v>951066</v>
      </c>
      <c r="I87" s="12">
        <v>920813</v>
      </c>
      <c r="J87" s="12">
        <v>988847</v>
      </c>
      <c r="K87" s="12">
        <v>932398</v>
      </c>
      <c r="L87" s="12">
        <v>911304</v>
      </c>
      <c r="M87" s="12">
        <v>870273</v>
      </c>
      <c r="N87" s="12">
        <v>869348</v>
      </c>
      <c r="O87" s="12">
        <v>748110</v>
      </c>
      <c r="P87" s="12">
        <v>926621</v>
      </c>
      <c r="Q87" s="12">
        <v>857073</v>
      </c>
      <c r="R87" s="12">
        <v>827134</v>
      </c>
      <c r="S87" s="12">
        <v>899746</v>
      </c>
      <c r="T87" s="12">
        <v>904935</v>
      </c>
      <c r="U87" s="12">
        <v>935371</v>
      </c>
      <c r="V87" s="12">
        <v>980502</v>
      </c>
      <c r="W87" s="12">
        <v>903885</v>
      </c>
      <c r="X87" s="12">
        <v>1017562</v>
      </c>
      <c r="Y87" s="12">
        <v>1044011</v>
      </c>
      <c r="Z87" s="12">
        <v>1089476</v>
      </c>
      <c r="AA87" s="12">
        <v>1153640</v>
      </c>
      <c r="AB87" s="12">
        <v>1136760</v>
      </c>
      <c r="AC87" s="12">
        <v>1203667</v>
      </c>
      <c r="AD87" s="12">
        <v>1185855</v>
      </c>
      <c r="AE87" s="12">
        <v>1206631</v>
      </c>
      <c r="AF87" s="12">
        <v>1319479</v>
      </c>
      <c r="AG87" s="12">
        <v>1342541</v>
      </c>
      <c r="AH87" s="12">
        <v>1442853</v>
      </c>
      <c r="AI87" s="12">
        <v>1436005</v>
      </c>
      <c r="AJ87" s="12">
        <v>1472829</v>
      </c>
      <c r="AK87" s="12">
        <v>1345894</v>
      </c>
      <c r="AL87" s="12">
        <v>1075614</v>
      </c>
      <c r="AM87" s="12">
        <v>1001753</v>
      </c>
      <c r="AN87" s="12">
        <v>869416</v>
      </c>
      <c r="AO87" s="12">
        <v>664630</v>
      </c>
      <c r="AP87" s="12">
        <v>793516</v>
      </c>
      <c r="AQ87" s="12">
        <v>854162</v>
      </c>
      <c r="AR87" s="12">
        <v>781562</v>
      </c>
      <c r="AS87" s="12">
        <v>888555</v>
      </c>
      <c r="AT87" s="12">
        <v>1045254</v>
      </c>
      <c r="AU87" s="12">
        <v>938783</v>
      </c>
      <c r="AV87" s="12">
        <v>1086122</v>
      </c>
      <c r="AW87" s="12">
        <v>987581</v>
      </c>
      <c r="AX87" s="12">
        <v>1071429</v>
      </c>
      <c r="AY87" s="12">
        <v>1128665</v>
      </c>
      <c r="AZ87" s="12">
        <v>977717</v>
      </c>
      <c r="BA87" s="12">
        <v>1156945</v>
      </c>
      <c r="BB87" s="12">
        <v>1082140</v>
      </c>
      <c r="BC87" s="12">
        <v>1100355</v>
      </c>
      <c r="BD87" s="12">
        <v>1138877</v>
      </c>
      <c r="BE87" s="12">
        <v>1115924</v>
      </c>
      <c r="BF87" s="12">
        <v>1122340</v>
      </c>
      <c r="BG87" s="12">
        <v>1133720</v>
      </c>
      <c r="BH87" s="12">
        <v>1157102</v>
      </c>
      <c r="BI87" s="12">
        <v>1097315</v>
      </c>
      <c r="BJ87" s="12">
        <v>1187567</v>
      </c>
      <c r="BK87" s="12">
        <v>1270256</v>
      </c>
      <c r="BL87" s="12">
        <v>1110249</v>
      </c>
      <c r="BM87" s="12">
        <v>1328694</v>
      </c>
      <c r="BN87" s="12">
        <v>1267384</v>
      </c>
      <c r="BO87" s="12">
        <v>1420137</v>
      </c>
      <c r="BP87" s="12">
        <v>1335885</v>
      </c>
      <c r="BQ87" s="12">
        <v>1487700</v>
      </c>
      <c r="BR87" s="12">
        <v>1439966</v>
      </c>
      <c r="BS87" s="12">
        <v>1535785</v>
      </c>
      <c r="BT87" s="12">
        <v>1525585</v>
      </c>
      <c r="BU87" s="12">
        <v>1382589</v>
      </c>
      <c r="BV87" s="12">
        <v>1503955</v>
      </c>
      <c r="BW87" s="12">
        <v>1510953</v>
      </c>
      <c r="BX87" s="12">
        <v>1367240</v>
      </c>
      <c r="BY87" s="12">
        <v>1528251</v>
      </c>
      <c r="BZ87" s="12">
        <v>1542446</v>
      </c>
      <c r="CA87" s="12">
        <v>1606818</v>
      </c>
      <c r="CB87" s="12">
        <v>1361491</v>
      </c>
      <c r="CC87" s="12">
        <v>1561393</v>
      </c>
      <c r="CD87" s="12">
        <v>1476998</v>
      </c>
      <c r="CE87" s="12">
        <v>1405222</v>
      </c>
      <c r="CF87" s="12">
        <v>1524282</v>
      </c>
      <c r="CG87" s="12">
        <v>1468966</v>
      </c>
      <c r="CH87" s="12">
        <v>1480802</v>
      </c>
      <c r="CI87" s="12">
        <v>1603540</v>
      </c>
      <c r="CJ87" s="12">
        <v>1273235</v>
      </c>
      <c r="CK87" s="12">
        <v>1550356</v>
      </c>
      <c r="CL87" s="12">
        <v>1300787</v>
      </c>
      <c r="CM87" s="12">
        <v>1615553</v>
      </c>
      <c r="CN87" s="12">
        <v>1307523</v>
      </c>
      <c r="CO87" s="12">
        <v>1417833</v>
      </c>
      <c r="CP87" s="12">
        <v>1396792</v>
      </c>
      <c r="CQ87" s="12">
        <v>1459828</v>
      </c>
      <c r="CR87" s="12">
        <v>1546864</v>
      </c>
      <c r="CS87" s="12">
        <v>1438730</v>
      </c>
      <c r="CT87" s="12">
        <v>1518484</v>
      </c>
      <c r="CU87" s="12">
        <v>1477627</v>
      </c>
      <c r="CV87" s="12">
        <v>1388842</v>
      </c>
      <c r="CW87" s="12">
        <v>1606389</v>
      </c>
      <c r="CX87" s="12">
        <v>1451933</v>
      </c>
      <c r="CY87" s="12">
        <v>1491705</v>
      </c>
      <c r="CZ87" s="12">
        <v>1399052</v>
      </c>
      <c r="DA87" s="12">
        <v>1573888</v>
      </c>
      <c r="DB87" s="12">
        <v>1416091</v>
      </c>
      <c r="DC87" s="12">
        <v>1533370</v>
      </c>
      <c r="DD87" s="12">
        <v>1465038</v>
      </c>
      <c r="DE87" s="12">
        <v>1397844</v>
      </c>
      <c r="DF87" s="12">
        <v>1406264</v>
      </c>
      <c r="DG87" s="12">
        <v>1246398</v>
      </c>
      <c r="DH87" s="12">
        <v>1104090</v>
      </c>
      <c r="DI87" s="12">
        <v>1220842</v>
      </c>
      <c r="DJ87" s="12">
        <v>1108381</v>
      </c>
      <c r="DK87" s="12">
        <v>1126198</v>
      </c>
      <c r="DL87" s="12">
        <v>1134837</v>
      </c>
      <c r="DM87" s="12">
        <v>1175427</v>
      </c>
      <c r="DN87" s="12">
        <v>1173650</v>
      </c>
      <c r="DO87" s="12">
        <v>1153522</v>
      </c>
      <c r="DP87" s="12">
        <v>1099407</v>
      </c>
      <c r="DQ87" s="12">
        <v>1039346</v>
      </c>
      <c r="DR87" s="12">
        <v>1175539</v>
      </c>
    </row>
    <row r="88" spans="1:122" s="9" customFormat="1"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</row>
    <row r="89" spans="1:122" s="9" customFormat="1">
      <c r="A89" s="9" t="s">
        <v>437</v>
      </c>
      <c r="B89" s="9" t="s">
        <v>438</v>
      </c>
      <c r="C89" s="13">
        <v>20.256641822234773</v>
      </c>
      <c r="D89" s="13">
        <v>20.505416635543405</v>
      </c>
      <c r="E89" s="13">
        <v>20.006978256689855</v>
      </c>
      <c r="F89" s="13">
        <v>20.81016423046751</v>
      </c>
      <c r="G89" s="13">
        <v>20.564676745780375</v>
      </c>
      <c r="H89" s="13">
        <v>21.4544097197242</v>
      </c>
      <c r="I89" s="13">
        <v>21.898760785266898</v>
      </c>
      <c r="J89" s="13">
        <v>21.732120467132738</v>
      </c>
      <c r="K89" s="13">
        <v>21.511656776721907</v>
      </c>
      <c r="L89" s="13">
        <v>20.550249390133025</v>
      </c>
      <c r="M89" s="13">
        <v>20.013168647165998</v>
      </c>
      <c r="N89" s="13">
        <v>19.187512384096518</v>
      </c>
      <c r="O89" s="13">
        <v>19.007814574220163</v>
      </c>
      <c r="P89" s="13">
        <v>19.655032956537255</v>
      </c>
      <c r="Q89" s="13">
        <v>18.726786273010067</v>
      </c>
      <c r="R89" s="13">
        <v>19.660540571179432</v>
      </c>
      <c r="S89" s="13">
        <v>20.180361511109908</v>
      </c>
      <c r="T89" s="13">
        <v>20.808498027109092</v>
      </c>
      <c r="U89" s="13">
        <v>21.723256069052045</v>
      </c>
      <c r="V89" s="13">
        <v>22.398901740893262</v>
      </c>
      <c r="W89" s="13">
        <v>20.868442484353913</v>
      </c>
      <c r="X89" s="13">
        <v>23.113514490969944</v>
      </c>
      <c r="Y89" s="13">
        <v>23.673509712314651</v>
      </c>
      <c r="Z89" s="13">
        <v>25.207405023793182</v>
      </c>
      <c r="AA89" s="13">
        <v>25.363345397386084</v>
      </c>
      <c r="AB89" s="13">
        <v>26.785097666669234</v>
      </c>
      <c r="AC89" s="13">
        <v>26.920160098091333</v>
      </c>
      <c r="AD89" s="13">
        <v>26.960995661615193</v>
      </c>
      <c r="AE89" s="13">
        <v>28.004283871865372</v>
      </c>
      <c r="AF89" s="13">
        <v>29.964332281354995</v>
      </c>
      <c r="AG89" s="13">
        <v>31.557237764883943</v>
      </c>
      <c r="AH89" s="13">
        <v>32.648539423923609</v>
      </c>
      <c r="AI89" s="13">
        <v>33.320038164368526</v>
      </c>
      <c r="AJ89" s="13">
        <v>32.280961331494048</v>
      </c>
      <c r="AK89" s="13">
        <v>29.944701219478564</v>
      </c>
      <c r="AL89" s="13">
        <v>25.77789406970129</v>
      </c>
      <c r="AM89" s="13">
        <v>22.760536912972004</v>
      </c>
      <c r="AN89" s="13">
        <v>20.53674181189815</v>
      </c>
      <c r="AO89" s="13">
        <v>18.878812730983523</v>
      </c>
      <c r="AP89" s="13">
        <v>18.971906132762385</v>
      </c>
      <c r="AQ89" s="13">
        <v>18.928212272684355</v>
      </c>
      <c r="AR89" s="13">
        <v>19.051118392393796</v>
      </c>
      <c r="AS89" s="13">
        <v>20.055506061706641</v>
      </c>
      <c r="AT89" s="13">
        <v>22.193106277684631</v>
      </c>
      <c r="AU89" s="13">
        <v>22.578451623523716</v>
      </c>
      <c r="AV89" s="13">
        <v>23.570488433387066</v>
      </c>
      <c r="AW89" s="13">
        <v>23.237089641830945</v>
      </c>
      <c r="AX89" s="13">
        <v>23.284043746354552</v>
      </c>
      <c r="AY89" s="13">
        <v>23.76864781713892</v>
      </c>
      <c r="AZ89" s="13">
        <v>24.575338965485464</v>
      </c>
      <c r="BA89" s="13">
        <v>25.079140574993858</v>
      </c>
      <c r="BB89" s="13">
        <v>24.229758536122205</v>
      </c>
      <c r="BC89" s="13">
        <v>25.249817794711277</v>
      </c>
      <c r="BD89" s="13">
        <v>25.324545487597078</v>
      </c>
      <c r="BE89" s="13">
        <v>25.296290844476509</v>
      </c>
      <c r="BF89" s="13">
        <v>25.512918793994672</v>
      </c>
      <c r="BG89" s="13">
        <v>25.050887167582207</v>
      </c>
      <c r="BH89" s="13">
        <v>25.417313606407166</v>
      </c>
      <c r="BI89" s="13">
        <v>25.8138099672023</v>
      </c>
      <c r="BJ89" s="13">
        <v>26.020223761012616</v>
      </c>
      <c r="BK89" s="13">
        <v>27.185802597095687</v>
      </c>
      <c r="BL89" s="13">
        <v>27.860064469885405</v>
      </c>
      <c r="BM89" s="13">
        <v>28.508004779823121</v>
      </c>
      <c r="BN89" s="13">
        <v>29.729427523964532</v>
      </c>
      <c r="BO89" s="13">
        <v>31.290518484206796</v>
      </c>
      <c r="BP89" s="13">
        <v>32.868939926100495</v>
      </c>
      <c r="BQ89" s="13">
        <v>33.046965547031945</v>
      </c>
      <c r="BR89" s="13">
        <v>33.90909588545469</v>
      </c>
      <c r="BS89" s="13">
        <v>34.327071336702929</v>
      </c>
      <c r="BT89" s="13">
        <v>33.671579791893322</v>
      </c>
      <c r="BU89" s="13">
        <v>33.433547367984318</v>
      </c>
      <c r="BV89" s="13">
        <v>32.964688891802879</v>
      </c>
      <c r="BW89" s="13">
        <v>33.098185750529311</v>
      </c>
      <c r="BX89" s="13">
        <v>33.610921402828133</v>
      </c>
      <c r="BY89" s="13">
        <v>33.960609376697299</v>
      </c>
      <c r="BZ89" s="13">
        <v>34.418120911662484</v>
      </c>
      <c r="CA89" s="13">
        <v>35.01232366874838</v>
      </c>
      <c r="CB89" s="13">
        <v>36.371901505834828</v>
      </c>
      <c r="CC89" s="13">
        <v>34.608749399852925</v>
      </c>
      <c r="CD89" s="13">
        <v>33.591716280036295</v>
      </c>
      <c r="CE89" s="13">
        <v>33.93598669978806</v>
      </c>
      <c r="CF89" s="13">
        <v>33.561842208953898</v>
      </c>
      <c r="CG89" s="13">
        <v>33.40785175714759</v>
      </c>
      <c r="CH89" s="13">
        <v>32.969530851436389</v>
      </c>
      <c r="CI89" s="13">
        <v>34.936210978595177</v>
      </c>
      <c r="CJ89" s="13">
        <v>33.332403225551701</v>
      </c>
      <c r="CK89" s="13">
        <v>33.961020632536965</v>
      </c>
      <c r="CL89" s="13">
        <v>33.221416570187799</v>
      </c>
      <c r="CM89" s="13">
        <v>32.219620050865736</v>
      </c>
      <c r="CN89" s="13">
        <v>32.892121565268987</v>
      </c>
      <c r="CO89" s="13">
        <v>32.407188636242012</v>
      </c>
      <c r="CP89" s="13">
        <v>32.194377326202321</v>
      </c>
      <c r="CQ89" s="13">
        <v>32.244362787879304</v>
      </c>
      <c r="CR89" s="13">
        <v>33.481068073823252</v>
      </c>
      <c r="CS89" s="13">
        <v>33.766967924991242</v>
      </c>
      <c r="CT89" s="13">
        <v>33.101354385892726</v>
      </c>
      <c r="CU89" s="13">
        <v>34.078014102700934</v>
      </c>
      <c r="CV89" s="13">
        <v>33.640709720321681</v>
      </c>
      <c r="CW89" s="13">
        <v>34.804286701940427</v>
      </c>
      <c r="CX89" s="13">
        <v>33.627497731876758</v>
      </c>
      <c r="CY89" s="13">
        <v>33.97783650091295</v>
      </c>
      <c r="CZ89" s="13">
        <v>34.459239783348295</v>
      </c>
      <c r="DA89" s="13">
        <v>34.072914372375124</v>
      </c>
      <c r="DB89" s="13">
        <v>33.794185771862146</v>
      </c>
      <c r="DC89" s="13">
        <v>34.023193506666857</v>
      </c>
      <c r="DD89" s="13">
        <v>33.010070233886012</v>
      </c>
      <c r="DE89" s="13">
        <v>31.66786841264118</v>
      </c>
      <c r="DF89" s="13">
        <v>31.219880322872328</v>
      </c>
      <c r="DG89" s="13">
        <v>30.036569109247203</v>
      </c>
      <c r="DH89" s="13">
        <v>27.030613742258954</v>
      </c>
      <c r="DI89" s="13">
        <v>27.234909126996222</v>
      </c>
      <c r="DJ89" s="13">
        <v>26.376672399996469</v>
      </c>
      <c r="DK89" s="13">
        <v>26.028340028485431</v>
      </c>
      <c r="DL89" s="13">
        <v>26.604461166047987</v>
      </c>
      <c r="DM89" s="13">
        <v>26.744902823085486</v>
      </c>
      <c r="DN89" s="13">
        <v>26.842165507982742</v>
      </c>
      <c r="DO89" s="13">
        <v>25.765153092570291</v>
      </c>
      <c r="DP89" s="13">
        <v>25.195547698310023</v>
      </c>
      <c r="DQ89" s="13">
        <v>23.867403819172175</v>
      </c>
      <c r="DR89" s="13">
        <v>24.054150613415199</v>
      </c>
    </row>
    <row r="90" spans="1:122" s="9" customFormat="1">
      <c r="A90" s="9" t="s">
        <v>421</v>
      </c>
      <c r="B90" s="9" t="s">
        <v>438</v>
      </c>
      <c r="C90" s="13">
        <v>22.747586837351751</v>
      </c>
      <c r="D90" s="13">
        <v>22.935447362643909</v>
      </c>
      <c r="E90" s="13">
        <v>22.538401542210114</v>
      </c>
      <c r="F90" s="13">
        <v>23.310151268962464</v>
      </c>
      <c r="G90" s="13">
        <v>23.264543740256499</v>
      </c>
      <c r="H90" s="13">
        <v>24.099753962235898</v>
      </c>
      <c r="I90" s="13">
        <v>24.619286947231664</v>
      </c>
      <c r="J90" s="13">
        <v>24.487960487623209</v>
      </c>
      <c r="K90" s="13">
        <v>24.234783069999178</v>
      </c>
      <c r="L90" s="13">
        <v>23.262232350682975</v>
      </c>
      <c r="M90" s="13">
        <v>22.667260280098464</v>
      </c>
      <c r="N90" s="13">
        <v>21.816409794681107</v>
      </c>
      <c r="O90" s="13">
        <v>21.716456114194006</v>
      </c>
      <c r="P90" s="13">
        <v>22.369551378781953</v>
      </c>
      <c r="Q90" s="13">
        <v>21.482643697922825</v>
      </c>
      <c r="R90" s="13">
        <v>22.475612005201516</v>
      </c>
      <c r="S90" s="13">
        <v>23.174791521812253</v>
      </c>
      <c r="T90" s="13">
        <v>23.534849000840072</v>
      </c>
      <c r="U90" s="13">
        <v>24.586764944337176</v>
      </c>
      <c r="V90" s="13">
        <v>25.196392553606284</v>
      </c>
      <c r="W90" s="13">
        <v>23.511524275833793</v>
      </c>
      <c r="X90" s="13">
        <v>26.105313991675882</v>
      </c>
      <c r="Y90" s="13">
        <v>26.595399680825064</v>
      </c>
      <c r="Z90" s="13">
        <v>28.266643828432148</v>
      </c>
      <c r="AA90" s="13">
        <v>28.532235123871779</v>
      </c>
      <c r="AB90" s="13">
        <v>29.978026525686037</v>
      </c>
      <c r="AC90" s="13">
        <v>29.924502233961665</v>
      </c>
      <c r="AD90" s="13">
        <v>30.312360143672361</v>
      </c>
      <c r="AE90" s="13">
        <v>31.399344444717421</v>
      </c>
      <c r="AF90" s="13">
        <v>33.268098078835941</v>
      </c>
      <c r="AG90" s="13">
        <v>34.992980136858201</v>
      </c>
      <c r="AH90" s="13">
        <v>36.023539150504092</v>
      </c>
      <c r="AI90" s="13">
        <v>36.941321040009619</v>
      </c>
      <c r="AJ90" s="13">
        <v>35.739857572254316</v>
      </c>
      <c r="AK90" s="13">
        <v>33.410329387259196</v>
      </c>
      <c r="AL90" s="13">
        <v>29.275331247909147</v>
      </c>
      <c r="AM90" s="13">
        <v>25.764064385668878</v>
      </c>
      <c r="AN90" s="13">
        <v>23.493402188758232</v>
      </c>
      <c r="AO90" s="13">
        <v>21.587856156850936</v>
      </c>
      <c r="AP90" s="13">
        <v>22.188936055063696</v>
      </c>
      <c r="AQ90" s="13">
        <v>22.041084539931248</v>
      </c>
      <c r="AR90" s="13">
        <v>22.20362414621869</v>
      </c>
      <c r="AS90" s="13">
        <v>22.988046222840275</v>
      </c>
      <c r="AT90" s="13">
        <v>25.130609891328071</v>
      </c>
      <c r="AU90" s="13">
        <v>25.488986026666065</v>
      </c>
      <c r="AV90" s="13">
        <v>26.447984626633819</v>
      </c>
      <c r="AW90" s="13">
        <v>26.22744702605409</v>
      </c>
      <c r="AX90" s="13">
        <v>26.259885081778283</v>
      </c>
      <c r="AY90" s="13">
        <v>26.707752942823742</v>
      </c>
      <c r="AZ90" s="13">
        <v>27.459505192528233</v>
      </c>
      <c r="BA90" s="13">
        <v>27.786072327339319</v>
      </c>
      <c r="BB90" s="13">
        <v>27.145089545218749</v>
      </c>
      <c r="BC90" s="13">
        <v>28.247828693085435</v>
      </c>
      <c r="BD90" s="13">
        <v>28.356723590447171</v>
      </c>
      <c r="BE90" s="13">
        <v>28.300286767077637</v>
      </c>
      <c r="BF90" s="13">
        <v>28.584800762284434</v>
      </c>
      <c r="BG90" s="13">
        <v>28.016029908535977</v>
      </c>
      <c r="BH90" s="13">
        <v>28.454958391185581</v>
      </c>
      <c r="BI90" s="13">
        <v>28.910786046045679</v>
      </c>
      <c r="BJ90" s="13">
        <v>29.147993677086042</v>
      </c>
      <c r="BK90" s="13">
        <v>30.127996472334146</v>
      </c>
      <c r="BL90" s="13">
        <v>31.039030467029484</v>
      </c>
      <c r="BM90" s="13">
        <v>31.703383412885554</v>
      </c>
      <c r="BN90" s="13">
        <v>32.89108213260468</v>
      </c>
      <c r="BO90" s="13">
        <v>34.579977501650163</v>
      </c>
      <c r="BP90" s="13">
        <v>35.84331340657468</v>
      </c>
      <c r="BQ90" s="13">
        <v>36.225378153658689</v>
      </c>
      <c r="BR90" s="13">
        <v>36.981373826828801</v>
      </c>
      <c r="BS90" s="13">
        <v>37.530405875184734</v>
      </c>
      <c r="BT90" s="13">
        <v>36.708962152856508</v>
      </c>
      <c r="BU90" s="13">
        <v>36.5600746806046</v>
      </c>
      <c r="BV90" s="13">
        <v>36.204998806745202</v>
      </c>
      <c r="BW90" s="13">
        <v>36.245284662501057</v>
      </c>
      <c r="BX90" s="13">
        <v>36.794987885724552</v>
      </c>
      <c r="BY90" s="13">
        <v>37.053520044821894</v>
      </c>
      <c r="BZ90" s="13">
        <v>37.506945174166276</v>
      </c>
      <c r="CA90" s="13">
        <v>38.208699214501145</v>
      </c>
      <c r="CB90" s="13">
        <v>40.158146893743819</v>
      </c>
      <c r="CC90" s="13">
        <v>37.844213063030701</v>
      </c>
      <c r="CD90" s="13">
        <v>37.183435914970083</v>
      </c>
      <c r="CE90" s="13">
        <v>37.207963878481245</v>
      </c>
      <c r="CF90" s="13">
        <v>36.962415117867756</v>
      </c>
      <c r="CG90" s="13">
        <v>36.811716598260084</v>
      </c>
      <c r="CH90" s="13">
        <v>36.334286297714854</v>
      </c>
      <c r="CI90" s="13">
        <v>37.938727928103297</v>
      </c>
      <c r="CJ90" s="13">
        <v>36.652899264664804</v>
      </c>
      <c r="CK90" s="13">
        <v>37.523700951820466</v>
      </c>
      <c r="CL90" s="13">
        <v>36.959732352975841</v>
      </c>
      <c r="CM90" s="13">
        <v>35.906551570426728</v>
      </c>
      <c r="CN90" s="13">
        <v>36.924479152759773</v>
      </c>
      <c r="CO90" s="13">
        <v>36.506774014517894</v>
      </c>
      <c r="CP90" s="13">
        <v>35.943785234189299</v>
      </c>
      <c r="CQ90" s="13">
        <v>36.283790125460214</v>
      </c>
      <c r="CR90" s="13">
        <v>37.268346748688622</v>
      </c>
      <c r="CS90" s="13">
        <v>37.24436603861794</v>
      </c>
      <c r="CT90" s="13">
        <v>36.578206258207487</v>
      </c>
      <c r="CU90" s="13">
        <v>37.395992668567565</v>
      </c>
      <c r="CV90" s="13">
        <v>37.107655964628137</v>
      </c>
      <c r="CW90" s="13">
        <v>38.512273988329085</v>
      </c>
      <c r="CX90" s="13">
        <v>38.077923866949796</v>
      </c>
      <c r="CY90" s="13">
        <v>38.043285413472482</v>
      </c>
      <c r="CZ90" s="13">
        <v>38.655536464153265</v>
      </c>
      <c r="DA90" s="13">
        <v>38.418698270649905</v>
      </c>
      <c r="DB90" s="13">
        <v>37.812599050280788</v>
      </c>
      <c r="DC90" s="13">
        <v>38.116710745589103</v>
      </c>
      <c r="DD90" s="13">
        <v>36.41298640759738</v>
      </c>
      <c r="DE90" s="13">
        <v>35.055314182579735</v>
      </c>
      <c r="DF90" s="13">
        <v>34.592634513440451</v>
      </c>
      <c r="DG90" s="13">
        <v>33.34247779148167</v>
      </c>
      <c r="DH90" s="13">
        <v>30.851418680144892</v>
      </c>
      <c r="DI90" s="13">
        <v>31.195024833384171</v>
      </c>
      <c r="DJ90" s="13">
        <v>30.876909074935771</v>
      </c>
      <c r="DK90" s="13">
        <v>30.541850001859633</v>
      </c>
      <c r="DL90" s="13">
        <v>30.870757824459883</v>
      </c>
      <c r="DM90" s="13">
        <v>30.450979416222989</v>
      </c>
      <c r="DN90" s="13">
        <v>30.20877572902284</v>
      </c>
      <c r="DO90" s="13">
        <v>28.765413132436706</v>
      </c>
      <c r="DP90" s="13">
        <v>28.495570164166889</v>
      </c>
      <c r="DQ90" s="13">
        <v>27.272298515094324</v>
      </c>
      <c r="DR90" s="13">
        <v>27.011126742086827</v>
      </c>
    </row>
    <row r="91" spans="1:122" s="9" customFormat="1">
      <c r="A91" s="9" t="s">
        <v>422</v>
      </c>
      <c r="B91" s="9" t="s">
        <v>438</v>
      </c>
      <c r="C91" s="13">
        <v>19.110550069068047</v>
      </c>
      <c r="D91" s="13">
        <v>19.462188486013027</v>
      </c>
      <c r="E91" s="13">
        <v>18.877186925396245</v>
      </c>
      <c r="F91" s="13">
        <v>19.678530168367377</v>
      </c>
      <c r="G91" s="13">
        <v>19.430380968707954</v>
      </c>
      <c r="H91" s="13">
        <v>20.318285320026138</v>
      </c>
      <c r="I91" s="13">
        <v>20.720125273034604</v>
      </c>
      <c r="J91" s="13">
        <v>20.546096487651237</v>
      </c>
      <c r="K91" s="13">
        <v>20.352595878405928</v>
      </c>
      <c r="L91" s="13">
        <v>19.38679317887032</v>
      </c>
      <c r="M91" s="13">
        <v>18.852546144782842</v>
      </c>
      <c r="N91" s="13">
        <v>18.025412717445725</v>
      </c>
      <c r="O91" s="13">
        <v>17.739004415062638</v>
      </c>
      <c r="P91" s="13">
        <v>18.481443380721135</v>
      </c>
      <c r="Q91" s="13">
        <v>17.52399511039167</v>
      </c>
      <c r="R91" s="13">
        <v>18.414552512258197</v>
      </c>
      <c r="S91" s="13">
        <v>18.921945458104609</v>
      </c>
      <c r="T91" s="13">
        <v>19.622359209307788</v>
      </c>
      <c r="U91" s="13">
        <v>20.467193290594025</v>
      </c>
      <c r="V91" s="13">
        <v>21.14964645960475</v>
      </c>
      <c r="W91" s="13">
        <v>19.728657937533104</v>
      </c>
      <c r="X91" s="13">
        <v>21.845261534729918</v>
      </c>
      <c r="Y91" s="13">
        <v>22.410545779048576</v>
      </c>
      <c r="Z91" s="13">
        <v>23.818453599663886</v>
      </c>
      <c r="AA91" s="13">
        <v>23.843722853873913</v>
      </c>
      <c r="AB91" s="13">
        <v>25.38253654753272</v>
      </c>
      <c r="AC91" s="13">
        <v>25.630694015980708</v>
      </c>
      <c r="AD91" s="13">
        <v>25.539555511733976</v>
      </c>
      <c r="AE91" s="13">
        <v>26.582201472558765</v>
      </c>
      <c r="AF91" s="13">
        <v>28.574609203962691</v>
      </c>
      <c r="AG91" s="13">
        <v>30.075908945956474</v>
      </c>
      <c r="AH91" s="13">
        <v>31.233735975747052</v>
      </c>
      <c r="AI91" s="13">
        <v>31.828160999284982</v>
      </c>
      <c r="AJ91" s="13">
        <v>30.87835191683806</v>
      </c>
      <c r="AK91" s="13">
        <v>28.517450255249344</v>
      </c>
      <c r="AL91" s="13">
        <v>24.240039956142255</v>
      </c>
      <c r="AM91" s="13">
        <v>21.329743675162703</v>
      </c>
      <c r="AN91" s="13">
        <v>19.255127621563485</v>
      </c>
      <c r="AO91" s="13">
        <v>17.677921773354488</v>
      </c>
      <c r="AP91" s="13">
        <v>17.569805899180036</v>
      </c>
      <c r="AQ91" s="13">
        <v>17.603458860542613</v>
      </c>
      <c r="AR91" s="13">
        <v>17.691208333698313</v>
      </c>
      <c r="AS91" s="13">
        <v>18.792003838747668</v>
      </c>
      <c r="AT91" s="13">
        <v>20.912816777128938</v>
      </c>
      <c r="AU91" s="13">
        <v>21.333704683792419</v>
      </c>
      <c r="AV91" s="13">
        <v>22.331566381393408</v>
      </c>
      <c r="AW91" s="13">
        <v>21.926293791277949</v>
      </c>
      <c r="AX91" s="13">
        <v>21.969805107238621</v>
      </c>
      <c r="AY91" s="13">
        <v>22.396047628439515</v>
      </c>
      <c r="AZ91" s="13">
        <v>23.318672771087517</v>
      </c>
      <c r="BA91" s="13">
        <v>23.884781688216147</v>
      </c>
      <c r="BB91" s="13">
        <v>22.960042603001686</v>
      </c>
      <c r="BC91" s="13">
        <v>23.997610565095215</v>
      </c>
      <c r="BD91" s="13">
        <v>24.040275010105415</v>
      </c>
      <c r="BE91" s="13">
        <v>23.994868093509815</v>
      </c>
      <c r="BF91" s="13">
        <v>24.214336257986645</v>
      </c>
      <c r="BG91" s="13">
        <v>23.811899716381618</v>
      </c>
      <c r="BH91" s="13">
        <v>24.144072757350134</v>
      </c>
      <c r="BI91" s="13">
        <v>24.480706629757513</v>
      </c>
      <c r="BJ91" s="13">
        <v>24.624355742712016</v>
      </c>
      <c r="BK91" s="13">
        <v>25.774084121587936</v>
      </c>
      <c r="BL91" s="13">
        <v>26.550179601928349</v>
      </c>
      <c r="BM91" s="13">
        <v>27.148237470927057</v>
      </c>
      <c r="BN91" s="13">
        <v>28.413278501218368</v>
      </c>
      <c r="BO91" s="13">
        <v>29.906880519371619</v>
      </c>
      <c r="BP91" s="13">
        <v>31.581430811336663</v>
      </c>
      <c r="BQ91" s="13">
        <v>31.703681555517662</v>
      </c>
      <c r="BR91" s="13">
        <v>32.617252478389936</v>
      </c>
      <c r="BS91" s="13">
        <v>33.022603188551244</v>
      </c>
      <c r="BT91" s="13">
        <v>32.441934090378773</v>
      </c>
      <c r="BU91" s="13">
        <v>32.153493613627191</v>
      </c>
      <c r="BV91" s="13">
        <v>31.560706538759796</v>
      </c>
      <c r="BW91" s="13">
        <v>31.671181926987941</v>
      </c>
      <c r="BX91" s="13">
        <v>32.33390693141834</v>
      </c>
      <c r="BY91" s="13">
        <v>32.643542369287275</v>
      </c>
      <c r="BZ91" s="13">
        <v>33.14962719398676</v>
      </c>
      <c r="CA91" s="13">
        <v>33.755088011939513</v>
      </c>
      <c r="CB91" s="13">
        <v>34.874648229409473</v>
      </c>
      <c r="CC91" s="13">
        <v>33.316388058412379</v>
      </c>
      <c r="CD91" s="13">
        <v>32.177136184499709</v>
      </c>
      <c r="CE91" s="13">
        <v>32.679320417369162</v>
      </c>
      <c r="CF91" s="13">
        <v>32.233924917307974</v>
      </c>
      <c r="CG91" s="13">
        <v>32.069553412970016</v>
      </c>
      <c r="CH91" s="13">
        <v>31.593721679767199</v>
      </c>
      <c r="CI91" s="13">
        <v>33.637725685469334</v>
      </c>
      <c r="CJ91" s="13">
        <v>32.018224278146931</v>
      </c>
      <c r="CK91" s="13">
        <v>32.5680498975685</v>
      </c>
      <c r="CL91" s="13">
        <v>31.756824115635851</v>
      </c>
      <c r="CM91" s="13">
        <v>30.851504819543173</v>
      </c>
      <c r="CN91" s="13">
        <v>31.370174495419789</v>
      </c>
      <c r="CO91" s="13">
        <v>30.881337540340169</v>
      </c>
      <c r="CP91" s="13">
        <v>30.789614550292114</v>
      </c>
      <c r="CQ91" s="13">
        <v>30.746517680673403</v>
      </c>
      <c r="CR91" s="13">
        <v>32.077884538224218</v>
      </c>
      <c r="CS91" s="13">
        <v>32.445335021115582</v>
      </c>
      <c r="CT91" s="13">
        <v>31.73509763638636</v>
      </c>
      <c r="CU91" s="13">
        <v>32.707844169565156</v>
      </c>
      <c r="CV91" s="13">
        <v>32.284746605125257</v>
      </c>
      <c r="CW91" s="13">
        <v>33.398917913329804</v>
      </c>
      <c r="CX91" s="13">
        <v>32.027305751522114</v>
      </c>
      <c r="CY91" s="13">
        <v>32.50968326916842</v>
      </c>
      <c r="CZ91" s="13">
        <v>32.935738438795262</v>
      </c>
      <c r="DA91" s="13">
        <v>32.482714538752546</v>
      </c>
      <c r="DB91" s="13">
        <v>32.285864403352768</v>
      </c>
      <c r="DC91" s="13">
        <v>32.553284370205034</v>
      </c>
      <c r="DD91" s="13">
        <v>31.711774015168587</v>
      </c>
      <c r="DE91" s="13">
        <v>30.380681558782147</v>
      </c>
      <c r="DF91" s="13">
        <v>29.928929284382981</v>
      </c>
      <c r="DG91" s="13">
        <v>28.675662520889539</v>
      </c>
      <c r="DH91" s="13">
        <v>25.61925171826136</v>
      </c>
      <c r="DI91" s="13">
        <v>25.781269602718204</v>
      </c>
      <c r="DJ91" s="13">
        <v>24.794974039120437</v>
      </c>
      <c r="DK91" s="13">
        <v>24.485972952196526</v>
      </c>
      <c r="DL91" s="13">
        <v>25.06955906388788</v>
      </c>
      <c r="DM91" s="13">
        <v>25.30702731062771</v>
      </c>
      <c r="DN91" s="13">
        <v>25.518683581143577</v>
      </c>
      <c r="DO91" s="13">
        <v>24.517983033987043</v>
      </c>
      <c r="DP91" s="13">
        <v>23.945011003420351</v>
      </c>
      <c r="DQ91" s="13">
        <v>22.570004758245034</v>
      </c>
      <c r="DR91" s="13">
        <v>22.86870195458469</v>
      </c>
    </row>
    <row r="92" spans="1:122" s="9" customFormat="1">
      <c r="A92" s="9" t="s">
        <v>423</v>
      </c>
      <c r="B92" s="9" t="s">
        <v>438</v>
      </c>
      <c r="C92" s="13">
        <v>20.957410177514905</v>
      </c>
      <c r="D92" s="13">
        <v>20.635016342523592</v>
      </c>
      <c r="E92" s="13">
        <v>21.285433146494668</v>
      </c>
      <c r="F92" s="13">
        <v>21.629413914091288</v>
      </c>
      <c r="G92" s="13">
        <v>21.391377525188084</v>
      </c>
      <c r="H92" s="13">
        <v>22.458647431497024</v>
      </c>
      <c r="I92" s="13">
        <v>23.091684076718078</v>
      </c>
      <c r="J92" s="13">
        <v>22.537874730198816</v>
      </c>
      <c r="K92" s="13">
        <v>22.526849143233765</v>
      </c>
      <c r="L92" s="13">
        <v>21.653988695683786</v>
      </c>
      <c r="M92" s="13">
        <v>20.61462041912721</v>
      </c>
      <c r="N92" s="13">
        <v>19.866474860916075</v>
      </c>
      <c r="O92" s="13">
        <v>20.025247374481843</v>
      </c>
      <c r="P92" s="13">
        <v>19.922967418537745</v>
      </c>
      <c r="Q92" s="13">
        <v>19.472236024294372</v>
      </c>
      <c r="R92" s="13">
        <v>20.478966779435417</v>
      </c>
      <c r="S92" s="13">
        <v>21.040778953094115</v>
      </c>
      <c r="T92" s="13">
        <v>21.635730927809171</v>
      </c>
      <c r="U92" s="13">
        <v>22.755318010198124</v>
      </c>
      <c r="V92" s="13">
        <v>23.151534928287056</v>
      </c>
      <c r="W92" s="13">
        <v>21.739642832833827</v>
      </c>
      <c r="X92" s="13">
        <v>24.064054017494389</v>
      </c>
      <c r="Y92" s="13">
        <v>24.394735372484291</v>
      </c>
      <c r="Z92" s="13">
        <v>25.87518599312909</v>
      </c>
      <c r="AA92" s="13">
        <v>25.804685257951789</v>
      </c>
      <c r="AB92" s="13">
        <v>27.570604258411237</v>
      </c>
      <c r="AC92" s="13">
        <v>27.743007473323388</v>
      </c>
      <c r="AD92" s="13">
        <v>27.532696753414555</v>
      </c>
      <c r="AE92" s="13">
        <v>28.969939358202438</v>
      </c>
      <c r="AF92" s="13">
        <v>30.730954190935073</v>
      </c>
      <c r="AG92" s="13">
        <v>32.804895391621066</v>
      </c>
      <c r="AH92" s="13">
        <v>33.64328099944948</v>
      </c>
      <c r="AI92" s="13">
        <v>35.380831688105751</v>
      </c>
      <c r="AJ92" s="13">
        <v>33.074708339499537</v>
      </c>
      <c r="AK92" s="13">
        <v>30.437784542765179</v>
      </c>
      <c r="AL92" s="13">
        <v>26.092278522957557</v>
      </c>
      <c r="AM92" s="13">
        <v>23.266372985958</v>
      </c>
      <c r="AN92" s="13">
        <v>20.840538536069001</v>
      </c>
      <c r="AO92" s="13">
        <v>17.836220115750397</v>
      </c>
      <c r="AP92" s="13">
        <v>19.435773839265593</v>
      </c>
      <c r="AQ92" s="13">
        <v>19.692804405924981</v>
      </c>
      <c r="AR92" s="13">
        <v>20.417641532797823</v>
      </c>
      <c r="AS92" s="13">
        <v>21.256071121258319</v>
      </c>
      <c r="AT92" s="13">
        <v>23.264717979946901</v>
      </c>
      <c r="AU92" s="13">
        <v>24.463821397319148</v>
      </c>
      <c r="AV92" s="13">
        <v>24.928150268188507</v>
      </c>
      <c r="AW92" s="13">
        <v>24.68235477593759</v>
      </c>
      <c r="AX92" s="13">
        <v>24.353963480954121</v>
      </c>
      <c r="AY92" s="13">
        <v>24.780444643507966</v>
      </c>
      <c r="AZ92" s="13">
        <v>25.74351302135171</v>
      </c>
      <c r="BA92" s="13">
        <v>26.120697810249961</v>
      </c>
      <c r="BB92" s="13">
        <v>25.739278194658908</v>
      </c>
      <c r="BC92" s="13">
        <v>26.810710688320782</v>
      </c>
      <c r="BD92" s="13">
        <v>26.816388443078125</v>
      </c>
      <c r="BE92" s="13">
        <v>26.991221934231746</v>
      </c>
      <c r="BF92" s="13">
        <v>27.276615807867476</v>
      </c>
      <c r="BG92" s="13">
        <v>26.595415263064059</v>
      </c>
      <c r="BH92" s="13">
        <v>26.976319117809911</v>
      </c>
      <c r="BI92" s="13">
        <v>27.498321003989496</v>
      </c>
      <c r="BJ92" s="13">
        <v>27.343763671110498</v>
      </c>
      <c r="BK92" s="13">
        <v>28.338405703661433</v>
      </c>
      <c r="BL92" s="13">
        <v>29.652011531244344</v>
      </c>
      <c r="BM92" s="13">
        <v>29.795173236382162</v>
      </c>
      <c r="BN92" s="13">
        <v>31.677892206325311</v>
      </c>
      <c r="BO92" s="13">
        <v>33.181724614983096</v>
      </c>
      <c r="BP92" s="13">
        <v>35.22530048238557</v>
      </c>
      <c r="BQ92" s="13">
        <v>34.901430496488508</v>
      </c>
      <c r="BR92" s="13">
        <v>35.867471545090091</v>
      </c>
      <c r="BS92" s="13">
        <v>36.532456114476773</v>
      </c>
      <c r="BT92" s="13">
        <v>35.607795046836053</v>
      </c>
      <c r="BU92" s="13">
        <v>35.212018737445781</v>
      </c>
      <c r="BV92" s="13">
        <v>34.598414038542494</v>
      </c>
      <c r="BW92" s="13">
        <v>34.697811926038774</v>
      </c>
      <c r="BX92" s="13">
        <v>35.314169912701239</v>
      </c>
      <c r="BY92" s="13">
        <v>35.533473754306385</v>
      </c>
      <c r="BZ92" s="13">
        <v>35.781292444651882</v>
      </c>
      <c r="CA92" s="13">
        <v>36.275618465500735</v>
      </c>
      <c r="CB92" s="13">
        <v>39.205320325278173</v>
      </c>
      <c r="CC92" s="13">
        <v>34.969827358379852</v>
      </c>
      <c r="CD92" s="13">
        <v>37.319208781168655</v>
      </c>
      <c r="CE92" s="13">
        <v>35.834994318309327</v>
      </c>
      <c r="CF92" s="13">
        <v>35.187336749074596</v>
      </c>
      <c r="CG92" s="13">
        <v>35.632944523388026</v>
      </c>
      <c r="CH92" s="13">
        <v>35.109330040534054</v>
      </c>
      <c r="CI92" s="13">
        <v>35.895469448871104</v>
      </c>
      <c r="CJ92" s="13">
        <v>34.55105353122304</v>
      </c>
      <c r="CK92" s="13">
        <v>34.942363973003644</v>
      </c>
      <c r="CL92" s="13">
        <v>35.500229929601964</v>
      </c>
      <c r="CM92" s="13">
        <v>33.411356096705482</v>
      </c>
      <c r="CN92" s="13">
        <v>35.155432675774748</v>
      </c>
      <c r="CO92" s="13">
        <v>34.544591161195569</v>
      </c>
      <c r="CP92" s="13">
        <v>34.338222116567231</v>
      </c>
      <c r="CQ92" s="13">
        <v>34.176363791729045</v>
      </c>
      <c r="CR92" s="13">
        <v>35.259446407653726</v>
      </c>
      <c r="CS92" s="13">
        <v>35.689718514284891</v>
      </c>
      <c r="CT92" s="13">
        <v>34.878131973259435</v>
      </c>
      <c r="CU92" s="13">
        <v>35.389915447526</v>
      </c>
      <c r="CV92" s="13">
        <v>35.109821048469705</v>
      </c>
      <c r="CW92" s="13">
        <v>35.657557249705604</v>
      </c>
      <c r="CX92" s="13">
        <v>34.778229452531392</v>
      </c>
      <c r="CY92" s="13">
        <v>36.015575712492513</v>
      </c>
      <c r="CZ92" s="13">
        <v>36.336606276727125</v>
      </c>
      <c r="DA92" s="13">
        <v>35.545959521247219</v>
      </c>
      <c r="DB92" s="13">
        <v>36.195601136816457</v>
      </c>
      <c r="DC92" s="13">
        <v>35.78164972640527</v>
      </c>
      <c r="DD92" s="13">
        <v>35.07622116552028</v>
      </c>
      <c r="DE92" s="13">
        <v>33.434421157596312</v>
      </c>
      <c r="DF92" s="13">
        <v>32.653368296373763</v>
      </c>
      <c r="DG92" s="13">
        <v>30.164564614566235</v>
      </c>
      <c r="DH92" s="13">
        <v>28.216559777046012</v>
      </c>
      <c r="DI92" s="13">
        <v>27.882602932323064</v>
      </c>
      <c r="DJ92" s="13">
        <v>27.583317530638563</v>
      </c>
      <c r="DK92" s="13">
        <v>27.152545887208962</v>
      </c>
      <c r="DL92" s="13">
        <v>28.062066876441172</v>
      </c>
      <c r="DM92" s="13">
        <v>28.586058621718628</v>
      </c>
      <c r="DN92" s="13">
        <v>28.959998855072683</v>
      </c>
      <c r="DO92" s="13">
        <v>27.995103437932144</v>
      </c>
      <c r="DP92" s="13">
        <v>27.181966954118547</v>
      </c>
      <c r="DQ92" s="13">
        <v>25.788194824377335</v>
      </c>
      <c r="DR92" s="13">
        <v>25.889519398105715</v>
      </c>
    </row>
    <row r="93" spans="1:122" s="9" customFormat="1"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208"/>
      <c r="BW93" s="208"/>
      <c r="BX93" s="208"/>
      <c r="BY93" s="208"/>
      <c r="BZ93" s="208"/>
      <c r="CA93" s="208"/>
      <c r="CB93" s="208"/>
      <c r="CC93" s="208"/>
      <c r="CD93" s="208"/>
      <c r="CE93" s="208"/>
      <c r="CF93" s="208"/>
      <c r="CG93" s="208"/>
      <c r="CH93" s="208"/>
      <c r="CI93" s="208"/>
      <c r="CJ93" s="208"/>
      <c r="CK93" s="208"/>
      <c r="CL93" s="208"/>
      <c r="CM93" s="208"/>
      <c r="CN93" s="208"/>
      <c r="CO93" s="208"/>
      <c r="CP93" s="208"/>
      <c r="CQ93" s="208"/>
      <c r="CR93" s="208"/>
      <c r="CS93" s="208"/>
      <c r="CT93" s="208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</row>
    <row r="94" spans="1:122" s="9" customFormat="1">
      <c r="A94" s="9" t="s">
        <v>39</v>
      </c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</row>
    <row r="95" spans="1:122" s="9" customFormat="1">
      <c r="A95" s="9" t="s">
        <v>41</v>
      </c>
      <c r="B95" s="9" t="s">
        <v>42</v>
      </c>
      <c r="C95" s="12">
        <v>844125</v>
      </c>
      <c r="D95" s="12">
        <v>671531</v>
      </c>
      <c r="E95" s="12">
        <v>745361</v>
      </c>
      <c r="F95" s="12">
        <v>791726</v>
      </c>
      <c r="G95" s="12">
        <v>747035</v>
      </c>
      <c r="H95" s="12">
        <v>778777</v>
      </c>
      <c r="I95" s="12">
        <v>803201</v>
      </c>
      <c r="J95" s="12">
        <v>875987</v>
      </c>
      <c r="K95" s="12">
        <v>838691</v>
      </c>
      <c r="L95" s="12">
        <v>814404</v>
      </c>
      <c r="M95" s="12">
        <v>782229</v>
      </c>
      <c r="N95" s="12">
        <v>749035</v>
      </c>
      <c r="O95" s="12">
        <v>757778</v>
      </c>
      <c r="P95" s="12">
        <v>680461</v>
      </c>
      <c r="Q95" s="12">
        <v>844675</v>
      </c>
      <c r="R95" s="12">
        <v>699295</v>
      </c>
      <c r="S95" s="12">
        <v>746247</v>
      </c>
      <c r="T95" s="12">
        <v>771856</v>
      </c>
      <c r="U95" s="12">
        <v>824800</v>
      </c>
      <c r="V95" s="12">
        <v>845793</v>
      </c>
      <c r="W95" s="12">
        <v>819153</v>
      </c>
      <c r="X95" s="12">
        <v>854507</v>
      </c>
      <c r="Y95" s="12">
        <v>749055</v>
      </c>
      <c r="Z95" s="12">
        <v>762792</v>
      </c>
      <c r="AA95" s="12">
        <v>698678</v>
      </c>
      <c r="AB95" s="12">
        <v>761657</v>
      </c>
      <c r="AC95" s="12">
        <v>777599</v>
      </c>
      <c r="AD95" s="12">
        <v>687100</v>
      </c>
      <c r="AE95" s="12">
        <v>749189</v>
      </c>
      <c r="AF95" s="12">
        <v>731190</v>
      </c>
      <c r="AG95" s="12">
        <v>787032</v>
      </c>
      <c r="AH95" s="12">
        <v>786096</v>
      </c>
      <c r="AI95" s="12">
        <v>775862</v>
      </c>
      <c r="AJ95" s="12">
        <v>819457</v>
      </c>
      <c r="AK95" s="12">
        <v>706326</v>
      </c>
      <c r="AL95" s="12">
        <v>690800</v>
      </c>
      <c r="AM95" s="12">
        <v>689016</v>
      </c>
      <c r="AN95" s="12">
        <v>657505</v>
      </c>
      <c r="AO95" s="12">
        <v>710629</v>
      </c>
      <c r="AP95" s="12">
        <v>615154</v>
      </c>
      <c r="AQ95" s="12">
        <v>796314</v>
      </c>
      <c r="AR95" s="12">
        <v>734029</v>
      </c>
      <c r="AS95" s="12">
        <v>786207</v>
      </c>
      <c r="AT95" s="12">
        <v>763458</v>
      </c>
      <c r="AU95" s="12">
        <v>728794</v>
      </c>
      <c r="AV95" s="12">
        <v>789579</v>
      </c>
      <c r="AW95" s="12">
        <v>670553</v>
      </c>
      <c r="AX95" s="12">
        <v>676389</v>
      </c>
      <c r="AY95" s="12">
        <v>683709</v>
      </c>
      <c r="AZ95" s="12">
        <v>690337</v>
      </c>
      <c r="BA95" s="12">
        <v>757529</v>
      </c>
      <c r="BB95" s="12">
        <v>654475</v>
      </c>
      <c r="BC95" s="12">
        <v>718977</v>
      </c>
      <c r="BD95" s="12">
        <v>657821</v>
      </c>
      <c r="BE95" s="12">
        <v>716497</v>
      </c>
      <c r="BF95" s="12">
        <v>702646</v>
      </c>
      <c r="BG95" s="12">
        <v>699328</v>
      </c>
      <c r="BH95" s="12">
        <v>725358</v>
      </c>
      <c r="BI95" s="12">
        <v>686358</v>
      </c>
      <c r="BJ95" s="12">
        <v>664715</v>
      </c>
      <c r="BK95" s="12">
        <v>658680</v>
      </c>
      <c r="BL95" s="12">
        <v>667770</v>
      </c>
      <c r="BM95" s="12">
        <v>752339</v>
      </c>
      <c r="BN95" s="12">
        <v>690448</v>
      </c>
      <c r="BO95" s="12">
        <v>696748</v>
      </c>
      <c r="BP95" s="12">
        <v>633340</v>
      </c>
      <c r="BQ95" s="12">
        <v>685984</v>
      </c>
      <c r="BR95" s="12">
        <v>705316</v>
      </c>
      <c r="BS95" s="12">
        <v>693116</v>
      </c>
      <c r="BT95" s="12">
        <v>687272</v>
      </c>
      <c r="BU95" s="12">
        <v>665296</v>
      </c>
      <c r="BV95" s="12">
        <v>727598</v>
      </c>
      <c r="BW95" s="12">
        <v>673959</v>
      </c>
      <c r="BX95" s="12">
        <v>623558</v>
      </c>
      <c r="BY95" s="12">
        <v>690383</v>
      </c>
      <c r="BZ95" s="12">
        <v>630494</v>
      </c>
      <c r="CA95" s="12">
        <v>597951</v>
      </c>
      <c r="CB95" s="12">
        <v>618392</v>
      </c>
      <c r="CC95" s="12">
        <v>616654</v>
      </c>
      <c r="CD95" s="12">
        <v>665307</v>
      </c>
      <c r="CE95" s="12">
        <v>615551</v>
      </c>
      <c r="CF95" s="12">
        <v>659584</v>
      </c>
      <c r="CG95" s="12">
        <v>601589</v>
      </c>
      <c r="CH95" s="12">
        <v>618815</v>
      </c>
      <c r="CI95" s="12">
        <v>713625</v>
      </c>
      <c r="CJ95" s="12">
        <v>555956</v>
      </c>
      <c r="CK95" s="12">
        <v>625657</v>
      </c>
      <c r="CL95" s="12">
        <v>587139</v>
      </c>
      <c r="CM95" s="12">
        <v>596029</v>
      </c>
      <c r="CN95" s="12">
        <v>568017</v>
      </c>
      <c r="CO95" s="12">
        <v>593226</v>
      </c>
      <c r="CP95" s="12">
        <v>595745</v>
      </c>
      <c r="CQ95" s="12">
        <v>564326</v>
      </c>
      <c r="CR95" s="12">
        <v>646103</v>
      </c>
      <c r="CS95" s="12">
        <v>591870</v>
      </c>
      <c r="CT95" s="12">
        <v>570198</v>
      </c>
      <c r="CU95" s="12">
        <v>609205</v>
      </c>
      <c r="CV95" s="12">
        <v>575697</v>
      </c>
      <c r="CW95" s="12">
        <v>550664</v>
      </c>
      <c r="CX95" s="12">
        <v>513693</v>
      </c>
      <c r="CY95" s="12">
        <v>572014</v>
      </c>
      <c r="CZ95" s="12">
        <v>556234</v>
      </c>
      <c r="DA95" s="12">
        <v>553780</v>
      </c>
      <c r="DB95" s="12">
        <v>584113</v>
      </c>
      <c r="DC95" s="12">
        <v>684257</v>
      </c>
      <c r="DD95" s="12">
        <v>585762</v>
      </c>
      <c r="DE95" s="12">
        <v>511782</v>
      </c>
      <c r="DF95" s="12">
        <v>570225</v>
      </c>
      <c r="DG95" s="12">
        <v>579731</v>
      </c>
      <c r="DH95" s="12">
        <v>451612</v>
      </c>
      <c r="DI95" s="12">
        <v>495854</v>
      </c>
      <c r="DJ95" s="12">
        <v>569552</v>
      </c>
      <c r="DK95" s="12">
        <v>563295</v>
      </c>
      <c r="DL95" s="12">
        <v>575292</v>
      </c>
      <c r="DM95" s="12">
        <v>601838</v>
      </c>
      <c r="DN95" s="12">
        <v>620465</v>
      </c>
      <c r="DO95" s="12">
        <v>598467</v>
      </c>
      <c r="DP95" s="12">
        <v>588478</v>
      </c>
      <c r="DQ95" s="12">
        <v>563254</v>
      </c>
      <c r="DR95" s="12">
        <v>558366</v>
      </c>
    </row>
    <row r="96" spans="1:122" s="9" customFormat="1">
      <c r="A96" s="9" t="s">
        <v>5</v>
      </c>
      <c r="B96" s="9" t="s">
        <v>44</v>
      </c>
      <c r="C96" s="17">
        <v>57.081999999999994</v>
      </c>
      <c r="D96" s="17">
        <v>55.318999999999996</v>
      </c>
      <c r="E96" s="17">
        <v>57.161333333333339</v>
      </c>
      <c r="F96" s="17">
        <v>58.935000000000002</v>
      </c>
      <c r="G96" s="17">
        <v>60.218333333333334</v>
      </c>
      <c r="H96" s="17">
        <v>61.663333333333334</v>
      </c>
      <c r="I96" s="17">
        <v>64.512999999999991</v>
      </c>
      <c r="J96" s="17">
        <v>63.005333333333333</v>
      </c>
      <c r="K96" s="17">
        <v>62.796333333333337</v>
      </c>
      <c r="L96" s="17">
        <v>61.220000000000006</v>
      </c>
      <c r="M96" s="17">
        <v>56.190333333333335</v>
      </c>
      <c r="N96" s="17">
        <v>53.509666666666668</v>
      </c>
      <c r="O96" s="13">
        <v>51.97</v>
      </c>
      <c r="P96" s="13">
        <v>53.693999999999996</v>
      </c>
      <c r="Q96" s="13">
        <v>51.983000000000004</v>
      </c>
      <c r="R96" s="13">
        <v>54.507333333333328</v>
      </c>
      <c r="S96" s="13">
        <v>55.861666666666672</v>
      </c>
      <c r="T96" s="13">
        <v>58.802999999999997</v>
      </c>
      <c r="U96" s="13">
        <v>64.310333333333332</v>
      </c>
      <c r="V96" s="13">
        <v>65.918333333333337</v>
      </c>
      <c r="W96" s="13">
        <v>68.705333333333328</v>
      </c>
      <c r="X96" s="13">
        <v>68.547333333333327</v>
      </c>
      <c r="Y96" s="13">
        <v>69.667333333333332</v>
      </c>
      <c r="Z96" s="13">
        <v>71.063000000000002</v>
      </c>
      <c r="AA96" s="13">
        <v>82.3</v>
      </c>
      <c r="AB96" s="13">
        <v>92.08</v>
      </c>
      <c r="AC96" s="13">
        <v>91.69</v>
      </c>
      <c r="AD96" s="13">
        <v>90.39</v>
      </c>
      <c r="AE96" s="13">
        <v>98.47</v>
      </c>
      <c r="AF96" s="13">
        <v>104.9</v>
      </c>
      <c r="AG96" s="13">
        <v>117.041</v>
      </c>
      <c r="AH96" s="13">
        <v>127.676</v>
      </c>
      <c r="AI96" s="13">
        <v>138.715</v>
      </c>
      <c r="AJ96" s="13">
        <v>133.26432019999999</v>
      </c>
      <c r="AK96" s="13">
        <v>125.0206293</v>
      </c>
      <c r="AL96" s="13">
        <v>101.47071510000001</v>
      </c>
      <c r="AM96" s="13">
        <v>71.13</v>
      </c>
      <c r="AN96" s="13">
        <v>49.39</v>
      </c>
      <c r="AO96" s="13">
        <v>47.58</v>
      </c>
      <c r="AP96" s="13">
        <v>46.24</v>
      </c>
      <c r="AQ96" s="13">
        <v>45.53</v>
      </c>
      <c r="AR96" s="13">
        <v>47.99</v>
      </c>
      <c r="AS96" s="13">
        <v>53.41</v>
      </c>
      <c r="AT96" s="13">
        <v>65.400000000000006</v>
      </c>
      <c r="AU96" s="13">
        <v>71.77</v>
      </c>
      <c r="AV96" s="13">
        <v>75.959999999999994</v>
      </c>
      <c r="AW96" s="13">
        <v>73.88</v>
      </c>
      <c r="AX96" s="13">
        <v>74.12</v>
      </c>
      <c r="AY96" s="13">
        <v>76.147730980000006</v>
      </c>
      <c r="AZ96" s="13">
        <v>76.025544049999993</v>
      </c>
      <c r="BA96" s="13">
        <v>84.408891280000006</v>
      </c>
      <c r="BB96" s="13">
        <v>81.424735859999998</v>
      </c>
      <c r="BC96" s="13">
        <v>83.132911070000006</v>
      </c>
      <c r="BD96" s="13">
        <v>87.439233470000005</v>
      </c>
      <c r="BE96" s="13">
        <v>89.559255656339104</v>
      </c>
      <c r="BF96" s="13">
        <v>87.026847089430518</v>
      </c>
      <c r="BG96" s="13">
        <v>85.61353613754919</v>
      </c>
      <c r="BH96" s="13">
        <v>87.126676758235249</v>
      </c>
      <c r="BI96" s="13">
        <v>88.44167475282579</v>
      </c>
      <c r="BJ96" s="13">
        <v>90.033731749697239</v>
      </c>
      <c r="BK96" s="13">
        <v>95.025985303941212</v>
      </c>
      <c r="BL96" s="13">
        <v>101.5487982389146</v>
      </c>
      <c r="BM96" s="13">
        <v>94.254548813766135</v>
      </c>
      <c r="BN96" s="13">
        <v>113.31151658053901</v>
      </c>
      <c r="BO96" s="13">
        <v>120.43458754097608</v>
      </c>
      <c r="BP96" s="13">
        <v>127.26901032620709</v>
      </c>
      <c r="BQ96" s="13">
        <v>133.33559091757243</v>
      </c>
      <c r="BR96" s="13">
        <v>129.66774467047395</v>
      </c>
      <c r="BS96" s="13">
        <v>133.38971831554892</v>
      </c>
      <c r="BT96" s="13">
        <v>132.20516767742612</v>
      </c>
      <c r="BU96" s="13">
        <v>132.60043950361944</v>
      </c>
      <c r="BV96" s="13">
        <v>129.70038675202517</v>
      </c>
      <c r="BW96" s="13">
        <v>131.98337435956788</v>
      </c>
      <c r="BX96" s="13">
        <v>131.42988783721802</v>
      </c>
      <c r="BY96" s="13">
        <v>133.19378374032965</v>
      </c>
      <c r="BZ96" s="13">
        <v>138.71427959663376</v>
      </c>
      <c r="CA96" s="13">
        <v>143.31578674506773</v>
      </c>
      <c r="CB96" s="13">
        <v>146.00830379435698</v>
      </c>
      <c r="CC96" s="13">
        <v>146.71292977909818</v>
      </c>
      <c r="CD96" s="13">
        <v>137.93074325086013</v>
      </c>
      <c r="CE96" s="13">
        <v>131.46453177722074</v>
      </c>
      <c r="CF96" s="13">
        <v>130.91171556617505</v>
      </c>
      <c r="CG96" s="13">
        <v>125.45795218995028</v>
      </c>
      <c r="CH96" s="13">
        <v>127.39688275171093</v>
      </c>
      <c r="CI96" s="13">
        <v>128.20485409003328</v>
      </c>
      <c r="CJ96" s="13">
        <v>125.96281900006475</v>
      </c>
      <c r="CK96" s="13">
        <v>125.75190719515645</v>
      </c>
      <c r="CL96" s="13">
        <v>129.36055346348991</v>
      </c>
      <c r="CM96" s="13">
        <v>128.52808672061258</v>
      </c>
      <c r="CN96" s="13">
        <v>127.4238200617235</v>
      </c>
      <c r="CO96" s="13">
        <v>125.18045062084265</v>
      </c>
      <c r="CP96" s="13">
        <v>130.47970524301505</v>
      </c>
      <c r="CQ96" s="13">
        <v>119.23287426062241</v>
      </c>
      <c r="CR96" s="13">
        <v>127.75614259645909</v>
      </c>
      <c r="CS96" s="13">
        <v>132.59284471252133</v>
      </c>
      <c r="CT96" s="13">
        <v>133.48133806151549</v>
      </c>
      <c r="CU96" s="13">
        <v>130.23930039970125</v>
      </c>
      <c r="CV96" s="13">
        <v>127.54286890499689</v>
      </c>
      <c r="CW96" s="13">
        <v>129.34756403178707</v>
      </c>
      <c r="CX96" s="13">
        <v>127.77749745470544</v>
      </c>
      <c r="CY96" s="13">
        <v>130.791066302573</v>
      </c>
      <c r="CZ96" s="13">
        <v>129.47172233268734</v>
      </c>
      <c r="DA96" s="13">
        <v>128.47434360215249</v>
      </c>
      <c r="DB96" s="13">
        <v>132.02860919034501</v>
      </c>
      <c r="DC96" s="13">
        <v>131.11974155909257</v>
      </c>
      <c r="DD96" s="13">
        <v>125.68344822641278</v>
      </c>
      <c r="DE96" s="13">
        <v>113.56579363869773</v>
      </c>
      <c r="DF96" s="13">
        <v>108.22202639309045</v>
      </c>
      <c r="DG96" s="13">
        <v>91.674528358842295</v>
      </c>
      <c r="DH96" s="13">
        <v>77.116577947441613</v>
      </c>
      <c r="DI96" s="13">
        <v>65.833957172877504</v>
      </c>
      <c r="DJ96" s="13">
        <v>65.317424923448598</v>
      </c>
      <c r="DK96" s="13">
        <v>61.696821381336598</v>
      </c>
      <c r="DL96" s="13">
        <v>66.534985711603852</v>
      </c>
      <c r="DM96" s="13">
        <v>75.161116446618522</v>
      </c>
      <c r="DN96" s="13">
        <v>79.631995358319969</v>
      </c>
      <c r="DO96" s="13">
        <v>75.241396768744139</v>
      </c>
      <c r="DP96" s="13">
        <v>61.404859654906389</v>
      </c>
      <c r="DQ96" s="13">
        <v>51.085465882177488</v>
      </c>
      <c r="DR96" s="13">
        <v>52.266687083382585</v>
      </c>
    </row>
    <row r="97" spans="1:124" s="9" customFormat="1">
      <c r="A97" s="9" t="s">
        <v>45</v>
      </c>
      <c r="B97" s="9" t="s">
        <v>44</v>
      </c>
      <c r="C97" s="12">
        <v>49642808</v>
      </c>
      <c r="D97" s="12">
        <v>38779285</v>
      </c>
      <c r="E97" s="12">
        <v>44598207</v>
      </c>
      <c r="F97" s="12">
        <v>48937494</v>
      </c>
      <c r="G97" s="12">
        <v>47498036</v>
      </c>
      <c r="H97" s="12">
        <v>51566913</v>
      </c>
      <c r="I97" s="12">
        <v>54828384</v>
      </c>
      <c r="J97" s="12">
        <v>59567169</v>
      </c>
      <c r="K97" s="12">
        <v>56005022</v>
      </c>
      <c r="L97" s="12">
        <v>51652665</v>
      </c>
      <c r="M97" s="12">
        <v>44716463</v>
      </c>
      <c r="N97" s="12">
        <v>40190624</v>
      </c>
      <c r="O97" s="12">
        <v>38803444</v>
      </c>
      <c r="P97" s="12">
        <v>35589300</v>
      </c>
      <c r="Q97" s="12">
        <v>43496959</v>
      </c>
      <c r="R97" s="12">
        <v>37470001</v>
      </c>
      <c r="S97" s="12">
        <v>40716823</v>
      </c>
      <c r="T97" s="12">
        <v>46516821</v>
      </c>
      <c r="U97" s="12">
        <v>52976874</v>
      </c>
      <c r="V97" s="12">
        <v>59091450</v>
      </c>
      <c r="W97" s="12">
        <v>60706236</v>
      </c>
      <c r="X97" s="12">
        <v>63666125</v>
      </c>
      <c r="Y97" s="12">
        <v>55330413</v>
      </c>
      <c r="Z97" s="12">
        <v>57693056</v>
      </c>
      <c r="AA97" s="12">
        <v>57503264</v>
      </c>
      <c r="AB97" s="12">
        <v>70130701</v>
      </c>
      <c r="AC97" s="12">
        <v>71301252</v>
      </c>
      <c r="AD97" s="12">
        <v>62107982</v>
      </c>
      <c r="AE97" s="12">
        <v>73770547</v>
      </c>
      <c r="AF97" s="12">
        <v>76702195</v>
      </c>
      <c r="AG97" s="12">
        <v>92115107</v>
      </c>
      <c r="AH97" s="12">
        <v>100365841</v>
      </c>
      <c r="AI97" s="12">
        <v>107624385</v>
      </c>
      <c r="AJ97" s="12">
        <v>109204380</v>
      </c>
      <c r="AK97" s="12">
        <v>88305321</v>
      </c>
      <c r="AL97" s="12">
        <v>70095970</v>
      </c>
      <c r="AM97" s="12">
        <v>49007540</v>
      </c>
      <c r="AN97" s="12">
        <v>32474509</v>
      </c>
      <c r="AO97" s="12">
        <v>33810608</v>
      </c>
      <c r="AP97" s="12">
        <v>28444928</v>
      </c>
      <c r="AQ97" s="12">
        <v>36252414</v>
      </c>
      <c r="AR97" s="12">
        <v>35228100</v>
      </c>
      <c r="AS97" s="12">
        <v>41995125</v>
      </c>
      <c r="AT97" s="12">
        <v>49933076</v>
      </c>
      <c r="AU97" s="12">
        <v>52306965</v>
      </c>
      <c r="AV97" s="12">
        <v>59978864</v>
      </c>
      <c r="AW97" s="12">
        <v>49542168</v>
      </c>
      <c r="AX97" s="12">
        <v>50136581</v>
      </c>
      <c r="AY97" s="12">
        <v>52062889</v>
      </c>
      <c r="AZ97" s="12">
        <v>52483246</v>
      </c>
      <c r="BA97" s="12">
        <v>63942183</v>
      </c>
      <c r="BB97" s="12">
        <v>53290454</v>
      </c>
      <c r="BC97" s="12">
        <v>59770651</v>
      </c>
      <c r="BD97" s="12">
        <v>57519364</v>
      </c>
      <c r="BE97" s="12">
        <v>64168938</v>
      </c>
      <c r="BF97" s="12">
        <v>61149066</v>
      </c>
      <c r="BG97" s="12">
        <v>59871943</v>
      </c>
      <c r="BH97" s="12">
        <v>63198032</v>
      </c>
      <c r="BI97" s="12">
        <v>60702651</v>
      </c>
      <c r="BJ97" s="12">
        <v>59846772</v>
      </c>
      <c r="BK97" s="12">
        <v>62591716</v>
      </c>
      <c r="BL97" s="12">
        <v>67811241</v>
      </c>
      <c r="BM97" s="12">
        <v>70911373</v>
      </c>
      <c r="BN97" s="12">
        <v>78235710</v>
      </c>
      <c r="BO97" s="12">
        <v>83912558</v>
      </c>
      <c r="BP97" s="12">
        <v>80604555</v>
      </c>
      <c r="BQ97" s="12">
        <v>91466082</v>
      </c>
      <c r="BR97" s="12">
        <v>91456735</v>
      </c>
      <c r="BS97" s="12">
        <v>92454548</v>
      </c>
      <c r="BT97" s="12">
        <v>90860910</v>
      </c>
      <c r="BU97" s="12">
        <v>88218542</v>
      </c>
      <c r="BV97" s="12">
        <v>94369742</v>
      </c>
      <c r="BW97" s="12">
        <v>88951383</v>
      </c>
      <c r="BX97" s="12">
        <v>81954158</v>
      </c>
      <c r="BY97" s="12">
        <v>91954724</v>
      </c>
      <c r="BZ97" s="12">
        <v>87458521</v>
      </c>
      <c r="CA97" s="12">
        <v>85695818</v>
      </c>
      <c r="CB97" s="12">
        <v>90290367</v>
      </c>
      <c r="CC97" s="12">
        <v>90471115</v>
      </c>
      <c r="CD97" s="12">
        <v>91766289</v>
      </c>
      <c r="CE97" s="12">
        <v>80923124</v>
      </c>
      <c r="CF97" s="12">
        <v>86347273</v>
      </c>
      <c r="CG97" s="12">
        <v>75474124</v>
      </c>
      <c r="CH97" s="12">
        <v>78835102</v>
      </c>
      <c r="CI97" s="12">
        <v>91490189</v>
      </c>
      <c r="CJ97" s="12">
        <v>70029785</v>
      </c>
      <c r="CK97" s="12">
        <v>78677561</v>
      </c>
      <c r="CL97" s="12">
        <v>75952626</v>
      </c>
      <c r="CM97" s="12">
        <v>76606467</v>
      </c>
      <c r="CN97" s="12">
        <v>72378896</v>
      </c>
      <c r="CO97" s="12">
        <v>74260298</v>
      </c>
      <c r="CP97" s="12">
        <v>77732632</v>
      </c>
      <c r="CQ97" s="12">
        <v>67286211</v>
      </c>
      <c r="CR97" s="12">
        <v>82543627</v>
      </c>
      <c r="CS97" s="12">
        <v>78477727</v>
      </c>
      <c r="CT97" s="12">
        <v>76110792</v>
      </c>
      <c r="CU97" s="12">
        <v>79342433</v>
      </c>
      <c r="CV97" s="12">
        <v>73426047</v>
      </c>
      <c r="CW97" s="12">
        <v>71227047</v>
      </c>
      <c r="CX97" s="12">
        <v>65638406</v>
      </c>
      <c r="CY97" s="12">
        <v>74814321</v>
      </c>
      <c r="CZ97" s="12">
        <v>72016574</v>
      </c>
      <c r="DA97" s="12">
        <v>71146522</v>
      </c>
      <c r="DB97" s="12">
        <v>77119627</v>
      </c>
      <c r="DC97" s="12">
        <v>89719601</v>
      </c>
      <c r="DD97" s="12">
        <v>73620588</v>
      </c>
      <c r="DE97" s="12">
        <v>58120929</v>
      </c>
      <c r="DF97" s="12">
        <v>61710905</v>
      </c>
      <c r="DG97" s="12">
        <v>53146566</v>
      </c>
      <c r="DH97" s="12">
        <v>34826772</v>
      </c>
      <c r="DI97" s="12">
        <v>32644031</v>
      </c>
      <c r="DJ97" s="12">
        <v>37201670</v>
      </c>
      <c r="DK97" s="12">
        <v>34753511</v>
      </c>
      <c r="DL97" s="12">
        <v>38277045</v>
      </c>
      <c r="DM97" s="12">
        <v>45234816</v>
      </c>
      <c r="DN97" s="12">
        <v>49408866</v>
      </c>
      <c r="DO97" s="12">
        <v>45029493</v>
      </c>
      <c r="DP97" s="12">
        <v>36135409</v>
      </c>
      <c r="DQ97" s="12">
        <v>28774093</v>
      </c>
      <c r="DR97" s="12">
        <v>29183941</v>
      </c>
    </row>
    <row r="98" spans="1:124" s="9" customFormat="1">
      <c r="A98" s="9" t="s">
        <v>46</v>
      </c>
      <c r="B98" s="9" t="s">
        <v>44</v>
      </c>
      <c r="C98" s="14">
        <v>0.11183333333333334</v>
      </c>
      <c r="D98" s="14">
        <v>0.11003333333333333</v>
      </c>
      <c r="E98" s="14">
        <v>0.11309999999999999</v>
      </c>
      <c r="F98" s="14">
        <v>0.11649999999999999</v>
      </c>
      <c r="G98" s="14">
        <v>0.11866666666666666</v>
      </c>
      <c r="H98" s="14">
        <v>0.12156666666666667</v>
      </c>
      <c r="I98" s="14">
        <v>0.12909999999999999</v>
      </c>
      <c r="J98" s="14">
        <v>0.12496666666666667</v>
      </c>
      <c r="K98" s="14">
        <v>0.1255</v>
      </c>
      <c r="L98" s="14">
        <v>0.12176666666666665</v>
      </c>
      <c r="M98" s="14">
        <v>0.11316666666666668</v>
      </c>
      <c r="N98" s="14">
        <v>0.10623333333333333</v>
      </c>
      <c r="O98" s="15">
        <v>0.10413333333333334</v>
      </c>
      <c r="P98" s="15">
        <v>0.1065</v>
      </c>
      <c r="Q98" s="15">
        <v>0.10536666666666666</v>
      </c>
      <c r="R98" s="15">
        <v>0.11016666666666665</v>
      </c>
      <c r="S98" s="15">
        <v>0.11433333333333333</v>
      </c>
      <c r="T98" s="15">
        <v>0.12043333333333332</v>
      </c>
      <c r="U98" s="15">
        <v>0.12996666666666667</v>
      </c>
      <c r="V98" s="15">
        <v>0.12819999999999998</v>
      </c>
      <c r="W98" s="15">
        <v>0.13446666666666665</v>
      </c>
      <c r="X98" s="15">
        <v>0.13603333333333334</v>
      </c>
      <c r="Y98" s="15">
        <v>0.1368</v>
      </c>
      <c r="Z98" s="15">
        <v>0.13996666666666666</v>
      </c>
      <c r="AA98" s="15">
        <v>0.16413333333333333</v>
      </c>
      <c r="AB98" s="15">
        <v>0.1885</v>
      </c>
      <c r="AC98" s="15">
        <v>0.17400000000000002</v>
      </c>
      <c r="AD98" s="15">
        <v>0.1661</v>
      </c>
      <c r="AE98" s="15">
        <v>0.17843333333333333</v>
      </c>
      <c r="AF98" s="15">
        <v>0.19186666666666666</v>
      </c>
      <c r="AG98" s="15">
        <v>0.20449999999999999</v>
      </c>
      <c r="AH98" s="15">
        <v>0.2336</v>
      </c>
      <c r="AI98" s="15">
        <v>0.25159999999999999</v>
      </c>
      <c r="AJ98" s="15">
        <v>0.25009999999999999</v>
      </c>
      <c r="AK98" s="15">
        <v>0.2278</v>
      </c>
      <c r="AL98" s="15">
        <v>0.18970000000000001</v>
      </c>
      <c r="AM98" s="15">
        <v>0.12916666666666668</v>
      </c>
      <c r="AN98" s="15">
        <v>9.0366666666666665E-2</v>
      </c>
      <c r="AO98" s="15">
        <v>9.8066666666666677E-2</v>
      </c>
      <c r="AP98" s="15">
        <v>9.4E-2</v>
      </c>
      <c r="AQ98" s="15">
        <v>9.2999999999999999E-2</v>
      </c>
      <c r="AR98" s="15">
        <v>9.8000000000000004E-2</v>
      </c>
      <c r="AS98" s="15">
        <v>0.11799999999999999</v>
      </c>
      <c r="AT98" s="15">
        <v>0.13200000000000001</v>
      </c>
      <c r="AU98" s="15">
        <v>0.13800000000000001</v>
      </c>
      <c r="AV98" s="15">
        <v>0.14699999999999999</v>
      </c>
      <c r="AW98" s="15">
        <v>0.14599999999999999</v>
      </c>
      <c r="AX98" s="15">
        <v>0.14899999999999999</v>
      </c>
      <c r="AY98" s="15">
        <v>0.1583</v>
      </c>
      <c r="AZ98" s="15">
        <v>0.15870000000000001</v>
      </c>
      <c r="BA98" s="15">
        <v>0.16259999999999999</v>
      </c>
      <c r="BB98" s="15">
        <v>0.157</v>
      </c>
      <c r="BC98" s="15">
        <v>0.158</v>
      </c>
      <c r="BD98" s="15">
        <v>0.16600000000000001</v>
      </c>
      <c r="BE98" s="15">
        <v>0.17266666666666666</v>
      </c>
      <c r="BF98" s="15">
        <v>0.16306666666666667</v>
      </c>
      <c r="BG98" s="15">
        <v>0.14833333333333334</v>
      </c>
      <c r="BH98" s="15">
        <v>0.16350000000000001</v>
      </c>
      <c r="BI98" s="15">
        <v>0.15709999999999999</v>
      </c>
      <c r="BJ98" s="15">
        <v>0.16139999999999999</v>
      </c>
      <c r="BK98" s="15">
        <v>0.17199999999999999</v>
      </c>
      <c r="BL98" s="15">
        <v>0.18099999999999999</v>
      </c>
      <c r="BM98" s="15">
        <v>0.183</v>
      </c>
      <c r="BN98" s="15">
        <v>0.20100000000000001</v>
      </c>
      <c r="BO98" s="15">
        <v>0.218</v>
      </c>
      <c r="BP98" s="15">
        <v>0.23499999999999999</v>
      </c>
      <c r="BQ98" s="15">
        <v>0.23799999999999999</v>
      </c>
      <c r="BR98" s="15">
        <v>0.23</v>
      </c>
      <c r="BS98" s="15">
        <v>0.23403333333333334</v>
      </c>
      <c r="BT98" s="15">
        <v>0.23670000000000002</v>
      </c>
      <c r="BU98" s="15">
        <v>0.23403333333333332</v>
      </c>
      <c r="BV98" s="15">
        <v>0.22103333333333333</v>
      </c>
      <c r="BW98" s="15">
        <v>0.23506666666666665</v>
      </c>
      <c r="BX98" s="15">
        <v>0.23229999999999998</v>
      </c>
      <c r="BY98" s="15">
        <v>0.23729999999999998</v>
      </c>
      <c r="BZ98" s="15">
        <v>0.24460000000000001</v>
      </c>
      <c r="CA98" s="15">
        <v>0.25259999999999999</v>
      </c>
      <c r="CB98" s="15">
        <v>0.26756666666666667</v>
      </c>
      <c r="CC98" s="15">
        <v>0.26006666666666667</v>
      </c>
      <c r="CD98" s="15">
        <v>0.23950000000000002</v>
      </c>
      <c r="CE98" s="15">
        <v>0.22509999999999999</v>
      </c>
      <c r="CF98" s="15">
        <v>0.2233333333333333</v>
      </c>
      <c r="CG98" s="15">
        <v>0.22946666666666668</v>
      </c>
      <c r="CH98" s="15">
        <v>0.2316</v>
      </c>
      <c r="CI98" s="15">
        <v>0.23146666666666663</v>
      </c>
      <c r="CJ98" s="15">
        <v>0.22670000000000001</v>
      </c>
      <c r="CK98" s="15">
        <v>0.22213333333333332</v>
      </c>
      <c r="CL98" s="15">
        <v>0.23046666666666668</v>
      </c>
      <c r="CM98" s="15">
        <v>0.22770000000000001</v>
      </c>
      <c r="CN98" s="15">
        <v>0.23546666666666663</v>
      </c>
      <c r="CO98" s="15">
        <v>0.21939999999999996</v>
      </c>
      <c r="CP98" s="15">
        <v>0.22393333333333332</v>
      </c>
      <c r="CQ98" s="15">
        <v>0.21506666666666666</v>
      </c>
      <c r="CR98" s="15">
        <v>0.22146666666666667</v>
      </c>
      <c r="CS98" s="15">
        <v>0.22329999999999997</v>
      </c>
      <c r="CT98" s="15">
        <v>0.22646666666666668</v>
      </c>
      <c r="CU98" s="15">
        <v>0.22119999999999998</v>
      </c>
      <c r="CV98" s="15">
        <v>0.21859999999999999</v>
      </c>
      <c r="CW98" s="15">
        <v>0.22619999999999998</v>
      </c>
      <c r="CX98" s="15">
        <v>0.22513333333333332</v>
      </c>
      <c r="CY98" s="15">
        <v>0.22209999999999999</v>
      </c>
      <c r="CZ98" s="15">
        <v>0.21386666666666665</v>
      </c>
      <c r="DA98" s="15">
        <v>0.2109</v>
      </c>
      <c r="DB98" s="15">
        <v>0.2195</v>
      </c>
      <c r="DC98" s="15">
        <v>0.20966666666666667</v>
      </c>
      <c r="DD98" s="15">
        <v>0.20653333333333335</v>
      </c>
      <c r="DE98" s="15">
        <v>0.1993</v>
      </c>
      <c r="DF98" s="15">
        <v>0.19159999999999999</v>
      </c>
      <c r="DG98" s="15">
        <v>0.15782826387223006</v>
      </c>
      <c r="DH98" s="15">
        <v>0.1323289426118904</v>
      </c>
      <c r="DI98" s="15">
        <v>0.11234895231706975</v>
      </c>
      <c r="DJ98" s="15">
        <v>0.10978767071329225</v>
      </c>
      <c r="DK98" s="15">
        <v>0.10513047403075616</v>
      </c>
      <c r="DL98" s="15">
        <v>0.11346695238081889</v>
      </c>
      <c r="DM98" s="15">
        <v>0.12794277204524873</v>
      </c>
      <c r="DN98" s="15">
        <v>0.13492382757991184</v>
      </c>
      <c r="DO98" s="15">
        <v>0.12865144253411628</v>
      </c>
      <c r="DP98" s="15">
        <v>0.10473316048559775</v>
      </c>
      <c r="DQ98" s="15">
        <v>8.7465637077456276E-2</v>
      </c>
      <c r="DR98" s="15">
        <v>8.9496710260425216E-2</v>
      </c>
    </row>
    <row r="99" spans="1:124" s="9" customFormat="1">
      <c r="A99" s="9" t="s">
        <v>439</v>
      </c>
      <c r="B99" s="9" t="s">
        <v>44</v>
      </c>
      <c r="C99" s="13">
        <v>55.123333333333335</v>
      </c>
      <c r="D99" s="13">
        <v>56.68</v>
      </c>
      <c r="E99" s="13">
        <v>58.449999999999996</v>
      </c>
      <c r="F99" s="13">
        <v>59.53</v>
      </c>
      <c r="G99" s="13">
        <v>61.25</v>
      </c>
      <c r="H99" s="13">
        <v>64</v>
      </c>
      <c r="I99" s="13">
        <v>62.52</v>
      </c>
      <c r="J99" s="13">
        <v>62.256666666666668</v>
      </c>
      <c r="K99" s="13">
        <v>60.65</v>
      </c>
      <c r="L99" s="13">
        <v>56.07</v>
      </c>
      <c r="M99" s="13">
        <v>53.02</v>
      </c>
      <c r="N99" s="13">
        <v>51.56</v>
      </c>
      <c r="O99" s="13">
        <v>53.033333333333331</v>
      </c>
      <c r="P99" s="13">
        <v>51.390000000000008</v>
      </c>
      <c r="Q99" s="13">
        <v>53.640000000000008</v>
      </c>
      <c r="R99" s="13">
        <v>55.176666666666669</v>
      </c>
      <c r="S99" s="13">
        <v>58.076666666666661</v>
      </c>
      <c r="T99" s="13">
        <v>63.393333333333338</v>
      </c>
      <c r="U99" s="13">
        <v>65.319999999999993</v>
      </c>
      <c r="V99" s="13">
        <v>46.050000000000004</v>
      </c>
      <c r="W99" s="13">
        <v>68.856666666666669</v>
      </c>
      <c r="X99" s="13">
        <v>69.36666666666666</v>
      </c>
      <c r="Y99" s="13">
        <v>69.396666666666661</v>
      </c>
      <c r="Z99" s="13">
        <v>86.570000000000007</v>
      </c>
      <c r="AA99" s="13">
        <v>94.803333333333327</v>
      </c>
      <c r="AB99" s="13">
        <v>87.933333333333337</v>
      </c>
      <c r="AC99" s="13">
        <v>84.07</v>
      </c>
      <c r="AD99" s="13">
        <v>92.183333333333323</v>
      </c>
      <c r="AE99" s="13">
        <v>96.089999999999989</v>
      </c>
      <c r="AF99" s="13">
        <v>102.32666666666667</v>
      </c>
      <c r="AG99" s="13">
        <v>115.61666666666667</v>
      </c>
      <c r="AH99" s="13">
        <v>126.07666666666665</v>
      </c>
      <c r="AI99" s="13">
        <v>125.29333333333334</v>
      </c>
      <c r="AJ99" s="13">
        <v>114</v>
      </c>
      <c r="AK99" s="13">
        <v>93.243300000000005</v>
      </c>
      <c r="AL99" s="13">
        <v>65.83</v>
      </c>
      <c r="AM99" s="13">
        <v>44.32</v>
      </c>
      <c r="AN99" s="13">
        <v>48.256666666666668</v>
      </c>
      <c r="AO99" s="13">
        <v>45.863333333333337</v>
      </c>
      <c r="AP99" s="9">
        <v>45.48</v>
      </c>
      <c r="AQ99" s="9">
        <v>47.22</v>
      </c>
      <c r="AR99" s="9">
        <v>56.24</v>
      </c>
      <c r="AS99" s="9">
        <v>65.69</v>
      </c>
      <c r="AT99" s="9">
        <v>69.75</v>
      </c>
      <c r="AU99" s="9">
        <v>74.260000000000005</v>
      </c>
      <c r="AV99" s="9">
        <v>74.36</v>
      </c>
      <c r="AW99" s="9">
        <v>74.27</v>
      </c>
      <c r="AX99" s="9">
        <v>79.41</v>
      </c>
      <c r="AY99" s="13">
        <v>79.8</v>
      </c>
      <c r="AZ99" s="9">
        <v>82.52</v>
      </c>
      <c r="BA99" s="13">
        <v>79.63</v>
      </c>
      <c r="BB99" s="13">
        <v>79.900000000000006</v>
      </c>
      <c r="BC99" s="13">
        <v>84.927000000000007</v>
      </c>
      <c r="BD99" s="13">
        <v>83.783000000000001</v>
      </c>
      <c r="BE99" s="13">
        <v>82.753333333333345</v>
      </c>
      <c r="BF99" s="13">
        <v>77.94</v>
      </c>
      <c r="BG99" s="13">
        <v>83.48</v>
      </c>
      <c r="BH99" s="13">
        <v>81.45</v>
      </c>
      <c r="BI99" s="13">
        <v>83.25</v>
      </c>
      <c r="BJ99" s="13">
        <v>87.807000000000002</v>
      </c>
      <c r="BK99" s="9">
        <v>92.14</v>
      </c>
      <c r="BL99" s="9">
        <v>96.22</v>
      </c>
      <c r="BM99" s="9">
        <v>101.41</v>
      </c>
      <c r="BN99" s="9">
        <v>110.1</v>
      </c>
      <c r="BO99" s="9">
        <v>119.47</v>
      </c>
      <c r="BP99" s="9">
        <v>121.68</v>
      </c>
      <c r="BQ99" s="9">
        <v>119.5</v>
      </c>
      <c r="BR99" s="9">
        <v>120.84</v>
      </c>
      <c r="BS99" s="13">
        <v>122.91666666666667</v>
      </c>
      <c r="BT99" s="13">
        <v>121.71666666666665</v>
      </c>
      <c r="BU99" s="13">
        <v>117.03000000000002</v>
      </c>
      <c r="BV99" s="13">
        <v>123.14666666666666</v>
      </c>
      <c r="BW99" s="13">
        <v>122.02</v>
      </c>
      <c r="BX99" s="13">
        <v>124.3</v>
      </c>
      <c r="BY99" s="13">
        <v>127.51333333333332</v>
      </c>
      <c r="BZ99" s="13">
        <v>131.28333333333333</v>
      </c>
      <c r="CA99" s="13">
        <v>137.54</v>
      </c>
      <c r="CB99" s="13">
        <v>131.33666666666667</v>
      </c>
      <c r="CC99" s="13">
        <v>124.46999999999998</v>
      </c>
      <c r="CD99" s="13">
        <v>118.44</v>
      </c>
      <c r="CE99" s="13">
        <v>117.67333333333333</v>
      </c>
      <c r="CF99" s="13">
        <v>119.81333333333333</v>
      </c>
      <c r="CG99" s="13">
        <v>119.98666666666666</v>
      </c>
      <c r="CH99" s="13">
        <v>120.49666666666667</v>
      </c>
      <c r="CI99" s="13">
        <v>116.46</v>
      </c>
      <c r="CJ99" s="13">
        <v>115.73333333333333</v>
      </c>
      <c r="CK99" s="13">
        <v>119.64333333333333</v>
      </c>
      <c r="CL99" s="13">
        <v>117.27666666666669</v>
      </c>
      <c r="CM99" s="13">
        <v>116.84333333333332</v>
      </c>
      <c r="CN99" s="13">
        <v>111.31</v>
      </c>
      <c r="CO99" s="13">
        <v>114.37</v>
      </c>
      <c r="CP99" s="13">
        <v>110.67666666666666</v>
      </c>
      <c r="CQ99" s="13">
        <v>115.58666666666666</v>
      </c>
      <c r="CR99" s="13">
        <v>116.46333333333332</v>
      </c>
      <c r="CS99" s="13">
        <v>116.31666666666666</v>
      </c>
      <c r="CT99" s="13">
        <v>114.76333333333332</v>
      </c>
      <c r="CU99" s="13">
        <v>114.05666666666667</v>
      </c>
      <c r="CV99" s="13">
        <v>115.47333333333331</v>
      </c>
      <c r="CW99" s="13">
        <v>113.02</v>
      </c>
      <c r="CX99" s="13">
        <v>114.46666666666665</v>
      </c>
      <c r="CY99" s="13">
        <v>112.62</v>
      </c>
      <c r="CZ99" s="13">
        <v>109.60333333333334</v>
      </c>
      <c r="DA99" s="13">
        <v>113.05</v>
      </c>
      <c r="DB99" s="13">
        <v>110.10666666666667</v>
      </c>
      <c r="DC99" s="13">
        <v>107.15333333333335</v>
      </c>
      <c r="DD99" s="13">
        <v>102.23666666666666</v>
      </c>
      <c r="DE99" s="13">
        <v>96.86</v>
      </c>
      <c r="DF99" s="13">
        <v>85.956666666666663</v>
      </c>
      <c r="DG99" s="13">
        <v>74.776666666666671</v>
      </c>
      <c r="DH99" s="13">
        <v>64.61666666666666</v>
      </c>
      <c r="DI99" s="13">
        <v>64.976666666666659</v>
      </c>
      <c r="DJ99" s="13">
        <v>58.333333333333336</v>
      </c>
      <c r="DK99" s="13">
        <v>60.199999999999996</v>
      </c>
      <c r="DL99" s="13">
        <v>62.31</v>
      </c>
      <c r="DM99" s="13">
        <v>64.623333333333335</v>
      </c>
      <c r="DN99" s="13">
        <v>63.76</v>
      </c>
      <c r="DO99" s="13">
        <v>56.54</v>
      </c>
      <c r="DP99" s="13">
        <v>49.640000000000008</v>
      </c>
      <c r="DQ99" s="13">
        <v>47.266666666666673</v>
      </c>
      <c r="DR99" s="13">
        <v>46.006666666666668</v>
      </c>
      <c r="DS99" s="211"/>
      <c r="DT99" s="9" t="s">
        <v>440</v>
      </c>
    </row>
    <row r="100" spans="1:124" s="211" customFormat="1">
      <c r="A100" s="211" t="s">
        <v>441</v>
      </c>
      <c r="C100" s="211">
        <v>12146.853065181087</v>
      </c>
      <c r="D100" s="211">
        <v>12332.230638056848</v>
      </c>
      <c r="E100" s="211">
        <v>12267.383545986797</v>
      </c>
      <c r="F100" s="211">
        <v>12255.87511665394</v>
      </c>
      <c r="G100" s="211">
        <v>12217.76313968614</v>
      </c>
      <c r="H100" s="211">
        <v>12223.039083193686</v>
      </c>
      <c r="I100" s="211">
        <v>12407.11174491963</v>
      </c>
      <c r="J100" s="211">
        <v>12297.265839928894</v>
      </c>
      <c r="K100" s="211">
        <v>12390.850845856179</v>
      </c>
      <c r="L100" s="211">
        <v>12331.808777088094</v>
      </c>
      <c r="M100" s="211">
        <v>12486.726661169479</v>
      </c>
      <c r="N100" s="211">
        <v>12308.92860480038</v>
      </c>
      <c r="O100" s="211">
        <v>12423.064588544676</v>
      </c>
      <c r="P100" s="211">
        <v>12297.463403732261</v>
      </c>
      <c r="Q100" s="211">
        <v>12567.057178949526</v>
      </c>
      <c r="R100" s="211">
        <v>12531.035579310426</v>
      </c>
      <c r="S100" s="211">
        <v>12689.679863949636</v>
      </c>
      <c r="T100" s="211">
        <v>12698.104971968549</v>
      </c>
      <c r="U100" s="211">
        <v>12529.764527214395</v>
      </c>
      <c r="V100" s="211">
        <v>12057.950494298499</v>
      </c>
      <c r="W100" s="211">
        <v>12134.332123658523</v>
      </c>
      <c r="X100" s="211">
        <v>12304.004045866119</v>
      </c>
      <c r="Y100" s="211">
        <v>12174.428952832988</v>
      </c>
      <c r="Z100" s="211">
        <v>12211.605664457358</v>
      </c>
      <c r="AA100" s="211">
        <v>12364.844066423651</v>
      </c>
      <c r="AB100" s="211">
        <v>12692.224152910512</v>
      </c>
      <c r="AC100" s="211">
        <v>11765.732359035883</v>
      </c>
      <c r="AD100" s="211">
        <v>11393.074455138843</v>
      </c>
      <c r="AE100" s="211">
        <v>11234.758471277208</v>
      </c>
      <c r="AF100" s="211">
        <v>11340.069907848743</v>
      </c>
      <c r="AG100" s="211">
        <v>10832.955972693329</v>
      </c>
      <c r="AH100" s="211">
        <v>11343.71377549422</v>
      </c>
      <c r="AI100" s="211">
        <v>11245.503370219514</v>
      </c>
      <c r="AJ100" s="211">
        <v>11635.672606687713</v>
      </c>
      <c r="AK100" s="211">
        <v>11297.015603808035</v>
      </c>
      <c r="AL100" s="211">
        <v>11590.930435849466</v>
      </c>
      <c r="AM100" s="211">
        <v>11258.72815033507</v>
      </c>
      <c r="AN100" s="211">
        <v>11343.861780387393</v>
      </c>
      <c r="AO100" s="211">
        <v>12778.758582037271</v>
      </c>
      <c r="AP100" s="211">
        <v>12603.806228373702</v>
      </c>
      <c r="AQ100" s="211">
        <v>12664.177465407423</v>
      </c>
      <c r="AR100" s="211">
        <v>12660.971035632425</v>
      </c>
      <c r="AS100" s="211">
        <v>13697.809398988953</v>
      </c>
      <c r="AT100" s="211">
        <v>12513.761467889908</v>
      </c>
      <c r="AU100" s="211">
        <v>11921.415633272956</v>
      </c>
      <c r="AV100" s="211">
        <v>11998.420221169035</v>
      </c>
      <c r="AW100" s="211">
        <v>12252.301028695183</v>
      </c>
      <c r="AX100" s="211">
        <v>12463.572584997302</v>
      </c>
      <c r="AY100" s="211">
        <v>12888.893567397008</v>
      </c>
      <c r="AZ100" s="211">
        <v>12942.228987574081</v>
      </c>
      <c r="BA100" s="211">
        <v>11943.291574057977</v>
      </c>
      <c r="BB100" s="211">
        <v>11954.598190820585</v>
      </c>
      <c r="BC100" s="211">
        <v>11783.540205576972</v>
      </c>
      <c r="BD100" s="211">
        <v>11770.460000122413</v>
      </c>
      <c r="BE100" s="211">
        <v>11953.352286013107</v>
      </c>
      <c r="BF100" s="211">
        <v>11617.257974362738</v>
      </c>
      <c r="BG100" s="211">
        <v>10742.070800452671</v>
      </c>
      <c r="BH100" s="211">
        <v>11634.783257174844</v>
      </c>
      <c r="BI100" s="211">
        <v>11013.133827713717</v>
      </c>
      <c r="BJ100" s="211">
        <v>11114.500982609386</v>
      </c>
      <c r="BK100" s="211">
        <v>11222.193556732012</v>
      </c>
      <c r="BL100" s="211">
        <v>11050.844711719697</v>
      </c>
      <c r="BM100" s="211">
        <v>12037.615311721576</v>
      </c>
      <c r="BN100" s="211">
        <v>10997.999476198274</v>
      </c>
      <c r="BO100" s="211">
        <v>11222.689657488452</v>
      </c>
      <c r="BP100" s="211">
        <v>11448.191482478875</v>
      </c>
      <c r="BQ100" s="211">
        <v>11066.812618036924</v>
      </c>
      <c r="BR100" s="211">
        <v>10997.337877850112</v>
      </c>
      <c r="BS100" s="211">
        <v>10877.949852432714</v>
      </c>
      <c r="BT100" s="211">
        <v>11100.473799789152</v>
      </c>
      <c r="BU100" s="211">
        <v>10942.698773084083</v>
      </c>
      <c r="BV100" s="211">
        <v>10565.941251098611</v>
      </c>
      <c r="BW100" s="211">
        <v>11042.400911518149</v>
      </c>
      <c r="BX100" s="211">
        <v>10958.390239089516</v>
      </c>
      <c r="BY100" s="211">
        <v>11046.010997542659</v>
      </c>
      <c r="BZ100" s="211">
        <v>10932.688432725725</v>
      </c>
      <c r="CA100" s="211">
        <v>10927.756359359333</v>
      </c>
      <c r="CB100" s="211">
        <v>11361.773886982503</v>
      </c>
      <c r="CC100" s="211">
        <v>10990.260611393296</v>
      </c>
      <c r="CD100" s="211">
        <v>10765.547730714054</v>
      </c>
      <c r="CE100" s="211">
        <v>10615.943183557767</v>
      </c>
      <c r="CF100" s="211">
        <v>10577.102749575733</v>
      </c>
      <c r="CG100" s="211">
        <v>11340.001239453495</v>
      </c>
      <c r="CH100" s="211">
        <v>11271.233400573263</v>
      </c>
      <c r="CI100" s="211">
        <v>11193.751933335714</v>
      </c>
      <c r="CJ100" s="211">
        <v>11158.372058974621</v>
      </c>
      <c r="CK100" s="211">
        <v>10951.934625765365</v>
      </c>
      <c r="CL100" s="211">
        <v>11045.819572321305</v>
      </c>
      <c r="CM100" s="211">
        <v>10983.902709675936</v>
      </c>
      <c r="CN100" s="211">
        <v>11456.989224041215</v>
      </c>
      <c r="CO100" s="211">
        <v>10866.552990132086</v>
      </c>
      <c r="CP100" s="211">
        <v>10640.633070720329</v>
      </c>
      <c r="CQ100" s="211">
        <v>11183.269225052167</v>
      </c>
      <c r="CR100" s="211">
        <v>10747.767625314873</v>
      </c>
      <c r="CS100" s="211">
        <v>10441.438246548603</v>
      </c>
      <c r="CT100" s="211">
        <v>10519.023510883975</v>
      </c>
      <c r="CU100" s="211">
        <v>10530.154844129875</v>
      </c>
      <c r="CV100" s="211">
        <v>10626.387908911942</v>
      </c>
      <c r="CW100" s="211">
        <v>10842.415243748628</v>
      </c>
      <c r="CX100" s="211">
        <v>10923.884834741417</v>
      </c>
      <c r="CY100" s="211">
        <v>10528.394934975084</v>
      </c>
      <c r="CZ100" s="211">
        <v>10241.412637781592</v>
      </c>
      <c r="DA100" s="211">
        <v>10177.751941268471</v>
      </c>
      <c r="DB100" s="211">
        <v>10307.614450728608</v>
      </c>
      <c r="DC100" s="211">
        <v>9914.0931630610648</v>
      </c>
      <c r="DD100" s="211">
        <v>10188.347668182167</v>
      </c>
      <c r="DE100" s="211">
        <v>10880.565004733493</v>
      </c>
      <c r="DF100" s="211">
        <v>10976.693373723818</v>
      </c>
      <c r="DS100" s="9"/>
      <c r="DT100" s="211">
        <v>10721.965449948015</v>
      </c>
    </row>
    <row r="101" spans="1:124" s="9" customFormat="1">
      <c r="A101" s="9" t="s">
        <v>56</v>
      </c>
      <c r="DG101" s="272"/>
      <c r="DH101" s="272"/>
      <c r="DI101" s="272"/>
      <c r="DJ101" s="272"/>
      <c r="DK101" s="272"/>
      <c r="DL101" s="272"/>
      <c r="DM101" s="272"/>
      <c r="DN101" s="272"/>
      <c r="DO101" s="272"/>
      <c r="DP101" s="272"/>
      <c r="DQ101" s="272"/>
      <c r="DR101" s="272"/>
    </row>
    <row r="102" spans="1:124" s="9" customFormat="1">
      <c r="A102" s="9" t="s">
        <v>41</v>
      </c>
      <c r="B102" s="9" t="s">
        <v>42</v>
      </c>
      <c r="C102" s="12">
        <v>253128</v>
      </c>
      <c r="D102" s="12">
        <v>199166</v>
      </c>
      <c r="E102" s="12">
        <v>220849</v>
      </c>
      <c r="F102" s="12">
        <v>207749</v>
      </c>
      <c r="G102" s="12">
        <v>217127</v>
      </c>
      <c r="H102" s="12">
        <v>233347</v>
      </c>
      <c r="I102" s="12">
        <v>254991</v>
      </c>
      <c r="J102" s="12">
        <v>267121</v>
      </c>
      <c r="K102" s="12">
        <v>221601</v>
      </c>
      <c r="L102" s="12">
        <v>254447</v>
      </c>
      <c r="M102" s="12">
        <v>246347</v>
      </c>
      <c r="N102" s="12">
        <v>219048</v>
      </c>
      <c r="O102" s="12">
        <v>216072</v>
      </c>
      <c r="P102" s="12">
        <v>195776</v>
      </c>
      <c r="Q102" s="12">
        <v>238736</v>
      </c>
      <c r="R102" s="12">
        <v>197595</v>
      </c>
      <c r="S102" s="12">
        <v>226380</v>
      </c>
      <c r="T102" s="12">
        <v>229966</v>
      </c>
      <c r="U102" s="12">
        <v>249039</v>
      </c>
      <c r="V102" s="12">
        <v>238384</v>
      </c>
      <c r="W102" s="12">
        <v>225122</v>
      </c>
      <c r="X102" s="12">
        <v>227055</v>
      </c>
      <c r="Y102" s="12">
        <v>222400</v>
      </c>
      <c r="Z102" s="12">
        <v>220740</v>
      </c>
      <c r="AA102" s="12">
        <v>204265</v>
      </c>
      <c r="AB102" s="12">
        <v>192952</v>
      </c>
      <c r="AC102" s="12">
        <v>211247</v>
      </c>
      <c r="AD102" s="12">
        <v>215851</v>
      </c>
      <c r="AE102" s="12">
        <v>204889</v>
      </c>
      <c r="AF102" s="12">
        <v>219037</v>
      </c>
      <c r="AG102" s="12">
        <v>237469</v>
      </c>
      <c r="AH102" s="12">
        <v>221379</v>
      </c>
      <c r="AI102" s="12">
        <v>214871</v>
      </c>
      <c r="AJ102" s="12">
        <v>220222</v>
      </c>
      <c r="AK102" s="12">
        <v>193314</v>
      </c>
      <c r="AL102" s="12">
        <v>210968</v>
      </c>
      <c r="AM102" s="12">
        <v>189694</v>
      </c>
      <c r="AN102" s="12">
        <v>160577</v>
      </c>
      <c r="AO102" s="12">
        <v>179982</v>
      </c>
      <c r="AP102" s="12">
        <v>190855</v>
      </c>
      <c r="AQ102" s="12">
        <v>224906</v>
      </c>
      <c r="AR102" s="12">
        <v>218023</v>
      </c>
      <c r="AS102" s="12">
        <v>233387</v>
      </c>
      <c r="AT102" s="12">
        <v>247264</v>
      </c>
      <c r="AU102" s="12">
        <v>249327</v>
      </c>
      <c r="AV102" s="12">
        <v>275140</v>
      </c>
      <c r="AW102" s="12">
        <v>219215</v>
      </c>
      <c r="AX102" s="12">
        <v>238812</v>
      </c>
      <c r="AY102" s="12">
        <v>214440</v>
      </c>
      <c r="AZ102" s="12">
        <v>195230</v>
      </c>
      <c r="BA102" s="12">
        <v>211682</v>
      </c>
      <c r="BB102" s="12">
        <v>203062</v>
      </c>
      <c r="BC102" s="12">
        <v>210150</v>
      </c>
      <c r="BD102" s="12">
        <v>228343</v>
      </c>
      <c r="BE102" s="12">
        <v>230662</v>
      </c>
      <c r="BF102" s="12">
        <v>234552</v>
      </c>
      <c r="BG102" s="12">
        <v>220786</v>
      </c>
      <c r="BH102" s="12">
        <v>226138</v>
      </c>
      <c r="BI102" s="12">
        <v>221915</v>
      </c>
      <c r="BJ102" s="12">
        <v>236829</v>
      </c>
      <c r="BK102" s="12">
        <v>226484</v>
      </c>
      <c r="BL102" s="12">
        <v>213943</v>
      </c>
      <c r="BM102" s="12">
        <v>212149</v>
      </c>
      <c r="BN102" s="12">
        <v>214821</v>
      </c>
      <c r="BO102" s="12">
        <v>222449</v>
      </c>
      <c r="BP102" s="12">
        <v>214503</v>
      </c>
      <c r="BQ102" s="12">
        <v>220590</v>
      </c>
      <c r="BR102" s="12">
        <v>216805</v>
      </c>
      <c r="BS102" s="12">
        <v>221514</v>
      </c>
      <c r="BT102" s="12">
        <v>224236</v>
      </c>
      <c r="BU102" s="12">
        <v>195355</v>
      </c>
      <c r="BV102" s="12">
        <v>202004</v>
      </c>
      <c r="BW102" s="12">
        <v>218395</v>
      </c>
      <c r="BX102" s="12">
        <v>197037</v>
      </c>
      <c r="BY102" s="12">
        <v>194948</v>
      </c>
      <c r="BZ102" s="12">
        <v>189040</v>
      </c>
      <c r="CA102" s="12">
        <v>195899</v>
      </c>
      <c r="CB102" s="12">
        <v>187435</v>
      </c>
      <c r="CC102" s="12">
        <v>196173</v>
      </c>
      <c r="CD102" s="12">
        <v>215724</v>
      </c>
      <c r="CE102" s="12">
        <v>191558</v>
      </c>
      <c r="CF102" s="12">
        <v>231578</v>
      </c>
      <c r="CG102" s="12">
        <v>193026</v>
      </c>
      <c r="CH102" s="12">
        <v>204702</v>
      </c>
      <c r="CI102" s="12">
        <v>205348</v>
      </c>
      <c r="CJ102" s="12">
        <v>158222</v>
      </c>
      <c r="CK102" s="12">
        <v>208451</v>
      </c>
      <c r="CL102" s="12">
        <v>193246</v>
      </c>
      <c r="CM102" s="12">
        <v>210584</v>
      </c>
      <c r="CN102" s="12">
        <v>184694</v>
      </c>
      <c r="CO102" s="12">
        <v>221287</v>
      </c>
      <c r="CP102" s="12">
        <v>205145</v>
      </c>
      <c r="CQ102" s="12">
        <v>203231</v>
      </c>
      <c r="CR102" s="12">
        <v>214440</v>
      </c>
      <c r="CS102" s="12">
        <v>205693</v>
      </c>
      <c r="CT102" s="12">
        <v>214840</v>
      </c>
      <c r="CU102" s="12">
        <v>196652</v>
      </c>
      <c r="CV102" s="12">
        <v>196549</v>
      </c>
      <c r="CW102" s="12">
        <v>194391</v>
      </c>
      <c r="CX102" s="12">
        <v>172991</v>
      </c>
      <c r="CY102" s="12">
        <v>197829</v>
      </c>
      <c r="CZ102" s="12">
        <v>171570</v>
      </c>
      <c r="DA102" s="12">
        <v>193888</v>
      </c>
      <c r="DB102" s="12">
        <v>227624</v>
      </c>
      <c r="DC102" s="12">
        <v>229507</v>
      </c>
      <c r="DD102" s="12">
        <v>227582</v>
      </c>
      <c r="DE102" s="12">
        <v>183871</v>
      </c>
      <c r="DF102" s="12">
        <v>205919</v>
      </c>
      <c r="DG102" s="12">
        <v>229931</v>
      </c>
      <c r="DH102" s="12">
        <v>182036</v>
      </c>
      <c r="DI102" s="12">
        <v>215343</v>
      </c>
      <c r="DJ102" s="12">
        <v>170445</v>
      </c>
      <c r="DK102" s="12">
        <v>174238</v>
      </c>
      <c r="DL102" s="12">
        <v>185311</v>
      </c>
      <c r="DM102" s="12">
        <v>218515</v>
      </c>
      <c r="DN102" s="12">
        <v>251061</v>
      </c>
      <c r="DO102" s="12">
        <v>214701</v>
      </c>
      <c r="DP102" s="12">
        <v>225410</v>
      </c>
      <c r="DQ102" s="12">
        <v>202550</v>
      </c>
      <c r="DR102" s="12">
        <v>192346</v>
      </c>
    </row>
    <row r="103" spans="1:124" s="9" customFormat="1">
      <c r="A103" s="9" t="s">
        <v>5</v>
      </c>
      <c r="B103" s="9" t="s">
        <v>44</v>
      </c>
      <c r="C103" s="13">
        <v>90.007999999999996</v>
      </c>
      <c r="D103" s="13">
        <v>86.28083333333332</v>
      </c>
      <c r="E103" s="13">
        <v>87.555999999999997</v>
      </c>
      <c r="F103" s="13">
        <v>89.617500000000007</v>
      </c>
      <c r="G103" s="13">
        <v>91.654166666666654</v>
      </c>
      <c r="H103" s="13">
        <v>98.166999999999987</v>
      </c>
      <c r="I103" s="13">
        <v>104.54533333333332</v>
      </c>
      <c r="J103" s="13">
        <v>104.03449999999999</v>
      </c>
      <c r="K103" s="13">
        <v>103.3845</v>
      </c>
      <c r="L103" s="13">
        <v>102.70649999999999</v>
      </c>
      <c r="M103" s="13">
        <v>97.537833333333325</v>
      </c>
      <c r="N103" s="13">
        <v>92.529999999999987</v>
      </c>
      <c r="O103" s="13">
        <v>90.790333333333351</v>
      </c>
      <c r="P103" s="13">
        <v>93.126500000000007</v>
      </c>
      <c r="Q103" s="13">
        <v>90.973333333333315</v>
      </c>
      <c r="R103" s="13">
        <v>92.374166666666667</v>
      </c>
      <c r="S103" s="13">
        <v>95.243166666666653</v>
      </c>
      <c r="T103" s="13">
        <v>97.282666666666671</v>
      </c>
      <c r="U103" s="13">
        <v>99.950333333333333</v>
      </c>
      <c r="V103" s="13">
        <v>103.20633333333332</v>
      </c>
      <c r="W103" s="13">
        <v>104.04083333333334</v>
      </c>
      <c r="X103" s="13">
        <v>103.128</v>
      </c>
      <c r="Y103" s="13">
        <v>104.56833333333334</v>
      </c>
      <c r="Z103" s="13">
        <v>109.24333333333334</v>
      </c>
      <c r="AA103" s="13">
        <v>119.03</v>
      </c>
      <c r="AB103" s="13">
        <v>117.34</v>
      </c>
      <c r="AC103" s="13">
        <v>117.82</v>
      </c>
      <c r="AD103" s="13">
        <v>122.47</v>
      </c>
      <c r="AE103" s="13">
        <v>136.30000000000001</v>
      </c>
      <c r="AF103" s="13">
        <v>147.26</v>
      </c>
      <c r="AG103" s="13">
        <v>158.19300000000001</v>
      </c>
      <c r="AH103" s="13">
        <v>166.15600000000001</v>
      </c>
      <c r="AI103" s="13">
        <v>160.46100000000001</v>
      </c>
      <c r="AJ103" s="13">
        <v>145.29831720000001</v>
      </c>
      <c r="AK103" s="13">
        <v>133.40357660000001</v>
      </c>
      <c r="AL103" s="13">
        <v>109.2105959</v>
      </c>
      <c r="AM103" s="13">
        <v>82.508598057924871</v>
      </c>
      <c r="AN103" s="13">
        <v>69.549530754715803</v>
      </c>
      <c r="AO103" s="13">
        <v>70.657482414908159</v>
      </c>
      <c r="AP103" s="13">
        <v>66.650000000000006</v>
      </c>
      <c r="AQ103" s="13">
        <v>66.41</v>
      </c>
      <c r="AR103" s="13">
        <v>70.95</v>
      </c>
      <c r="AS103" s="13">
        <v>74.04682780103434</v>
      </c>
      <c r="AT103" s="13">
        <v>81.471771062508083</v>
      </c>
      <c r="AU103" s="13">
        <v>81.825891299377929</v>
      </c>
      <c r="AV103" s="13">
        <v>86.82</v>
      </c>
      <c r="AW103" s="13">
        <v>86.88</v>
      </c>
      <c r="AX103" s="13">
        <v>89.56</v>
      </c>
      <c r="AY103" s="13">
        <v>95.814829320000001</v>
      </c>
      <c r="AZ103" s="13">
        <v>94.022921679999996</v>
      </c>
      <c r="BA103" s="13">
        <v>95.167487080000001</v>
      </c>
      <c r="BB103" s="13">
        <v>94.80968867</v>
      </c>
      <c r="BC103" s="13">
        <v>98.594975020000007</v>
      </c>
      <c r="BD103" s="13">
        <v>103.23580320000001</v>
      </c>
      <c r="BE103" s="13">
        <v>101.7736081365808</v>
      </c>
      <c r="BF103" s="13">
        <v>96.819570926702823</v>
      </c>
      <c r="BG103" s="13">
        <v>92.872333390704114</v>
      </c>
      <c r="BH103" s="13">
        <v>99.641152747437403</v>
      </c>
      <c r="BI103" s="13">
        <v>101.93027059910327</v>
      </c>
      <c r="BJ103" s="13">
        <v>106.2744132</v>
      </c>
      <c r="BK103" s="13">
        <v>110.41364511400364</v>
      </c>
      <c r="BL103" s="13">
        <v>114.30432872307109</v>
      </c>
      <c r="BM103" s="13">
        <v>117.7272624429057</v>
      </c>
      <c r="BN103" s="13">
        <v>127.33259318223078</v>
      </c>
      <c r="BO103" s="13">
        <v>138.30308520155182</v>
      </c>
      <c r="BP103" s="13">
        <v>149.03507177055798</v>
      </c>
      <c r="BQ103" s="13">
        <v>145.86618613717758</v>
      </c>
      <c r="BR103" s="13">
        <v>129.93843776665668</v>
      </c>
      <c r="BS103" s="13">
        <v>138.2054046245384</v>
      </c>
      <c r="BT103" s="13">
        <v>134.50362118482315</v>
      </c>
      <c r="BU103" s="13">
        <v>136.46090450717924</v>
      </c>
      <c r="BV103" s="13">
        <v>136.84356745410983</v>
      </c>
      <c r="BW103" s="13">
        <v>138.50065706632478</v>
      </c>
      <c r="BX103" s="13">
        <v>134.18343255327679</v>
      </c>
      <c r="BY103" s="13">
        <v>138.59186552311385</v>
      </c>
      <c r="BZ103" s="13">
        <v>144.70071942446043</v>
      </c>
      <c r="CA103" s="13">
        <v>150.70652734317173</v>
      </c>
      <c r="CB103" s="13">
        <v>145.30278229786325</v>
      </c>
      <c r="CC103" s="13">
        <v>136.36973997441035</v>
      </c>
      <c r="CD103" s="13">
        <v>131.30018449500287</v>
      </c>
      <c r="CE103" s="13">
        <v>130.50905730901346</v>
      </c>
      <c r="CF103" s="13">
        <v>138.35309053537037</v>
      </c>
      <c r="CG103" s="13">
        <v>149.48238061193828</v>
      </c>
      <c r="CH103" s="13">
        <v>149.72084298150483</v>
      </c>
      <c r="CI103" s="13">
        <v>143.9121393926408</v>
      </c>
      <c r="CJ103" s="13">
        <v>138.28219843005397</v>
      </c>
      <c r="CK103" s="13">
        <v>142.56925128687317</v>
      </c>
      <c r="CL103" s="13">
        <v>145.23113544394192</v>
      </c>
      <c r="CM103" s="13">
        <v>139.70483512517569</v>
      </c>
      <c r="CN103" s="13">
        <v>134.26542280745448</v>
      </c>
      <c r="CO103" s="13">
        <v>132.1211142091492</v>
      </c>
      <c r="CP103" s="13">
        <v>134.0112798264642</v>
      </c>
      <c r="CQ103" s="13">
        <v>136.07773420393542</v>
      </c>
      <c r="CR103" s="13">
        <v>143.25800223838837</v>
      </c>
      <c r="CS103" s="13">
        <v>142.4480220522818</v>
      </c>
      <c r="CT103" s="13">
        <v>139.37351517408302</v>
      </c>
      <c r="CU103" s="13">
        <v>135.92397738136404</v>
      </c>
      <c r="CV103" s="13">
        <v>136.80280235462914</v>
      </c>
      <c r="CW103" s="13">
        <v>137.54215472938563</v>
      </c>
      <c r="CX103" s="13">
        <v>137.42497586579648</v>
      </c>
      <c r="CY103" s="13">
        <v>136.09537529886921</v>
      </c>
      <c r="CZ103" s="13">
        <v>139.34473213265724</v>
      </c>
      <c r="DA103" s="13">
        <v>139.43449826704077</v>
      </c>
      <c r="DB103" s="13">
        <v>139.23330140934172</v>
      </c>
      <c r="DC103" s="13">
        <v>138.14075387678807</v>
      </c>
      <c r="DD103" s="13">
        <v>134.28312871843994</v>
      </c>
      <c r="DE103" s="13">
        <v>128.4830397398176</v>
      </c>
      <c r="DF103" s="13">
        <v>122.01890063568685</v>
      </c>
      <c r="DG103" s="13">
        <v>111.14239054324993</v>
      </c>
      <c r="DH103" s="13">
        <v>94.942330088553916</v>
      </c>
      <c r="DI103" s="13">
        <v>85.528055242102141</v>
      </c>
      <c r="DJ103" s="13">
        <v>86.314817096424065</v>
      </c>
      <c r="DK103" s="13">
        <v>86.670749205110255</v>
      </c>
      <c r="DL103" s="13">
        <v>88.593915094085077</v>
      </c>
      <c r="DM103" s="13">
        <v>93.742498226666356</v>
      </c>
      <c r="DN103" s="13">
        <v>91.525856266007068</v>
      </c>
      <c r="DO103" s="13">
        <v>84.871090493290666</v>
      </c>
      <c r="DP103" s="13">
        <v>79.294938112772286</v>
      </c>
      <c r="DQ103" s="13">
        <v>76.100498642310541</v>
      </c>
      <c r="DR103" s="13">
        <v>76.99926174705999</v>
      </c>
      <c r="DT103" s="13"/>
    </row>
    <row r="104" spans="1:124" s="9" customFormat="1">
      <c r="A104" s="9" t="s">
        <v>45</v>
      </c>
      <c r="B104" s="9" t="s">
        <v>44</v>
      </c>
      <c r="C104" s="12">
        <v>21435819</v>
      </c>
      <c r="D104" s="12">
        <v>15952260</v>
      </c>
      <c r="E104" s="12">
        <v>18164961</v>
      </c>
      <c r="F104" s="12">
        <v>17996796</v>
      </c>
      <c r="G104" s="12">
        <v>19376450</v>
      </c>
      <c r="H104" s="12">
        <v>22599315</v>
      </c>
      <c r="I104" s="12">
        <v>26346830</v>
      </c>
      <c r="J104" s="12">
        <v>27361125</v>
      </c>
      <c r="K104" s="12">
        <v>22001067</v>
      </c>
      <c r="L104" s="12">
        <v>25419837</v>
      </c>
      <c r="M104" s="12">
        <v>22783308</v>
      </c>
      <c r="N104" s="12">
        <v>18066477</v>
      </c>
      <c r="O104" s="12">
        <v>18559723</v>
      </c>
      <c r="P104" s="12">
        <v>17694639</v>
      </c>
      <c r="Q104" s="12">
        <v>20820387</v>
      </c>
      <c r="R104" s="12">
        <v>17835192</v>
      </c>
      <c r="S104" s="12">
        <v>21169594</v>
      </c>
      <c r="T104" s="12">
        <v>22487133</v>
      </c>
      <c r="U104" s="12">
        <v>24602362</v>
      </c>
      <c r="V104" s="12">
        <v>24191727</v>
      </c>
      <c r="W104" s="12">
        <v>23022976</v>
      </c>
      <c r="X104" s="12">
        <v>22656032</v>
      </c>
      <c r="Y104" s="12">
        <v>22759453</v>
      </c>
      <c r="Z104" s="12">
        <v>22523599</v>
      </c>
      <c r="AA104" s="12">
        <v>24313219</v>
      </c>
      <c r="AB104" s="12">
        <v>22641625</v>
      </c>
      <c r="AC104" s="12">
        <v>24888157</v>
      </c>
      <c r="AD104" s="12">
        <v>26435667</v>
      </c>
      <c r="AE104" s="12">
        <v>27926140</v>
      </c>
      <c r="AF104" s="12">
        <v>32254311</v>
      </c>
      <c r="AG104" s="12">
        <v>37566047</v>
      </c>
      <c r="AH104" s="12">
        <v>36783602</v>
      </c>
      <c r="AI104" s="12">
        <v>34478546</v>
      </c>
      <c r="AJ104" s="12">
        <v>31997886</v>
      </c>
      <c r="AK104" s="12">
        <v>25788779</v>
      </c>
      <c r="AL104" s="12">
        <v>23039941</v>
      </c>
      <c r="AM104" s="12">
        <v>15651386</v>
      </c>
      <c r="AN104" s="12">
        <v>11168055</v>
      </c>
      <c r="AO104" s="12">
        <v>12717075</v>
      </c>
      <c r="AP104" s="12">
        <v>12720420</v>
      </c>
      <c r="AQ104" s="12">
        <v>14934904</v>
      </c>
      <c r="AR104" s="12">
        <v>15469541</v>
      </c>
      <c r="AS104" s="12">
        <v>17281567</v>
      </c>
      <c r="AT104" s="12">
        <v>20145036</v>
      </c>
      <c r="AU104" s="12">
        <v>20401404</v>
      </c>
      <c r="AV104" s="12">
        <v>23886493</v>
      </c>
      <c r="AW104" s="12">
        <v>19046475</v>
      </c>
      <c r="AX104" s="12">
        <v>21389052</v>
      </c>
      <c r="AY104" s="12">
        <v>20546532</v>
      </c>
      <c r="AZ104" s="12">
        <v>18356095</v>
      </c>
      <c r="BA104" s="12">
        <v>20145244</v>
      </c>
      <c r="BB104" s="12">
        <v>19252245</v>
      </c>
      <c r="BC104" s="12">
        <v>20719734</v>
      </c>
      <c r="BD104" s="12">
        <v>23573173</v>
      </c>
      <c r="BE104" s="12">
        <v>23475304</v>
      </c>
      <c r="BF104" s="12">
        <v>22709224</v>
      </c>
      <c r="BG104" s="12">
        <v>20504911</v>
      </c>
      <c r="BH104" s="12">
        <v>22532651</v>
      </c>
      <c r="BI104" s="12">
        <v>22619856</v>
      </c>
      <c r="BJ104" s="12">
        <v>25168863</v>
      </c>
      <c r="BK104" s="12">
        <v>25006924</v>
      </c>
      <c r="BL104" s="12">
        <v>24454611</v>
      </c>
      <c r="BM104" s="12">
        <v>24975721</v>
      </c>
      <c r="BN104" s="12">
        <v>27353715</v>
      </c>
      <c r="BO104" s="12">
        <v>30765383</v>
      </c>
      <c r="BP104" s="12">
        <v>31968470</v>
      </c>
      <c r="BQ104" s="12">
        <v>32176622</v>
      </c>
      <c r="BR104" s="12">
        <v>28171303</v>
      </c>
      <c r="BS104" s="12">
        <v>30614432</v>
      </c>
      <c r="BT104" s="12">
        <v>30160554</v>
      </c>
      <c r="BU104" s="12">
        <v>26658320</v>
      </c>
      <c r="BV104" s="12">
        <v>27642948</v>
      </c>
      <c r="BW104" s="12">
        <v>30247851</v>
      </c>
      <c r="BX104" s="12">
        <v>26439101</v>
      </c>
      <c r="BY104" s="12">
        <v>27018207</v>
      </c>
      <c r="BZ104" s="12">
        <v>27354224</v>
      </c>
      <c r="CA104" s="12">
        <v>29523258</v>
      </c>
      <c r="CB104" s="12">
        <v>27234827</v>
      </c>
      <c r="CC104" s="12">
        <v>26752061</v>
      </c>
      <c r="CD104" s="12">
        <v>28324601</v>
      </c>
      <c r="CE104" s="12">
        <v>25000054</v>
      </c>
      <c r="CF104" s="12">
        <v>32039532</v>
      </c>
      <c r="CG104" s="12">
        <v>28853986</v>
      </c>
      <c r="CH104" s="12">
        <v>30648156</v>
      </c>
      <c r="CI104" s="12">
        <v>29552070</v>
      </c>
      <c r="CJ104" s="12">
        <v>21879286</v>
      </c>
      <c r="CK104" s="12">
        <v>29718703</v>
      </c>
      <c r="CL104" s="12">
        <v>28065336</v>
      </c>
      <c r="CM104" s="12">
        <v>29419603</v>
      </c>
      <c r="CN104" s="12">
        <v>24798018</v>
      </c>
      <c r="CO104" s="12">
        <v>29236685</v>
      </c>
      <c r="CP104" s="12">
        <v>27491744</v>
      </c>
      <c r="CQ104" s="12">
        <v>27655214</v>
      </c>
      <c r="CR104" s="12">
        <v>30720246</v>
      </c>
      <c r="CS104" s="12">
        <v>29300561</v>
      </c>
      <c r="CT104" s="12">
        <v>29943006</v>
      </c>
      <c r="CU104" s="12">
        <v>26729722</v>
      </c>
      <c r="CV104" s="12">
        <v>26888454</v>
      </c>
      <c r="CW104" s="12">
        <v>26736957</v>
      </c>
      <c r="CX104" s="12">
        <v>23773284</v>
      </c>
      <c r="CY104" s="12">
        <v>26923612</v>
      </c>
      <c r="CZ104" s="12">
        <v>23907375.692000002</v>
      </c>
      <c r="DA104" s="12">
        <v>27034676</v>
      </c>
      <c r="DB104" s="12">
        <v>31692841</v>
      </c>
      <c r="DC104" s="12">
        <v>31704270</v>
      </c>
      <c r="DD104" s="12">
        <v>30560423</v>
      </c>
      <c r="DE104" s="12">
        <v>23624305</v>
      </c>
      <c r="DF104" s="12">
        <v>25126010</v>
      </c>
      <c r="DG104" s="12">
        <v>25555081</v>
      </c>
      <c r="DH104" s="12">
        <v>17282922</v>
      </c>
      <c r="DI104" s="12">
        <v>18417868</v>
      </c>
      <c r="DJ104" s="12">
        <v>14711929</v>
      </c>
      <c r="DK104" s="12">
        <v>15101338</v>
      </c>
      <c r="DL104" s="12">
        <v>16417427</v>
      </c>
      <c r="DM104" s="12">
        <v>20484142</v>
      </c>
      <c r="DN104" s="12">
        <v>22978573</v>
      </c>
      <c r="DO104" s="12">
        <v>18221908</v>
      </c>
      <c r="DP104" s="12">
        <v>17873872</v>
      </c>
      <c r="DQ104" s="12">
        <v>15414156</v>
      </c>
      <c r="DR104" s="12">
        <v>14810500</v>
      </c>
      <c r="DT104" s="12"/>
    </row>
    <row r="105" spans="1:124" s="9" customFormat="1">
      <c r="A105" s="9" t="s">
        <v>46</v>
      </c>
      <c r="B105" s="9" t="s">
        <v>44</v>
      </c>
      <c r="C105" s="14">
        <v>0.18319833333333332</v>
      </c>
      <c r="D105" s="14">
        <v>0.22556999999999996</v>
      </c>
      <c r="E105" s="14">
        <v>0.17462166666666668</v>
      </c>
      <c r="F105" s="14">
        <v>0.18165500000000001</v>
      </c>
      <c r="G105" s="14">
        <v>0.17838500000000002</v>
      </c>
      <c r="H105" s="14">
        <v>0.19096833333333338</v>
      </c>
      <c r="I105" s="14">
        <v>0.21208500000000005</v>
      </c>
      <c r="J105" s="14">
        <v>0.21498833333333334</v>
      </c>
      <c r="K105" s="14">
        <v>0.22649666666666665</v>
      </c>
      <c r="L105" s="14">
        <v>0.21303999999999998</v>
      </c>
      <c r="M105" s="14">
        <v>0.22688499999999998</v>
      </c>
      <c r="N105" s="14">
        <v>0.19981833333333335</v>
      </c>
      <c r="O105" s="15">
        <v>0.20968833333333334</v>
      </c>
      <c r="P105" s="15">
        <v>0.18504666666666666</v>
      </c>
      <c r="Q105" s="15">
        <v>0.20801333333333336</v>
      </c>
      <c r="R105" s="15">
        <v>0.19617666666666667</v>
      </c>
      <c r="S105" s="15">
        <v>0.21045000000000003</v>
      </c>
      <c r="T105" s="15">
        <v>0.22969499999999998</v>
      </c>
      <c r="U105" s="15">
        <v>0.218055</v>
      </c>
      <c r="V105" s="15">
        <v>0.21575333333333332</v>
      </c>
      <c r="W105" s="15">
        <v>0.21556833333333333</v>
      </c>
      <c r="X105" s="15">
        <v>0.2062683333333333</v>
      </c>
      <c r="Y105" s="15">
        <v>0.21929333333333334</v>
      </c>
      <c r="Z105" s="15">
        <v>0.26395333333333332</v>
      </c>
      <c r="AA105" s="15">
        <v>0.23799999999999999</v>
      </c>
      <c r="AB105" s="15">
        <v>0.23499999999999999</v>
      </c>
      <c r="AC105" s="15">
        <v>0.24099999999999999</v>
      </c>
      <c r="AD105" s="15">
        <v>0.255</v>
      </c>
      <c r="AE105" s="15">
        <v>0.26600000000000001</v>
      </c>
      <c r="AF105" s="15">
        <v>0.27</v>
      </c>
      <c r="AG105" s="15">
        <v>0.27989999999999998</v>
      </c>
      <c r="AH105" s="15">
        <v>0.2999</v>
      </c>
      <c r="AI105" s="15">
        <v>0.3024</v>
      </c>
      <c r="AJ105" s="15">
        <v>0.28820000000000001</v>
      </c>
      <c r="AK105" s="15">
        <v>0.28920000000000001</v>
      </c>
      <c r="AL105" s="15">
        <v>0.25659999999999999</v>
      </c>
      <c r="AM105" s="15">
        <v>0.224</v>
      </c>
      <c r="AN105" s="15">
        <v>0.20399999999999999</v>
      </c>
      <c r="AO105" s="15">
        <v>0.2</v>
      </c>
      <c r="AP105" s="15">
        <v>0.17899999999999999</v>
      </c>
      <c r="AQ105" s="15">
        <v>0.186</v>
      </c>
      <c r="AR105" s="15">
        <v>0.17100000000000001</v>
      </c>
      <c r="AS105" s="15">
        <v>0.18099999999999999</v>
      </c>
      <c r="AT105" s="15">
        <v>0.161</v>
      </c>
      <c r="AU105" s="15">
        <v>0.161</v>
      </c>
      <c r="AV105" s="15">
        <v>0.18</v>
      </c>
      <c r="AW105" s="15">
        <v>0.183</v>
      </c>
      <c r="AX105" s="15">
        <v>0.189</v>
      </c>
      <c r="AY105" s="15">
        <v>0.21920000000000001</v>
      </c>
      <c r="AZ105" s="15">
        <v>0.1938</v>
      </c>
      <c r="BA105" s="15">
        <v>0.19769999999999999</v>
      </c>
      <c r="BB105" s="15">
        <v>0.214</v>
      </c>
      <c r="BC105" s="15">
        <v>0.29499999999999998</v>
      </c>
      <c r="BD105" s="15">
        <v>0.25900000000000001</v>
      </c>
      <c r="BE105" s="15">
        <v>0.37488833333333332</v>
      </c>
      <c r="BF105" s="15">
        <v>0.24356666666666668</v>
      </c>
      <c r="BG105" s="15">
        <v>0.21257000000000001</v>
      </c>
      <c r="BH105" s="15">
        <v>0.23069999999999999</v>
      </c>
      <c r="BI105" s="15">
        <v>0.2823</v>
      </c>
      <c r="BJ105" s="15">
        <v>0.247</v>
      </c>
      <c r="BK105" s="15">
        <v>0.255</v>
      </c>
      <c r="BL105" s="15">
        <v>0.25800000000000001</v>
      </c>
      <c r="BM105" s="15">
        <v>0.249</v>
      </c>
      <c r="BN105" s="15">
        <v>0.26300000000000001</v>
      </c>
      <c r="BO105" s="15">
        <v>0.27</v>
      </c>
      <c r="BP105" s="15">
        <v>0.27300000000000002</v>
      </c>
      <c r="BQ105" s="15">
        <v>1.093</v>
      </c>
      <c r="BR105" s="15">
        <v>0.252</v>
      </c>
      <c r="BS105" s="15">
        <v>0.28620500000000004</v>
      </c>
      <c r="BT105" s="15">
        <v>0.28021999999999997</v>
      </c>
      <c r="BU105" s="15">
        <v>0.46533833333333335</v>
      </c>
      <c r="BV105" s="15">
        <v>0.28234999999999999</v>
      </c>
      <c r="BW105" s="15">
        <v>0.26536833333333332</v>
      </c>
      <c r="BX105" s="15">
        <v>0.39213333333333339</v>
      </c>
      <c r="BY105" s="15">
        <v>0.28536666666666671</v>
      </c>
      <c r="BZ105" s="15">
        <v>0.29057333333333335</v>
      </c>
      <c r="CA105" s="15">
        <v>0.28842833333333334</v>
      </c>
      <c r="CB105" s="15">
        <v>0.29934833333333333</v>
      </c>
      <c r="CC105" s="15">
        <v>0.28413333333333335</v>
      </c>
      <c r="CD105" s="15">
        <v>0.26545833333333335</v>
      </c>
      <c r="CE105" s="15">
        <v>0.49270499999999995</v>
      </c>
      <c r="CF105" s="15">
        <v>0.30867500000000003</v>
      </c>
      <c r="CG105" s="15">
        <v>0.29855166666666672</v>
      </c>
      <c r="CH105" s="15">
        <v>0.37164666666666668</v>
      </c>
      <c r="CI105" s="15">
        <v>0.28090333333333334</v>
      </c>
      <c r="CJ105" s="15">
        <v>0.31005666666666665</v>
      </c>
      <c r="CK105" s="15">
        <v>0.30773</v>
      </c>
      <c r="CL105" s="15">
        <v>0.347105</v>
      </c>
      <c r="CM105" s="15">
        <v>0.29076333333333332</v>
      </c>
      <c r="CN105" s="15">
        <v>0.35558333333333331</v>
      </c>
      <c r="CO105" s="15">
        <v>0.37466499999999997</v>
      </c>
      <c r="CP105" s="15">
        <v>0.28869666666666666</v>
      </c>
      <c r="CQ105" s="15">
        <v>0.35570166666666664</v>
      </c>
      <c r="CR105" s="15">
        <v>0.30477666666666664</v>
      </c>
      <c r="CS105" s="15">
        <v>0.34132166666666669</v>
      </c>
      <c r="CT105" s="15">
        <v>0.30053666666666667</v>
      </c>
      <c r="CU105" s="15">
        <v>0.37514166666666665</v>
      </c>
      <c r="CV105" s="15">
        <v>0.29320000000000002</v>
      </c>
      <c r="CW105" s="15">
        <v>0.30278333333333335</v>
      </c>
      <c r="CX105" s="15">
        <v>0.30573999999999996</v>
      </c>
      <c r="CY105" s="15">
        <v>0.38392833333333337</v>
      </c>
      <c r="CZ105" s="15">
        <v>0.38121833333333338</v>
      </c>
      <c r="DA105" s="15">
        <v>0.32864333333333334</v>
      </c>
      <c r="DB105" s="15">
        <v>0.26655666666666672</v>
      </c>
      <c r="DC105" s="15">
        <v>0.26830666666666669</v>
      </c>
      <c r="DD105" s="15">
        <v>0.28225666666666666</v>
      </c>
      <c r="DE105" s="15">
        <v>0.31797333333333333</v>
      </c>
      <c r="DF105" s="15">
        <v>0.29564666666666667</v>
      </c>
      <c r="DG105" s="15">
        <v>0.19502451427281406</v>
      </c>
      <c r="DH105" s="15">
        <v>0.16609701963519469</v>
      </c>
      <c r="DI105" s="15">
        <v>0.14932358672836055</v>
      </c>
      <c r="DJ105" s="15">
        <v>0.14570047521368637</v>
      </c>
      <c r="DK105" s="15">
        <v>0.14795512991428666</v>
      </c>
      <c r="DL105" s="15">
        <v>0.15075213203349835</v>
      </c>
      <c r="DM105" s="15">
        <v>0.15737373485860653</v>
      </c>
      <c r="DN105" s="15">
        <v>0.15461562973365245</v>
      </c>
      <c r="DO105" s="15">
        <v>0.14309410245570489</v>
      </c>
      <c r="DP105" s="15">
        <v>0.13671455907523816</v>
      </c>
      <c r="DQ105" s="15">
        <v>0.12940111647864097</v>
      </c>
      <c r="DR105" s="15">
        <v>0.1309877035568684</v>
      </c>
      <c r="DT105" s="15"/>
    </row>
    <row r="106" spans="1:124" s="9" customFormat="1">
      <c r="A106" s="9" t="s">
        <v>439</v>
      </c>
      <c r="B106" s="9" t="s">
        <v>44</v>
      </c>
      <c r="C106" s="13">
        <v>86.598333333333315</v>
      </c>
      <c r="D106" s="13">
        <v>88.328333333333333</v>
      </c>
      <c r="E106" s="13">
        <v>91.064999999999998</v>
      </c>
      <c r="F106" s="13">
        <v>92.433333333333337</v>
      </c>
      <c r="G106" s="13">
        <v>98.644999999999996</v>
      </c>
      <c r="H106" s="13">
        <v>107.15666666666668</v>
      </c>
      <c r="I106" s="13">
        <v>106.24833333333333</v>
      </c>
      <c r="J106" s="13">
        <v>104.77499999999999</v>
      </c>
      <c r="K106" s="13">
        <v>105.62333333333333</v>
      </c>
      <c r="L106" s="13">
        <v>101.70333333333333</v>
      </c>
      <c r="M106" s="13">
        <v>93.433333333333337</v>
      </c>
      <c r="N106" s="13">
        <v>91.188333333333333</v>
      </c>
      <c r="O106" s="13">
        <v>95.79</v>
      </c>
      <c r="P106" s="13">
        <v>85.771666666666661</v>
      </c>
      <c r="Q106" s="13">
        <v>92.73833333333333</v>
      </c>
      <c r="R106" s="13">
        <v>95.100000000000009</v>
      </c>
      <c r="S106" s="13">
        <v>98.571666666666673</v>
      </c>
      <c r="T106" s="13">
        <v>99.763333333333321</v>
      </c>
      <c r="U106" s="13">
        <v>103.41000000000001</v>
      </c>
      <c r="V106" s="13">
        <v>89.07</v>
      </c>
      <c r="W106" s="13">
        <v>105.03500000000001</v>
      </c>
      <c r="X106" s="13">
        <v>104.51833333333332</v>
      </c>
      <c r="Y106" s="13">
        <v>111.66500000000001</v>
      </c>
      <c r="Z106" s="13">
        <v>118.57666666666667</v>
      </c>
      <c r="AA106" s="13">
        <v>119.45</v>
      </c>
      <c r="AB106" s="13">
        <v>120.18</v>
      </c>
      <c r="AC106" s="13">
        <v>121.97</v>
      </c>
      <c r="AD106" s="13">
        <v>132.82</v>
      </c>
      <c r="AE106" s="13">
        <v>140.97</v>
      </c>
      <c r="AF106" s="13">
        <v>153.28</v>
      </c>
      <c r="AG106" s="13">
        <v>163.785</v>
      </c>
      <c r="AH106" s="13">
        <v>164.87200000000001</v>
      </c>
      <c r="AI106" s="13">
        <v>155.50700000000001</v>
      </c>
      <c r="AJ106" s="13">
        <v>150.9025</v>
      </c>
      <c r="AK106" s="13">
        <v>133.21</v>
      </c>
      <c r="AL106" s="13">
        <v>109.39333333333333</v>
      </c>
      <c r="AM106" s="13">
        <v>90.361666666666665</v>
      </c>
      <c r="AN106" s="13">
        <v>86.146666666666661</v>
      </c>
      <c r="AO106" s="13">
        <v>80.438333333333333</v>
      </c>
      <c r="AP106" s="13">
        <v>75.510000000000005</v>
      </c>
      <c r="AQ106" s="13">
        <v>79.260000000000005</v>
      </c>
      <c r="AR106" s="13">
        <v>79.72</v>
      </c>
      <c r="AS106" s="13">
        <v>86.67</v>
      </c>
      <c r="AT106" s="13">
        <v>85.49</v>
      </c>
      <c r="AU106" s="13">
        <v>91.46</v>
      </c>
      <c r="AV106" s="13">
        <v>91.48</v>
      </c>
      <c r="AW106" s="13">
        <v>92.05</v>
      </c>
      <c r="AX106" s="13">
        <v>97.32</v>
      </c>
      <c r="AY106" s="13">
        <v>96.59</v>
      </c>
      <c r="AZ106" s="13">
        <v>99.75</v>
      </c>
      <c r="BA106" s="13">
        <v>98.43</v>
      </c>
      <c r="BB106" s="13">
        <v>102.188</v>
      </c>
      <c r="BC106" s="13">
        <v>106.485</v>
      </c>
      <c r="BD106" s="13">
        <v>106.34699999999999</v>
      </c>
      <c r="BE106" s="13">
        <v>103.16000000000001</v>
      </c>
      <c r="BF106" s="13">
        <v>101.29499999999997</v>
      </c>
      <c r="BG106" s="13">
        <v>105.04333333333334</v>
      </c>
      <c r="BH106" s="13">
        <v>105.01</v>
      </c>
      <c r="BI106" s="13">
        <v>109.595</v>
      </c>
      <c r="BJ106" s="13">
        <v>113.98</v>
      </c>
      <c r="BK106" s="13">
        <v>117.37</v>
      </c>
      <c r="BL106" s="13">
        <v>120.98</v>
      </c>
      <c r="BM106" s="13">
        <v>127.71</v>
      </c>
      <c r="BN106" s="13">
        <v>140.38</v>
      </c>
      <c r="BO106" s="13">
        <v>147.81</v>
      </c>
      <c r="BP106" s="13">
        <v>145.55000000000001</v>
      </c>
      <c r="BQ106" s="13">
        <v>143.62</v>
      </c>
      <c r="BR106" s="13">
        <v>141.91999999999999</v>
      </c>
      <c r="BS106" s="13">
        <v>139.22833333333332</v>
      </c>
      <c r="BT106" s="13">
        <v>141.64833333333334</v>
      </c>
      <c r="BU106" s="13">
        <v>142.32</v>
      </c>
      <c r="BV106" s="13">
        <v>144.92999999999998</v>
      </c>
      <c r="BW106" s="13">
        <v>140.49666666666667</v>
      </c>
      <c r="BX106" s="13">
        <v>142.76500000000001</v>
      </c>
      <c r="BY106" s="13">
        <v>145.62333333333333</v>
      </c>
      <c r="BZ106" s="13">
        <v>153.56333333333333</v>
      </c>
      <c r="CA106" s="13">
        <v>151.34</v>
      </c>
      <c r="CB106" s="13">
        <v>147.24</v>
      </c>
      <c r="CC106" s="13">
        <v>135.81833333333336</v>
      </c>
      <c r="CD106" s="13">
        <v>134.31833333333333</v>
      </c>
      <c r="CE106" s="13">
        <v>140.38666666666666</v>
      </c>
      <c r="CF106" s="13">
        <v>152.33166666666668</v>
      </c>
      <c r="CG106" s="13">
        <v>150.67999999999998</v>
      </c>
      <c r="CH106" s="13">
        <v>145.19999999999999</v>
      </c>
      <c r="CI106" s="13">
        <v>138.55833333333337</v>
      </c>
      <c r="CJ106" s="13">
        <v>146.19666666666666</v>
      </c>
      <c r="CK106" s="13">
        <v>151.035</v>
      </c>
      <c r="CL106" s="13">
        <v>145.00999999999996</v>
      </c>
      <c r="CM106" s="13">
        <v>142.09166666666667</v>
      </c>
      <c r="CN106" s="13">
        <v>138.02666666666664</v>
      </c>
      <c r="CO106" s="13">
        <v>140.29500000000002</v>
      </c>
      <c r="CP106" s="13">
        <v>142.07666666666665</v>
      </c>
      <c r="CQ106" s="13">
        <v>146.08333333333334</v>
      </c>
      <c r="CR106" s="13">
        <v>147.20000000000002</v>
      </c>
      <c r="CS106" s="13">
        <v>143.60666666666668</v>
      </c>
      <c r="CT106" s="13">
        <v>139.16</v>
      </c>
      <c r="CU106" s="13">
        <v>142.66166666666666</v>
      </c>
      <c r="CV106" s="13">
        <v>141.10166666666666</v>
      </c>
      <c r="CW106" s="13">
        <v>142.95166666666668</v>
      </c>
      <c r="CX106" s="13">
        <v>139.83166666666668</v>
      </c>
      <c r="CY106" s="13">
        <v>142.11333333333334</v>
      </c>
      <c r="CZ106" s="13">
        <v>143.60166666666666</v>
      </c>
      <c r="DA106" s="13">
        <v>142.535</v>
      </c>
      <c r="DB106" s="13">
        <v>136.85166666666666</v>
      </c>
      <c r="DC106" s="13">
        <v>135.52666666666667</v>
      </c>
      <c r="DD106" s="13">
        <v>135.72999999999999</v>
      </c>
      <c r="DE106" s="13">
        <v>128.89833333333331</v>
      </c>
      <c r="DF106" s="13">
        <v>120.95666666666666</v>
      </c>
      <c r="DG106" s="13">
        <v>103.06333333333333</v>
      </c>
      <c r="DH106" s="13">
        <v>91.413333333333341</v>
      </c>
      <c r="DI106" s="13">
        <v>93.741666666666674</v>
      </c>
      <c r="DJ106" s="13">
        <v>89.39</v>
      </c>
      <c r="DK106" s="13">
        <v>88.63</v>
      </c>
      <c r="DL106" s="13">
        <v>96.219999999999985</v>
      </c>
      <c r="DM106" s="13">
        <v>94.219999999999985</v>
      </c>
      <c r="DN106" s="13">
        <v>90.723333333333343</v>
      </c>
      <c r="DO106" s="13">
        <v>82.06</v>
      </c>
      <c r="DP106" s="13">
        <v>79.743333333333325</v>
      </c>
      <c r="DQ106" s="13">
        <v>80.651666666666657</v>
      </c>
      <c r="DR106" s="13">
        <v>77.275000000000006</v>
      </c>
      <c r="DS106" s="211"/>
      <c r="DT106" s="9" t="s">
        <v>440</v>
      </c>
    </row>
    <row r="107" spans="1:124" s="211" customFormat="1">
      <c r="A107" s="211" t="s">
        <v>441</v>
      </c>
      <c r="C107" s="211">
        <v>11927.186842651023</v>
      </c>
      <c r="D107" s="211">
        <v>15320.20668939606</v>
      </c>
      <c r="E107" s="211">
        <v>11687.182679275742</v>
      </c>
      <c r="F107" s="211">
        <v>11878.241414902222</v>
      </c>
      <c r="G107" s="211">
        <v>11405.221802973136</v>
      </c>
      <c r="H107" s="211">
        <v>11399.700849912229</v>
      </c>
      <c r="I107" s="211">
        <v>11887.839087349672</v>
      </c>
      <c r="J107" s="211">
        <v>12109.748528933511</v>
      </c>
      <c r="K107" s="211">
        <v>12838.195925565888</v>
      </c>
      <c r="L107" s="211">
        <v>12155.164473524072</v>
      </c>
      <c r="M107" s="211">
        <v>13631.08093098917</v>
      </c>
      <c r="N107" s="211">
        <v>12654.657228286324</v>
      </c>
      <c r="O107" s="211">
        <v>13534.190130373641</v>
      </c>
      <c r="P107" s="211">
        <v>11644.091280856324</v>
      </c>
      <c r="Q107" s="211">
        <v>13399.070789975089</v>
      </c>
      <c r="R107" s="211">
        <v>12444.986603397414</v>
      </c>
      <c r="S107" s="211">
        <v>12948.299003078091</v>
      </c>
      <c r="T107" s="211">
        <v>13836.09995614155</v>
      </c>
      <c r="U107" s="211">
        <v>12784.372571710615</v>
      </c>
      <c r="V107" s="211">
        <v>12250.358020664107</v>
      </c>
      <c r="W107" s="211">
        <v>12141.679308604793</v>
      </c>
      <c r="X107" s="211">
        <v>11720.700811935973</v>
      </c>
      <c r="Y107" s="211">
        <v>12289.178686982992</v>
      </c>
      <c r="Z107" s="211">
        <v>14158.910078418208</v>
      </c>
      <c r="AA107" s="211">
        <v>11717.046122826177</v>
      </c>
      <c r="AB107" s="211">
        <v>11735.980910175556</v>
      </c>
      <c r="AC107" s="211">
        <v>11986.589713121712</v>
      </c>
      <c r="AD107" s="211">
        <v>12201.355433983832</v>
      </c>
      <c r="AE107" s="211">
        <v>11436.24358033749</v>
      </c>
      <c r="AF107" s="211">
        <v>10744.261849789489</v>
      </c>
      <c r="AG107" s="211">
        <v>10368.436024350001</v>
      </c>
      <c r="AH107" s="211">
        <v>10576.891595849684</v>
      </c>
      <c r="AI107" s="211">
        <v>11043.580683156653</v>
      </c>
      <c r="AJ107" s="211">
        <v>11623.341773981672</v>
      </c>
      <c r="AK107" s="211">
        <v>12703.647407306471</v>
      </c>
      <c r="AL107" s="211">
        <v>13768.590745323458</v>
      </c>
      <c r="AM107" s="211">
        <v>15909.129847030799</v>
      </c>
      <c r="AN107" s="211">
        <v>17188.325888438048</v>
      </c>
      <c r="AO107" s="211">
        <v>16587.061411527415</v>
      </c>
      <c r="AP107" s="211">
        <v>15738.034508627155</v>
      </c>
      <c r="AQ107" s="211">
        <v>16412.588465592533</v>
      </c>
      <c r="AR107" s="211">
        <v>14123.467230443975</v>
      </c>
      <c r="AS107" s="211">
        <v>14324.178786564897</v>
      </c>
      <c r="AT107" s="211">
        <v>11580.207324524017</v>
      </c>
      <c r="AU107" s="211">
        <v>11530.091331949507</v>
      </c>
      <c r="AV107" s="211">
        <v>12149.274360746373</v>
      </c>
      <c r="AW107" s="211">
        <v>12343.232044198896</v>
      </c>
      <c r="AX107" s="211">
        <v>12366.458240285843</v>
      </c>
      <c r="AY107" s="211">
        <v>13406.192017626194</v>
      </c>
      <c r="AZ107" s="211">
        <v>12078.629122642682</v>
      </c>
      <c r="BA107" s="211">
        <v>12173.50626297529</v>
      </c>
      <c r="BB107" s="211">
        <v>13226.918235802705</v>
      </c>
      <c r="BC107" s="211">
        <v>17533.347918079322</v>
      </c>
      <c r="BD107" s="211">
        <v>14701.68248761201</v>
      </c>
      <c r="BE107" s="211">
        <v>21585.612159737451</v>
      </c>
      <c r="BF107" s="211">
        <v>14741.861103135891</v>
      </c>
      <c r="BG107" s="211">
        <v>13412.607980458928</v>
      </c>
      <c r="BH107" s="211">
        <v>13567.707345043422</v>
      </c>
      <c r="BI107" s="211">
        <v>16229.506605612341</v>
      </c>
      <c r="BJ107" s="211">
        <v>13619.647066656305</v>
      </c>
      <c r="BK107" s="211">
        <v>13533.653367363373</v>
      </c>
      <c r="BL107" s="211">
        <v>13226.795668105293</v>
      </c>
      <c r="BM107" s="211">
        <v>12394.24046496996</v>
      </c>
      <c r="BN107" s="211">
        <v>12103.578207932635</v>
      </c>
      <c r="BO107" s="211">
        <v>11440.091865588021</v>
      </c>
      <c r="BP107" s="211">
        <v>10734.251884434883</v>
      </c>
      <c r="BQ107" s="211">
        <v>43909.970978308411</v>
      </c>
      <c r="BR107" s="211">
        <v>11364.766464653765</v>
      </c>
      <c r="BS107" s="211">
        <v>12135.28012566753</v>
      </c>
      <c r="BT107" s="211">
        <v>12208.512942142905</v>
      </c>
      <c r="BU107" s="211">
        <v>19982.885524475412</v>
      </c>
      <c r="BV107" s="211">
        <v>12090.966574332086</v>
      </c>
      <c r="BW107" s="211">
        <v>11227.805457909499</v>
      </c>
      <c r="BX107" s="211">
        <v>17125.074903870602</v>
      </c>
      <c r="BY107" s="211">
        <v>12065.994352228236</v>
      </c>
      <c r="BZ107" s="211">
        <v>11767.458656086657</v>
      </c>
      <c r="CA107" s="211">
        <v>11215.108350845516</v>
      </c>
      <c r="CB107" s="211">
        <v>12072.59218021959</v>
      </c>
      <c r="CC107" s="211">
        <v>12209.609944594547</v>
      </c>
      <c r="CD107" s="211">
        <v>11847.552532514053</v>
      </c>
      <c r="CE107" s="211">
        <v>22122.995595345514</v>
      </c>
      <c r="CF107" s="211">
        <v>13074.051999854431</v>
      </c>
      <c r="CG107" s="211">
        <v>11703.805890063164</v>
      </c>
      <c r="CH107" s="211">
        <v>14546.067356404737</v>
      </c>
      <c r="CI107" s="211">
        <v>11438.184021726171</v>
      </c>
      <c r="CJ107" s="211">
        <v>13139.305617748831</v>
      </c>
      <c r="CK107" s="211">
        <v>12648.57452587349</v>
      </c>
      <c r="CL107" s="211">
        <v>14005.504355401266</v>
      </c>
      <c r="CM107" s="211">
        <v>12196.235955660812</v>
      </c>
      <c r="CN107" s="211">
        <v>15519.396504053939</v>
      </c>
      <c r="CO107" s="211">
        <v>16617.608117688444</v>
      </c>
      <c r="CP107" s="211">
        <v>12624.030371602956</v>
      </c>
      <c r="CQ107" s="211">
        <v>15317.801834816151</v>
      </c>
      <c r="CR107" s="211">
        <v>12466.956391690352</v>
      </c>
      <c r="CS107" s="211">
        <v>14041.226672368721</v>
      </c>
      <c r="CT107" s="211">
        <v>12636.151599297234</v>
      </c>
      <c r="CU107" s="211">
        <v>16173.233074976737</v>
      </c>
      <c r="CV107" s="211">
        <v>12559.33336472227</v>
      </c>
      <c r="CW107" s="211">
        <v>12900.120234587654</v>
      </c>
      <c r="CX107" s="211">
        <v>13037.196395432788</v>
      </c>
      <c r="CY107" s="211">
        <v>16531.201213800738</v>
      </c>
      <c r="CZ107" s="211">
        <v>16031.746583764691</v>
      </c>
      <c r="DA107" s="211">
        <v>13811.861176887542</v>
      </c>
      <c r="DB107" s="211">
        <v>11218.738985972681</v>
      </c>
      <c r="DC107" s="211">
        <v>11381.703245003488</v>
      </c>
      <c r="DD107" s="211">
        <v>12317.43765916242</v>
      </c>
      <c r="DE107" s="211">
        <v>14502.487932310954</v>
      </c>
      <c r="DF107" s="211">
        <v>14198.533650449606</v>
      </c>
      <c r="DS107" s="9"/>
      <c r="DT107" s="211">
        <v>13638.107061874996</v>
      </c>
    </row>
    <row r="108" spans="1:124" s="9" customFormat="1">
      <c r="A108" s="9" t="s">
        <v>442</v>
      </c>
      <c r="DG108" s="272"/>
      <c r="DH108" s="272"/>
      <c r="DI108" s="272"/>
      <c r="DJ108" s="272"/>
      <c r="DK108" s="272"/>
      <c r="DL108" s="272"/>
      <c r="DM108" s="272"/>
      <c r="DN108" s="272"/>
      <c r="DO108" s="272"/>
      <c r="DP108" s="272"/>
      <c r="DQ108" s="272"/>
      <c r="DR108" s="272"/>
    </row>
    <row r="109" spans="1:124" s="9" customFormat="1">
      <c r="A109" s="9" t="s">
        <v>41</v>
      </c>
      <c r="B109" s="9" t="s">
        <v>42</v>
      </c>
      <c r="BF109" s="12"/>
      <c r="BG109" s="12"/>
      <c r="BH109" s="12">
        <v>242</v>
      </c>
      <c r="BI109" s="12"/>
      <c r="BJ109" s="12">
        <v>7113</v>
      </c>
      <c r="BK109" s="12">
        <v>8773</v>
      </c>
      <c r="BL109" s="12">
        <v>3730</v>
      </c>
      <c r="BM109" s="12">
        <v>11274</v>
      </c>
      <c r="BN109" s="12">
        <v>5341</v>
      </c>
      <c r="BO109" s="12">
        <v>10932</v>
      </c>
      <c r="BP109" s="12">
        <v>14871</v>
      </c>
      <c r="BQ109" s="12">
        <v>11322</v>
      </c>
      <c r="BR109" s="12">
        <v>16293</v>
      </c>
      <c r="BS109" s="12">
        <v>14261</v>
      </c>
      <c r="BT109" s="12">
        <v>2116</v>
      </c>
      <c r="BU109" s="12">
        <v>4151</v>
      </c>
      <c r="BV109" s="12">
        <v>3908</v>
      </c>
      <c r="BW109" s="12">
        <v>3908</v>
      </c>
      <c r="BX109" s="12">
        <v>1256</v>
      </c>
      <c r="BY109" s="12">
        <v>6307</v>
      </c>
      <c r="BZ109" s="12">
        <v>1856</v>
      </c>
      <c r="CA109" s="12">
        <v>6201</v>
      </c>
      <c r="CB109" s="12">
        <v>19853</v>
      </c>
      <c r="CC109" s="12">
        <v>6217</v>
      </c>
      <c r="CD109" s="12">
        <v>2796</v>
      </c>
      <c r="CE109" s="12">
        <v>14809</v>
      </c>
      <c r="CF109" s="12">
        <v>2672</v>
      </c>
      <c r="CG109" s="12">
        <v>4250</v>
      </c>
      <c r="CH109" s="12">
        <v>3985</v>
      </c>
      <c r="CI109" s="12">
        <v>14656</v>
      </c>
      <c r="CJ109" s="12">
        <v>4774</v>
      </c>
      <c r="CK109" s="12">
        <v>3503</v>
      </c>
      <c r="CL109" s="12">
        <v>4571</v>
      </c>
      <c r="CM109" s="12">
        <v>10003</v>
      </c>
      <c r="CN109" s="12">
        <v>2584</v>
      </c>
      <c r="CO109" s="12">
        <v>3416</v>
      </c>
      <c r="CP109" s="12">
        <v>7261</v>
      </c>
      <c r="CQ109" s="12">
        <v>15920</v>
      </c>
      <c r="CR109" s="12">
        <v>11135</v>
      </c>
      <c r="CS109" s="12">
        <v>9508</v>
      </c>
      <c r="CT109" s="12">
        <v>10930</v>
      </c>
      <c r="CU109" s="12">
        <v>10053</v>
      </c>
      <c r="CV109" s="12">
        <v>6774</v>
      </c>
      <c r="CW109" s="12">
        <v>685</v>
      </c>
      <c r="CX109" s="12">
        <v>3704</v>
      </c>
      <c r="CY109" s="12">
        <v>15644</v>
      </c>
      <c r="CZ109" s="12">
        <v>6152</v>
      </c>
      <c r="DA109" s="12">
        <v>18318</v>
      </c>
      <c r="DB109" s="12">
        <v>1669</v>
      </c>
      <c r="DC109" s="12">
        <v>0</v>
      </c>
      <c r="DD109" s="12">
        <v>19980</v>
      </c>
      <c r="DE109" s="12">
        <v>10895</v>
      </c>
      <c r="DF109" s="12">
        <v>21897</v>
      </c>
      <c r="DG109" s="12">
        <v>15746</v>
      </c>
      <c r="DH109" s="12">
        <v>11367</v>
      </c>
      <c r="DI109" s="12">
        <v>7092</v>
      </c>
      <c r="DJ109" s="12">
        <v>5984</v>
      </c>
      <c r="DK109" s="12">
        <v>9588.36</v>
      </c>
      <c r="DL109" s="12">
        <v>2498</v>
      </c>
      <c r="DM109" s="12">
        <v>19670</v>
      </c>
      <c r="DN109" s="12">
        <v>37608</v>
      </c>
      <c r="DO109" s="12">
        <v>19953</v>
      </c>
      <c r="DP109" s="12">
        <v>14468</v>
      </c>
      <c r="DQ109" s="12">
        <v>9434</v>
      </c>
      <c r="DR109" s="12">
        <v>8316</v>
      </c>
    </row>
    <row r="110" spans="1:124" s="9" customFormat="1">
      <c r="A110" s="9" t="s">
        <v>5</v>
      </c>
      <c r="B110" s="9" t="s">
        <v>44</v>
      </c>
      <c r="BH110" s="13">
        <v>220.86363636363637</v>
      </c>
      <c r="BI110" s="13"/>
      <c r="BJ110" s="13">
        <v>231.21777027976944</v>
      </c>
      <c r="BK110" s="13">
        <v>224.21121623161974</v>
      </c>
      <c r="BL110" s="13">
        <v>168.170509383378</v>
      </c>
      <c r="BM110" s="13">
        <v>168.52040092247648</v>
      </c>
      <c r="BN110" s="13">
        <v>192.19865193783934</v>
      </c>
      <c r="BO110" s="13">
        <v>101.34193194291987</v>
      </c>
      <c r="BP110" s="13">
        <v>159.77372066438033</v>
      </c>
      <c r="BQ110" s="13">
        <v>175.86159689100865</v>
      </c>
      <c r="BR110" s="13">
        <v>196.69919597373104</v>
      </c>
      <c r="BS110" s="13">
        <v>260.0816212046841</v>
      </c>
      <c r="BT110" s="13">
        <v>559.21219281663514</v>
      </c>
      <c r="BU110" s="13">
        <v>390.83257046494822</v>
      </c>
      <c r="BV110" s="13">
        <v>551.36898669396112</v>
      </c>
      <c r="BW110" s="13">
        <v>240.54887410440122</v>
      </c>
      <c r="BX110" s="13">
        <v>242.80015923566879</v>
      </c>
      <c r="BY110" s="13">
        <v>249.18503250356747</v>
      </c>
      <c r="BZ110" s="13">
        <v>253.08243534482759</v>
      </c>
      <c r="CA110" s="13">
        <v>254.07256894049348</v>
      </c>
      <c r="CB110" s="13">
        <v>254.77726288218406</v>
      </c>
      <c r="CC110" s="13">
        <v>258.19704037317035</v>
      </c>
      <c r="CD110" s="13">
        <v>268.12160228898426</v>
      </c>
      <c r="CE110" s="13">
        <v>257.62846917415084</v>
      </c>
      <c r="CF110" s="13">
        <v>259.5183383233533</v>
      </c>
      <c r="CG110" s="13">
        <v>256.63788235294118</v>
      </c>
      <c r="CH110" s="13">
        <v>255.79397741530741</v>
      </c>
      <c r="CI110" s="13">
        <v>253.24931768558952</v>
      </c>
      <c r="CJ110" s="13">
        <v>250.10033514872225</v>
      </c>
      <c r="CK110" s="13">
        <v>238.58464173565514</v>
      </c>
      <c r="CL110" s="13">
        <v>229.20520673813169</v>
      </c>
      <c r="CM110" s="13">
        <v>217.77926622013396</v>
      </c>
      <c r="CN110" s="13">
        <v>209.62074303405572</v>
      </c>
      <c r="CO110" s="13">
        <v>197.77137002341919</v>
      </c>
      <c r="CP110" s="13">
        <v>120.24872607078915</v>
      </c>
      <c r="CQ110" s="13">
        <v>131.11312814070351</v>
      </c>
      <c r="CR110" s="13">
        <v>141.635922766053</v>
      </c>
      <c r="CS110" s="13">
        <v>172.99137568363483</v>
      </c>
      <c r="CT110" s="13">
        <v>148.53760292772188</v>
      </c>
      <c r="CU110" s="13">
        <v>164.48035412314732</v>
      </c>
      <c r="CV110" s="13">
        <v>184.06096840862119</v>
      </c>
      <c r="CW110" s="13">
        <v>197.98102189781022</v>
      </c>
      <c r="CX110" s="13">
        <v>194.46139308855291</v>
      </c>
      <c r="CY110" s="13">
        <v>195.61966249041166</v>
      </c>
      <c r="CZ110" s="13">
        <v>197.98358257477244</v>
      </c>
      <c r="DA110" s="13">
        <v>202.85762637842558</v>
      </c>
      <c r="DB110" s="13">
        <v>214.32714200119833</v>
      </c>
      <c r="DC110" s="13">
        <v>0</v>
      </c>
      <c r="DD110" s="13">
        <v>218.74034034034034</v>
      </c>
      <c r="DE110" s="13">
        <v>219.77953189536484</v>
      </c>
      <c r="DF110" s="13">
        <v>210.11074576425995</v>
      </c>
      <c r="DG110" s="13">
        <v>210.76527372030992</v>
      </c>
      <c r="DH110" s="13">
        <v>189.16811823700183</v>
      </c>
      <c r="DI110" s="13">
        <v>177.97010716300056</v>
      </c>
      <c r="DJ110" s="13">
        <v>174.57737299465239</v>
      </c>
      <c r="DK110" s="13">
        <v>172.03369502188067</v>
      </c>
      <c r="DL110" s="13">
        <v>77.72297838270616</v>
      </c>
      <c r="DM110" s="13">
        <v>104.58342653787494</v>
      </c>
      <c r="DN110" s="13">
        <v>110.76066262497341</v>
      </c>
      <c r="DO110" s="13">
        <v>128.35573597955195</v>
      </c>
      <c r="DP110" s="13">
        <v>155.03124136024329</v>
      </c>
      <c r="DQ110" s="13">
        <v>168.57525969896119</v>
      </c>
      <c r="DR110" s="13">
        <v>170.6036556036556</v>
      </c>
    </row>
    <row r="111" spans="1:124" s="9" customFormat="1">
      <c r="A111" s="9" t="s">
        <v>45</v>
      </c>
      <c r="B111" s="9" t="s">
        <v>44</v>
      </c>
      <c r="BH111" s="12">
        <v>53449</v>
      </c>
      <c r="BI111" s="12"/>
      <c r="BJ111" s="12">
        <v>1644652</v>
      </c>
      <c r="BK111" s="12">
        <v>1967005</v>
      </c>
      <c r="BL111" s="12">
        <v>627276</v>
      </c>
      <c r="BM111" s="12">
        <v>1899899</v>
      </c>
      <c r="BN111" s="12">
        <v>1026533</v>
      </c>
      <c r="BO111" s="12">
        <v>1107870</v>
      </c>
      <c r="BP111" s="12">
        <v>2375995</v>
      </c>
      <c r="BQ111" s="12">
        <v>1991105</v>
      </c>
      <c r="BR111" s="12">
        <v>3204820</v>
      </c>
      <c r="BS111" s="12">
        <v>3709024</v>
      </c>
      <c r="BT111" s="12">
        <v>1183293</v>
      </c>
      <c r="BU111" s="12">
        <v>1622346</v>
      </c>
      <c r="BV111" s="12">
        <v>2154750</v>
      </c>
      <c r="BW111" s="12">
        <v>940065</v>
      </c>
      <c r="BX111" s="12">
        <v>304957</v>
      </c>
      <c r="BY111" s="12">
        <v>1571610</v>
      </c>
      <c r="BZ111" s="12">
        <v>469721</v>
      </c>
      <c r="CA111" s="12">
        <v>1575504</v>
      </c>
      <c r="CB111" s="12">
        <v>5058093</v>
      </c>
      <c r="CC111" s="12">
        <v>1605211</v>
      </c>
      <c r="CD111" s="12">
        <v>749668</v>
      </c>
      <c r="CE111" s="12">
        <v>3815220</v>
      </c>
      <c r="CF111" s="12">
        <v>693433</v>
      </c>
      <c r="CG111" s="12">
        <v>1090711</v>
      </c>
      <c r="CH111" s="12">
        <v>1019339</v>
      </c>
      <c r="CI111" s="12">
        <v>3711622</v>
      </c>
      <c r="CJ111" s="12">
        <v>1193979</v>
      </c>
      <c r="CK111" s="12">
        <v>835762</v>
      </c>
      <c r="CL111" s="12">
        <v>1047697</v>
      </c>
      <c r="CM111" s="12">
        <v>2178446</v>
      </c>
      <c r="CN111" s="12">
        <v>541660</v>
      </c>
      <c r="CO111" s="12">
        <v>675587</v>
      </c>
      <c r="CP111" s="12">
        <v>873126</v>
      </c>
      <c r="CQ111" s="12">
        <v>2087321</v>
      </c>
      <c r="CR111" s="12">
        <v>1577116</v>
      </c>
      <c r="CS111" s="12">
        <v>1644802</v>
      </c>
      <c r="CT111" s="12">
        <v>1623516</v>
      </c>
      <c r="CU111" s="12">
        <v>1653521</v>
      </c>
      <c r="CV111" s="12">
        <v>1246829</v>
      </c>
      <c r="CW111" s="12">
        <v>135617</v>
      </c>
      <c r="CX111" s="12">
        <v>720285</v>
      </c>
      <c r="CY111" s="12">
        <v>3060274</v>
      </c>
      <c r="CZ111" s="12">
        <v>1217995</v>
      </c>
      <c r="DA111" s="12">
        <v>3715946</v>
      </c>
      <c r="DB111" s="12">
        <v>357712</v>
      </c>
      <c r="DC111" s="12">
        <v>8288</v>
      </c>
      <c r="DD111" s="12">
        <v>4370432</v>
      </c>
      <c r="DE111" s="12">
        <v>2394498</v>
      </c>
      <c r="DF111" s="12">
        <v>4600795</v>
      </c>
      <c r="DG111" s="12">
        <v>3318710</v>
      </c>
      <c r="DH111" s="12">
        <v>2150274</v>
      </c>
      <c r="DI111" s="12">
        <v>1262164</v>
      </c>
      <c r="DJ111" s="12">
        <v>1044671</v>
      </c>
      <c r="DK111" s="12">
        <v>1649521</v>
      </c>
      <c r="DL111" s="12">
        <v>194152</v>
      </c>
      <c r="DM111" s="12">
        <v>2057156</v>
      </c>
      <c r="DN111" s="12">
        <v>4165487</v>
      </c>
      <c r="DO111" s="12">
        <v>2561082</v>
      </c>
      <c r="DP111" s="12">
        <v>2242992</v>
      </c>
      <c r="DQ111" s="12">
        <v>1590339</v>
      </c>
      <c r="DR111" s="12">
        <v>1418740</v>
      </c>
    </row>
    <row r="112" spans="1:124" s="9" customFormat="1">
      <c r="A112" s="9" t="s">
        <v>46</v>
      </c>
      <c r="B112" s="9" t="s">
        <v>44</v>
      </c>
      <c r="BH112" s="9">
        <v>3.8530000000000002</v>
      </c>
      <c r="BJ112" s="9">
        <v>0.83599999999999997</v>
      </c>
      <c r="BK112" s="9">
        <v>0.76700000000000002</v>
      </c>
      <c r="BL112" s="9">
        <v>1.804</v>
      </c>
      <c r="BM112" s="9">
        <v>0.47799999999999998</v>
      </c>
      <c r="BN112" s="9">
        <v>0.73899999999999999</v>
      </c>
      <c r="BO112" s="9">
        <v>0.871</v>
      </c>
      <c r="BP112" s="14">
        <v>0.63</v>
      </c>
      <c r="BQ112" s="9">
        <v>0.39500000000000002</v>
      </c>
      <c r="BR112" s="9">
        <v>0.79900000000000004</v>
      </c>
      <c r="BS112" s="15">
        <v>1.1854</v>
      </c>
      <c r="BT112" s="15">
        <v>0.88727857142857136</v>
      </c>
      <c r="BU112" s="15">
        <v>0.56659999999999999</v>
      </c>
      <c r="BV112" s="15">
        <v>0.56548333333333334</v>
      </c>
      <c r="BW112" s="15">
        <v>0.72438400793993263</v>
      </c>
      <c r="BX112" s="15">
        <v>0.73989775840023675</v>
      </c>
      <c r="BY112" s="15">
        <v>0.72546214682067633</v>
      </c>
      <c r="BZ112" s="15">
        <v>0.81249318916562741</v>
      </c>
      <c r="CA112" s="15">
        <v>0.76765853777377158</v>
      </c>
      <c r="CB112" s="15">
        <v>0.73438182390492301</v>
      </c>
      <c r="CC112" s="15">
        <v>0.80484659534473746</v>
      </c>
      <c r="CD112" s="15">
        <v>0.9117819122088151</v>
      </c>
      <c r="CE112" s="15">
        <v>0.63411108154497453</v>
      </c>
      <c r="CF112" s="15">
        <v>0.87291804351794156</v>
      </c>
      <c r="CG112" s="15">
        <v>0.80490346347788289</v>
      </c>
      <c r="CH112" s="15">
        <v>0.78288201383374012</v>
      </c>
      <c r="CI112" s="15">
        <v>0.74547208131614928</v>
      </c>
      <c r="CJ112" s="15">
        <v>0.76069822366832462</v>
      </c>
      <c r="CK112" s="15">
        <v>0.72218660187027006</v>
      </c>
      <c r="CL112" s="15">
        <v>0.74118981220119218</v>
      </c>
      <c r="CM112" s="15">
        <v>0.56220137553711758</v>
      </c>
      <c r="CN112" s="15">
        <v>0.65749400661548263</v>
      </c>
      <c r="CO112" s="15">
        <v>0.62652042629433302</v>
      </c>
      <c r="CP112" s="15">
        <v>0.36810317206023713</v>
      </c>
      <c r="CQ112" s="15">
        <v>0.40031003434619017</v>
      </c>
      <c r="CR112" s="15">
        <v>0.42371273476109811</v>
      </c>
      <c r="CS112" s="15">
        <v>0.52669259992673445</v>
      </c>
      <c r="CT112" s="15">
        <v>0.4519036968893132</v>
      </c>
      <c r="CU112" s="15">
        <v>0.50881702390594186</v>
      </c>
      <c r="CV112" s="15">
        <v>0.5506443687676903</v>
      </c>
      <c r="CW112" s="15">
        <v>0.68763626775917497</v>
      </c>
      <c r="CX112" s="15">
        <v>0.57586359351802174</v>
      </c>
      <c r="CY112" s="15">
        <v>0.51779787759102058</v>
      </c>
      <c r="CZ112" s="15">
        <v>0.58909806201419157</v>
      </c>
      <c r="DA112" s="15">
        <v>0.57776169751216799</v>
      </c>
      <c r="DB112" s="15">
        <v>0.62207969726586276</v>
      </c>
      <c r="DC112" s="15">
        <v>0</v>
      </c>
      <c r="DD112" s="15">
        <v>0.61998415721130606</v>
      </c>
      <c r="DE112" s="15">
        <v>0.64013895130475373</v>
      </c>
      <c r="DF112" s="15">
        <v>0.59966627821088936</v>
      </c>
      <c r="DG112" s="15">
        <v>0.64039999999999997</v>
      </c>
      <c r="DH112" s="15">
        <v>0.59150000000000003</v>
      </c>
      <c r="DI112" s="15">
        <v>0.62439999999999996</v>
      </c>
      <c r="DJ112" s="15">
        <v>0.63229999999999997</v>
      </c>
      <c r="DK112" s="15">
        <v>0.47349999999999998</v>
      </c>
      <c r="DL112" s="15">
        <v>0.39179999999999998</v>
      </c>
      <c r="DM112" s="15">
        <v>0.32100000000000001</v>
      </c>
      <c r="DN112" s="15">
        <v>0.32050000000000001</v>
      </c>
      <c r="DO112" s="15">
        <v>0.3841</v>
      </c>
      <c r="DP112" s="15">
        <v>0.4844</v>
      </c>
      <c r="DQ112" s="15">
        <v>0.56030000000000002</v>
      </c>
      <c r="DR112" s="15">
        <v>0.58830000000000005</v>
      </c>
    </row>
    <row r="113" spans="1:124" s="9" customFormat="1">
      <c r="A113" s="9" t="s">
        <v>439</v>
      </c>
      <c r="B113" s="9" t="s">
        <v>44</v>
      </c>
      <c r="BH113" s="9">
        <v>221.52</v>
      </c>
      <c r="BJ113" s="9">
        <v>223.31</v>
      </c>
      <c r="BK113" s="9">
        <v>161.11000000000001</v>
      </c>
      <c r="BL113" s="9">
        <v>167.69</v>
      </c>
      <c r="BM113" s="9">
        <v>178.02</v>
      </c>
      <c r="BN113" s="9">
        <v>208.88</v>
      </c>
      <c r="BO113" s="9">
        <v>215.32</v>
      </c>
      <c r="BP113" s="13">
        <v>220.3</v>
      </c>
      <c r="BQ113" s="13">
        <v>224.95</v>
      </c>
      <c r="BR113" s="13">
        <v>223.3</v>
      </c>
      <c r="BS113" s="13">
        <v>230.03</v>
      </c>
      <c r="BT113" s="13">
        <v>233.23</v>
      </c>
      <c r="BU113" s="13">
        <v>235.84</v>
      </c>
      <c r="BV113" s="13">
        <v>237.91</v>
      </c>
      <c r="BW113" s="13">
        <v>238.92</v>
      </c>
      <c r="BX113" s="13">
        <v>243.94</v>
      </c>
      <c r="BY113" s="13">
        <v>246.88</v>
      </c>
      <c r="BZ113" s="13">
        <v>250.87</v>
      </c>
      <c r="CA113" s="13">
        <v>253.88</v>
      </c>
      <c r="CB113" s="13">
        <v>256.64</v>
      </c>
      <c r="CC113" s="13">
        <v>253.76</v>
      </c>
      <c r="CD113" s="13">
        <v>257.13</v>
      </c>
      <c r="CE113" s="13">
        <v>257.58999999999997</v>
      </c>
      <c r="CF113" s="13">
        <v>255.42</v>
      </c>
      <c r="CG113" s="13">
        <v>254.61</v>
      </c>
      <c r="CH113" s="13">
        <v>252.83</v>
      </c>
      <c r="CI113" s="13">
        <v>249.05</v>
      </c>
      <c r="CJ113" s="13">
        <v>236.85</v>
      </c>
      <c r="CK113" s="13">
        <v>224.45</v>
      </c>
      <c r="CL113" s="13">
        <v>217.13</v>
      </c>
      <c r="CM113" s="13">
        <v>208.18</v>
      </c>
      <c r="CN113" s="13">
        <v>196.21</v>
      </c>
      <c r="CO113" s="13">
        <v>119.43</v>
      </c>
      <c r="CP113" s="13">
        <v>130.80000000000001</v>
      </c>
      <c r="CQ113" s="13">
        <v>141.12</v>
      </c>
      <c r="CR113" s="13">
        <v>153.97</v>
      </c>
      <c r="CS113" s="13">
        <v>164.12</v>
      </c>
      <c r="CT113" s="13">
        <v>163.61000000000001</v>
      </c>
      <c r="CU113" s="13">
        <v>182.03</v>
      </c>
      <c r="CV113" s="13">
        <v>192.5</v>
      </c>
      <c r="CW113" s="13">
        <v>193.51</v>
      </c>
      <c r="CX113" s="13">
        <v>195.07</v>
      </c>
      <c r="CY113" s="13">
        <v>196.71</v>
      </c>
      <c r="CZ113" s="13">
        <v>202.41</v>
      </c>
      <c r="DA113" s="13">
        <v>209.8</v>
      </c>
      <c r="DB113" s="13">
        <v>214.76</v>
      </c>
      <c r="DC113" s="13">
        <v>217.52</v>
      </c>
      <c r="DD113" s="13">
        <v>218.83</v>
      </c>
      <c r="DE113" s="13">
        <v>210.29</v>
      </c>
      <c r="DF113" s="13">
        <v>209.38</v>
      </c>
      <c r="DG113" s="13">
        <v>185.88</v>
      </c>
      <c r="DH113" s="13">
        <v>171.79</v>
      </c>
      <c r="DI113" s="13">
        <v>171.59</v>
      </c>
      <c r="DJ113" s="13">
        <v>171.38</v>
      </c>
      <c r="DK113" s="13">
        <v>69.19</v>
      </c>
      <c r="DL113" s="13">
        <v>103.02</v>
      </c>
      <c r="DM113" s="13">
        <v>110.27</v>
      </c>
      <c r="DN113" s="13">
        <v>127.09</v>
      </c>
      <c r="DO113" s="13">
        <v>153.59</v>
      </c>
      <c r="DP113" s="13">
        <v>166.27</v>
      </c>
      <c r="DQ113" s="13">
        <v>167.05</v>
      </c>
      <c r="DR113" s="13">
        <v>161.56</v>
      </c>
    </row>
    <row r="114" spans="1:124" s="9" customFormat="1">
      <c r="DT114" s="9" t="s">
        <v>531</v>
      </c>
    </row>
    <row r="115" spans="1:124" s="211" customFormat="1">
      <c r="A115" s="211" t="s">
        <v>527</v>
      </c>
      <c r="C115" s="294">
        <f>C99-C8</f>
        <v>-7.8666666666666671</v>
      </c>
      <c r="D115" s="294">
        <f t="shared" ref="D115:BO115" si="0">D99-D8</f>
        <v>-3.5300000000000011</v>
      </c>
      <c r="E115" s="294">
        <f t="shared" si="0"/>
        <v>-3.6100000000000065</v>
      </c>
      <c r="F115" s="294">
        <f t="shared" si="0"/>
        <v>-10.730000000000004</v>
      </c>
      <c r="G115" s="294">
        <f t="shared" si="0"/>
        <v>-8.5300000000000011</v>
      </c>
      <c r="H115" s="294">
        <f t="shared" si="0"/>
        <v>-4.5600000000000023</v>
      </c>
      <c r="I115" s="294">
        <f t="shared" si="0"/>
        <v>-11.149999999999999</v>
      </c>
      <c r="J115" s="294">
        <f t="shared" si="0"/>
        <v>-10.973333333333336</v>
      </c>
      <c r="K115" s="294">
        <f t="shared" si="0"/>
        <v>-1.3100000000000023</v>
      </c>
      <c r="L115" s="294">
        <f t="shared" si="0"/>
        <v>-1.740000000000002</v>
      </c>
      <c r="M115" s="294">
        <f t="shared" si="0"/>
        <v>-5.7399999999999949</v>
      </c>
      <c r="N115" s="294">
        <f t="shared" si="0"/>
        <v>-10.909999999999997</v>
      </c>
      <c r="O115" s="294">
        <f t="shared" si="0"/>
        <v>-0.64666666666666828</v>
      </c>
      <c r="P115" s="294">
        <f t="shared" si="0"/>
        <v>-6.1699999999999946</v>
      </c>
      <c r="Q115" s="294">
        <f t="shared" si="0"/>
        <v>-8.4099999999999895</v>
      </c>
      <c r="R115" s="294">
        <f t="shared" si="0"/>
        <v>-12.313333333333325</v>
      </c>
      <c r="S115" s="294">
        <f t="shared" si="0"/>
        <v>-9.1333333333333329</v>
      </c>
      <c r="T115" s="294">
        <f t="shared" si="0"/>
        <v>-7.6566666666666592</v>
      </c>
      <c r="U115" s="294">
        <f t="shared" si="0"/>
        <v>-11.610000000000014</v>
      </c>
      <c r="V115" s="294">
        <f t="shared" si="0"/>
        <v>-24.71</v>
      </c>
      <c r="W115" s="294">
        <f t="shared" si="0"/>
        <v>-8.3133333333333326</v>
      </c>
      <c r="X115" s="294">
        <f t="shared" si="0"/>
        <v>-12.973333333333343</v>
      </c>
      <c r="Y115" s="294">
        <f t="shared" si="0"/>
        <v>-23.013333333333335</v>
      </c>
      <c r="Z115" s="294">
        <f t="shared" si="0"/>
        <v>-4.3599999999999994</v>
      </c>
      <c r="AA115" s="294">
        <f t="shared" si="0"/>
        <v>2.6233333333333206</v>
      </c>
      <c r="AB115" s="294">
        <f t="shared" si="0"/>
        <v>-7.0566666666666578</v>
      </c>
      <c r="AC115" s="294">
        <f t="shared" si="0"/>
        <v>-19.570000000000007</v>
      </c>
      <c r="AD115" s="294">
        <f t="shared" si="0"/>
        <v>-16.88666666666667</v>
      </c>
      <c r="AE115" s="294">
        <f t="shared" si="0"/>
        <v>-26.710000000000008</v>
      </c>
      <c r="AF115" s="294">
        <f t="shared" si="0"/>
        <v>-29.993333333333325</v>
      </c>
      <c r="AG115" s="294">
        <f t="shared" si="0"/>
        <v>-17.103333333333325</v>
      </c>
      <c r="AH115" s="294">
        <f t="shared" si="0"/>
        <v>12.836666666666659</v>
      </c>
      <c r="AI115" s="294">
        <f t="shared" si="0"/>
        <v>28.063333333333333</v>
      </c>
      <c r="AJ115" s="294">
        <f t="shared" si="0"/>
        <v>42.42</v>
      </c>
      <c r="AK115" s="294">
        <f t="shared" si="0"/>
        <v>40.793300000000002</v>
      </c>
      <c r="AL115" s="294">
        <f t="shared" si="0"/>
        <v>25.879999999999995</v>
      </c>
      <c r="AM115" s="294">
        <f t="shared" si="0"/>
        <v>0.88000000000000256</v>
      </c>
      <c r="AN115" s="294">
        <f t="shared" si="0"/>
        <v>4.9366666666666674</v>
      </c>
      <c r="AO115" s="294">
        <f t="shared" si="0"/>
        <v>-0.67666666666666231</v>
      </c>
      <c r="AP115" s="294">
        <f t="shared" si="0"/>
        <v>-4.7000000000000028</v>
      </c>
      <c r="AQ115" s="294">
        <f t="shared" si="0"/>
        <v>-10.079999999999998</v>
      </c>
      <c r="AR115" s="294">
        <f t="shared" si="0"/>
        <v>-12.369999999999997</v>
      </c>
      <c r="AS115" s="294">
        <f t="shared" si="0"/>
        <v>1.25</v>
      </c>
      <c r="AT115" s="294">
        <f t="shared" si="0"/>
        <v>-2.7600000000000051</v>
      </c>
      <c r="AU115" s="294">
        <f t="shared" si="0"/>
        <v>6.6099999999999994</v>
      </c>
      <c r="AV115" s="294">
        <f t="shared" si="0"/>
        <v>1.5900000000000034</v>
      </c>
      <c r="AW115" s="294">
        <f t="shared" si="0"/>
        <v>-2.3900000000000006</v>
      </c>
      <c r="AX115" s="294">
        <f t="shared" si="0"/>
        <v>4.9500000000000028</v>
      </c>
      <c r="AY115" s="294">
        <f t="shared" si="0"/>
        <v>3.6299999999999955</v>
      </c>
      <c r="AZ115" s="294">
        <f t="shared" si="0"/>
        <v>8.769999999999996</v>
      </c>
      <c r="BA115" s="294">
        <f t="shared" si="0"/>
        <v>0.79999999999999716</v>
      </c>
      <c r="BB115" s="294">
        <f t="shared" si="0"/>
        <v>-4.9199999999999875</v>
      </c>
      <c r="BC115" s="294">
        <f t="shared" si="0"/>
        <v>8.9770000000000039</v>
      </c>
      <c r="BD115" s="294">
        <f t="shared" si="0"/>
        <v>9.0229999999999961</v>
      </c>
      <c r="BE115" s="294">
        <f t="shared" si="0"/>
        <v>7.1733333333333462</v>
      </c>
      <c r="BF115" s="294">
        <f t="shared" si="0"/>
        <v>0.89999999999999147</v>
      </c>
      <c r="BG115" s="294">
        <f t="shared" si="0"/>
        <v>5.6400000000000006</v>
      </c>
      <c r="BH115" s="294">
        <f t="shared" si="0"/>
        <v>-1.2199999999999989</v>
      </c>
      <c r="BI115" s="294">
        <f t="shared" si="0"/>
        <v>-2.0300000000000011</v>
      </c>
      <c r="BJ115" s="294">
        <f t="shared" si="0"/>
        <v>-3.6430000000000007</v>
      </c>
      <c r="BK115" s="294">
        <f t="shared" si="0"/>
        <v>-4.3799999999999955</v>
      </c>
      <c r="BL115" s="294">
        <f t="shared" si="0"/>
        <v>-7.5</v>
      </c>
      <c r="BM115" s="294">
        <f t="shared" si="0"/>
        <v>-13.230000000000004</v>
      </c>
      <c r="BN115" s="294">
        <f t="shared" si="0"/>
        <v>-13.160000000000011</v>
      </c>
      <c r="BO115" s="294">
        <f t="shared" si="0"/>
        <v>4.480000000000004</v>
      </c>
      <c r="BP115" s="294">
        <f t="shared" ref="BP115:DR115" si="1">BP99-BP8</f>
        <v>7.8500000000000085</v>
      </c>
      <c r="BQ115" s="294">
        <f t="shared" si="1"/>
        <v>2.5300000000000011</v>
      </c>
      <c r="BR115" s="294">
        <f t="shared" si="1"/>
        <v>10.620000000000005</v>
      </c>
      <c r="BS115" s="294">
        <f t="shared" si="1"/>
        <v>10.086666666666673</v>
      </c>
      <c r="BT115" s="294">
        <f t="shared" si="1"/>
        <v>12.166666666666657</v>
      </c>
      <c r="BU115" s="294">
        <f t="shared" si="1"/>
        <v>6.2600000000000193</v>
      </c>
      <c r="BV115" s="294">
        <f t="shared" si="1"/>
        <v>15.276666666666657</v>
      </c>
      <c r="BW115" s="294">
        <f t="shared" si="1"/>
        <v>11.329999999999998</v>
      </c>
      <c r="BX115" s="294">
        <f t="shared" si="1"/>
        <v>4.9699999999999989</v>
      </c>
      <c r="BY115" s="294">
        <f t="shared" si="1"/>
        <v>2.0633333333333184</v>
      </c>
      <c r="BZ115" s="294">
        <f t="shared" si="1"/>
        <v>11.533333333333331</v>
      </c>
      <c r="CA115" s="294">
        <f t="shared" si="1"/>
        <v>27.199999999999989</v>
      </c>
      <c r="CB115" s="294">
        <f t="shared" si="1"/>
        <v>36.176666666666677</v>
      </c>
      <c r="CC115" s="294">
        <f t="shared" si="1"/>
        <v>21.84999999999998</v>
      </c>
      <c r="CD115" s="294">
        <f t="shared" si="1"/>
        <v>5.0799999999999983</v>
      </c>
      <c r="CE115" s="294">
        <f t="shared" si="1"/>
        <v>4.8133333333333326</v>
      </c>
      <c r="CF115" s="294">
        <f t="shared" si="1"/>
        <v>8.1033333333333388</v>
      </c>
      <c r="CG115" s="294">
        <f t="shared" si="1"/>
        <v>10.926666666666662</v>
      </c>
      <c r="CH115" s="294">
        <f t="shared" si="1"/>
        <v>11.006666666666675</v>
      </c>
      <c r="CI115" s="294">
        <f t="shared" si="1"/>
        <v>3.5</v>
      </c>
      <c r="CJ115" s="294">
        <f t="shared" si="1"/>
        <v>-0.31666666666666288</v>
      </c>
      <c r="CK115" s="294">
        <f t="shared" si="1"/>
        <v>11.173333333333332</v>
      </c>
      <c r="CL115" s="294">
        <f t="shared" si="1"/>
        <v>15.026666666666685</v>
      </c>
      <c r="CM115" s="294">
        <f t="shared" si="1"/>
        <v>14.283333333333317</v>
      </c>
      <c r="CN115" s="294">
        <f t="shared" si="1"/>
        <v>8.39</v>
      </c>
      <c r="CO115" s="294">
        <f t="shared" si="1"/>
        <v>6.4399999999999977</v>
      </c>
      <c r="CP115" s="294">
        <f t="shared" si="1"/>
        <v>-0.60333333333333883</v>
      </c>
      <c r="CQ115" s="294">
        <f t="shared" si="1"/>
        <v>3.9866666666666646</v>
      </c>
      <c r="CR115" s="294">
        <f t="shared" si="1"/>
        <v>7.3833333333333258</v>
      </c>
      <c r="CS115" s="294">
        <f t="shared" si="1"/>
        <v>8.5266666666666566</v>
      </c>
      <c r="CT115" s="294">
        <f t="shared" si="1"/>
        <v>4.0033333333333161</v>
      </c>
      <c r="CU115" s="294">
        <f t="shared" si="1"/>
        <v>5.9366666666666674</v>
      </c>
      <c r="CV115" s="294">
        <f t="shared" si="1"/>
        <v>6.5733333333333093</v>
      </c>
      <c r="CW115" s="294">
        <f t="shared" si="1"/>
        <v>5.539999999999992</v>
      </c>
      <c r="CX115" s="294">
        <f t="shared" si="1"/>
        <v>6.7066666666666492</v>
      </c>
      <c r="CY115" s="294">
        <f t="shared" si="1"/>
        <v>3.0799999999999983</v>
      </c>
      <c r="CZ115" s="294">
        <f t="shared" si="1"/>
        <v>-2.1966666666666583</v>
      </c>
      <c r="DA115" s="294">
        <f t="shared" si="1"/>
        <v>6.2800000000000011</v>
      </c>
      <c r="DB115" s="294">
        <f t="shared" si="1"/>
        <v>8.4966666666666697</v>
      </c>
      <c r="DC115" s="294">
        <f t="shared" si="1"/>
        <v>10.063333333333347</v>
      </c>
      <c r="DD115" s="294">
        <f t="shared" si="1"/>
        <v>14.806666666666658</v>
      </c>
      <c r="DE115" s="294">
        <f t="shared" si="1"/>
        <v>17.420000000000002</v>
      </c>
      <c r="DF115" s="294">
        <f t="shared" si="1"/>
        <v>23.61666666666666</v>
      </c>
      <c r="DG115" s="294">
        <f t="shared" si="1"/>
        <v>27.016666666666673</v>
      </c>
      <c r="DH115" s="294">
        <f t="shared" si="1"/>
        <v>6.5166666666666586</v>
      </c>
      <c r="DI115" s="294">
        <f t="shared" si="1"/>
        <v>9.0866666666666589</v>
      </c>
      <c r="DJ115" s="294">
        <f t="shared" si="1"/>
        <v>-1.1866666666666674</v>
      </c>
      <c r="DK115" s="294">
        <f t="shared" si="1"/>
        <v>-3.8800000000000026</v>
      </c>
      <c r="DL115" s="294">
        <f t="shared" si="1"/>
        <v>0.8300000000000054</v>
      </c>
      <c r="DM115" s="294">
        <f t="shared" si="1"/>
        <v>8.0633333333333326</v>
      </c>
      <c r="DN115" s="294">
        <f t="shared" si="1"/>
        <v>17.239999999999995</v>
      </c>
      <c r="DO115" s="294">
        <f t="shared" si="1"/>
        <v>8.9200000000000017</v>
      </c>
      <c r="DP115" s="294">
        <f t="shared" si="1"/>
        <v>1.210000000000008</v>
      </c>
      <c r="DQ115" s="294">
        <f t="shared" si="1"/>
        <v>2.9966666666666697</v>
      </c>
      <c r="DR115" s="294">
        <f t="shared" si="1"/>
        <v>7.9966666666666697</v>
      </c>
      <c r="DT115" s="294">
        <f>AVERAGE(BK115:DR115)</f>
        <v>7.6496666666666666</v>
      </c>
    </row>
    <row r="116" spans="1:124" s="9" customFormat="1">
      <c r="A116" s="9" t="s">
        <v>528</v>
      </c>
      <c r="C116" s="17">
        <f>C96-C8</f>
        <v>-5.9080000000000084</v>
      </c>
      <c r="D116" s="17">
        <f t="shared" ref="D116:BO116" si="2">D96-D8</f>
        <v>-4.8910000000000053</v>
      </c>
      <c r="E116" s="17">
        <f t="shared" si="2"/>
        <v>-4.8986666666666636</v>
      </c>
      <c r="F116" s="17">
        <f t="shared" si="2"/>
        <v>-11.325000000000003</v>
      </c>
      <c r="G116" s="17">
        <f t="shared" si="2"/>
        <v>-9.5616666666666674</v>
      </c>
      <c r="H116" s="17">
        <f t="shared" si="2"/>
        <v>-6.8966666666666683</v>
      </c>
      <c r="I116" s="17">
        <f t="shared" si="2"/>
        <v>-9.1570000000000107</v>
      </c>
      <c r="J116" s="17">
        <f t="shared" si="2"/>
        <v>-10.224666666666671</v>
      </c>
      <c r="K116" s="17">
        <f t="shared" si="2"/>
        <v>0.83633333333333582</v>
      </c>
      <c r="L116" s="17">
        <f t="shared" si="2"/>
        <v>3.4100000000000037</v>
      </c>
      <c r="M116" s="17">
        <f t="shared" si="2"/>
        <v>-2.569666666666663</v>
      </c>
      <c r="N116" s="17">
        <f t="shared" si="2"/>
        <v>-8.960333333333331</v>
      </c>
      <c r="O116" s="17">
        <f t="shared" si="2"/>
        <v>-1.7100000000000009</v>
      </c>
      <c r="P116" s="17">
        <f t="shared" si="2"/>
        <v>-3.8660000000000068</v>
      </c>
      <c r="Q116" s="17">
        <f t="shared" si="2"/>
        <v>-10.066999999999993</v>
      </c>
      <c r="R116" s="17">
        <f t="shared" si="2"/>
        <v>-12.982666666666667</v>
      </c>
      <c r="S116" s="17">
        <f t="shared" si="2"/>
        <v>-11.348333333333322</v>
      </c>
      <c r="T116" s="17">
        <f t="shared" si="2"/>
        <v>-12.247</v>
      </c>
      <c r="U116" s="17">
        <f t="shared" si="2"/>
        <v>-12.619666666666674</v>
      </c>
      <c r="V116" s="17">
        <f t="shared" si="2"/>
        <v>-4.8416666666666686</v>
      </c>
      <c r="W116" s="17">
        <f t="shared" si="2"/>
        <v>-8.4646666666666732</v>
      </c>
      <c r="X116" s="17">
        <f t="shared" si="2"/>
        <v>-13.792666666666676</v>
      </c>
      <c r="Y116" s="17">
        <f t="shared" si="2"/>
        <v>-22.742666666666665</v>
      </c>
      <c r="Z116" s="17">
        <f t="shared" si="2"/>
        <v>-19.867000000000004</v>
      </c>
      <c r="AA116" s="17">
        <f t="shared" si="2"/>
        <v>-9.8800000000000097</v>
      </c>
      <c r="AB116" s="17">
        <f t="shared" si="2"/>
        <v>-2.9099999999999966</v>
      </c>
      <c r="AC116" s="17">
        <f t="shared" si="2"/>
        <v>-11.950000000000003</v>
      </c>
      <c r="AD116" s="17">
        <f t="shared" si="2"/>
        <v>-18.679999999999993</v>
      </c>
      <c r="AE116" s="17">
        <f t="shared" si="2"/>
        <v>-24.33</v>
      </c>
      <c r="AF116" s="17">
        <f t="shared" si="2"/>
        <v>-27.419999999999987</v>
      </c>
      <c r="AG116" s="17">
        <f t="shared" si="2"/>
        <v>-15.679000000000002</v>
      </c>
      <c r="AH116" s="17">
        <f t="shared" si="2"/>
        <v>14.436000000000007</v>
      </c>
      <c r="AI116" s="17">
        <f t="shared" si="2"/>
        <v>41.484999999999999</v>
      </c>
      <c r="AJ116" s="17">
        <f t="shared" si="2"/>
        <v>61.684320199999988</v>
      </c>
      <c r="AK116" s="17">
        <f t="shared" si="2"/>
        <v>72.570629299999993</v>
      </c>
      <c r="AL116" s="17">
        <f t="shared" si="2"/>
        <v>61.520715100000004</v>
      </c>
      <c r="AM116" s="17">
        <f t="shared" si="2"/>
        <v>27.689999999999998</v>
      </c>
      <c r="AN116" s="17">
        <f t="shared" si="2"/>
        <v>6.07</v>
      </c>
      <c r="AO116" s="17">
        <f t="shared" si="2"/>
        <v>1.0399999999999991</v>
      </c>
      <c r="AP116" s="17">
        <f t="shared" si="2"/>
        <v>-3.9399999999999977</v>
      </c>
      <c r="AQ116" s="17">
        <f t="shared" si="2"/>
        <v>-11.769999999999996</v>
      </c>
      <c r="AR116" s="17">
        <f t="shared" si="2"/>
        <v>-20.619999999999997</v>
      </c>
      <c r="AS116" s="17">
        <f t="shared" si="2"/>
        <v>-11.030000000000001</v>
      </c>
      <c r="AT116" s="17">
        <f t="shared" si="2"/>
        <v>-7.1099999999999994</v>
      </c>
      <c r="AU116" s="17">
        <f t="shared" si="2"/>
        <v>4.1199999999999903</v>
      </c>
      <c r="AV116" s="17">
        <f t="shared" si="2"/>
        <v>3.1899999999999977</v>
      </c>
      <c r="AW116" s="17">
        <f t="shared" si="2"/>
        <v>-2.7800000000000011</v>
      </c>
      <c r="AX116" s="17">
        <f t="shared" si="2"/>
        <v>-0.3399999999999892</v>
      </c>
      <c r="AY116" s="17">
        <f t="shared" si="2"/>
        <v>-2.2269019999995976E-2</v>
      </c>
      <c r="AZ116" s="17">
        <f t="shared" si="2"/>
        <v>2.2755440499999935</v>
      </c>
      <c r="BA116" s="17">
        <f t="shared" si="2"/>
        <v>5.5788912800000077</v>
      </c>
      <c r="BB116" s="17">
        <f t="shared" si="2"/>
        <v>-3.3952641399999948</v>
      </c>
      <c r="BC116" s="17">
        <f t="shared" si="2"/>
        <v>7.182911070000003</v>
      </c>
      <c r="BD116" s="17">
        <f t="shared" si="2"/>
        <v>12.67923347</v>
      </c>
      <c r="BE116" s="17">
        <f t="shared" si="2"/>
        <v>13.979255656339106</v>
      </c>
      <c r="BF116" s="17">
        <f t="shared" si="2"/>
        <v>9.9868470894305119</v>
      </c>
      <c r="BG116" s="17">
        <f t="shared" si="2"/>
        <v>7.7735361375491863</v>
      </c>
      <c r="BH116" s="17">
        <f t="shared" si="2"/>
        <v>4.4566767582352469</v>
      </c>
      <c r="BI116" s="17">
        <f t="shared" si="2"/>
        <v>3.1616747528257889</v>
      </c>
      <c r="BJ116" s="17">
        <f t="shared" si="2"/>
        <v>-1.4162682503027639</v>
      </c>
      <c r="BK116" s="17">
        <f t="shared" si="2"/>
        <v>-1.4940146960587839</v>
      </c>
      <c r="BL116" s="17">
        <f t="shared" si="2"/>
        <v>-2.1712017610853991</v>
      </c>
      <c r="BM116" s="17">
        <f t="shared" si="2"/>
        <v>-20.385451186233865</v>
      </c>
      <c r="BN116" s="17">
        <f t="shared" si="2"/>
        <v>-9.9484834194609988</v>
      </c>
      <c r="BO116" s="17">
        <f t="shared" si="2"/>
        <v>5.4445875409760873</v>
      </c>
      <c r="BP116" s="17">
        <f t="shared" ref="BP116:DR116" si="3">BP96-BP8</f>
        <v>13.439010326207097</v>
      </c>
      <c r="BQ116" s="17">
        <f t="shared" si="3"/>
        <v>16.365590917572433</v>
      </c>
      <c r="BR116" s="17">
        <f t="shared" si="3"/>
        <v>19.447744670473952</v>
      </c>
      <c r="BS116" s="17">
        <f t="shared" si="3"/>
        <v>20.55971831554892</v>
      </c>
      <c r="BT116" s="17">
        <f t="shared" si="3"/>
        <v>22.655167677426121</v>
      </c>
      <c r="BU116" s="17">
        <f t="shared" si="3"/>
        <v>21.830439503619445</v>
      </c>
      <c r="BV116" s="17">
        <f t="shared" si="3"/>
        <v>21.830386752025163</v>
      </c>
      <c r="BW116" s="17">
        <f t="shared" si="3"/>
        <v>21.293374359567878</v>
      </c>
      <c r="BX116" s="17">
        <f t="shared" si="3"/>
        <v>12.09988783721802</v>
      </c>
      <c r="BY116" s="17">
        <f t="shared" si="3"/>
        <v>7.743783740329647</v>
      </c>
      <c r="BZ116" s="17">
        <f t="shared" si="3"/>
        <v>18.964279596633759</v>
      </c>
      <c r="CA116" s="17">
        <f t="shared" si="3"/>
        <v>32.975786745067722</v>
      </c>
      <c r="CB116" s="17">
        <f t="shared" si="3"/>
        <v>50.84830379435698</v>
      </c>
      <c r="CC116" s="17">
        <f t="shared" si="3"/>
        <v>44.092929779098171</v>
      </c>
      <c r="CD116" s="17">
        <f t="shared" si="3"/>
        <v>24.570743250860133</v>
      </c>
      <c r="CE116" s="17">
        <f t="shared" si="3"/>
        <v>18.604531777220743</v>
      </c>
      <c r="CF116" s="17">
        <f t="shared" si="3"/>
        <v>19.201715566175054</v>
      </c>
      <c r="CG116" s="17">
        <f t="shared" si="3"/>
        <v>16.397952189950274</v>
      </c>
      <c r="CH116" s="17">
        <f t="shared" si="3"/>
        <v>17.906882751710938</v>
      </c>
      <c r="CI116" s="17">
        <f t="shared" si="3"/>
        <v>15.244854090033286</v>
      </c>
      <c r="CJ116" s="17">
        <f t="shared" si="3"/>
        <v>9.9128190000647578</v>
      </c>
      <c r="CK116" s="17">
        <f t="shared" si="3"/>
        <v>17.28190719515645</v>
      </c>
      <c r="CL116" s="17">
        <f t="shared" si="3"/>
        <v>27.110553463489907</v>
      </c>
      <c r="CM116" s="17">
        <f t="shared" si="3"/>
        <v>25.968086720612575</v>
      </c>
      <c r="CN116" s="17">
        <f t="shared" si="3"/>
        <v>24.503820061723502</v>
      </c>
      <c r="CO116" s="17">
        <f t="shared" si="3"/>
        <v>17.250450620842642</v>
      </c>
      <c r="CP116" s="17">
        <f t="shared" si="3"/>
        <v>19.199705243015046</v>
      </c>
      <c r="CQ116" s="17">
        <f t="shared" si="3"/>
        <v>7.6328742606224154</v>
      </c>
      <c r="CR116" s="17">
        <f t="shared" si="3"/>
        <v>18.676142596459087</v>
      </c>
      <c r="CS116" s="17">
        <f t="shared" si="3"/>
        <v>24.802844712521321</v>
      </c>
      <c r="CT116" s="17">
        <f t="shared" si="3"/>
        <v>22.721338061515482</v>
      </c>
      <c r="CU116" s="17">
        <f t="shared" si="3"/>
        <v>22.119300399701245</v>
      </c>
      <c r="CV116" s="17">
        <f t="shared" si="3"/>
        <v>18.642868904996888</v>
      </c>
      <c r="CW116" s="17">
        <f t="shared" si="3"/>
        <v>21.867564031787069</v>
      </c>
      <c r="CX116" s="17">
        <f t="shared" si="3"/>
        <v>20.017497454705435</v>
      </c>
      <c r="CY116" s="17">
        <f t="shared" si="3"/>
        <v>21.251066302572994</v>
      </c>
      <c r="CZ116" s="17">
        <f t="shared" si="3"/>
        <v>17.671722332687338</v>
      </c>
      <c r="DA116" s="17">
        <f t="shared" si="3"/>
        <v>21.704343602152491</v>
      </c>
      <c r="DB116" s="17">
        <f t="shared" si="3"/>
        <v>30.418609190345009</v>
      </c>
      <c r="DC116" s="17">
        <f t="shared" si="3"/>
        <v>34.029741559092571</v>
      </c>
      <c r="DD116" s="17">
        <f t="shared" si="3"/>
        <v>38.253448226412772</v>
      </c>
      <c r="DE116" s="17">
        <f t="shared" si="3"/>
        <v>34.125793638697729</v>
      </c>
      <c r="DF116" s="17">
        <f t="shared" si="3"/>
        <v>45.882026393090442</v>
      </c>
      <c r="DG116" s="17">
        <f t="shared" si="3"/>
        <v>43.914528358842297</v>
      </c>
      <c r="DH116" s="17">
        <f t="shared" si="3"/>
        <v>19.016577947441611</v>
      </c>
      <c r="DI116" s="17">
        <f t="shared" si="3"/>
        <v>9.9439571728775036</v>
      </c>
      <c r="DJ116" s="17">
        <f t="shared" si="3"/>
        <v>5.7974249234485953</v>
      </c>
      <c r="DK116" s="17">
        <f t="shared" si="3"/>
        <v>-2.3831786186634005</v>
      </c>
      <c r="DL116" s="17">
        <f t="shared" si="3"/>
        <v>5.0549857116038552</v>
      </c>
      <c r="DM116" s="17">
        <f t="shared" si="3"/>
        <v>18.601116446618519</v>
      </c>
      <c r="DN116" s="17">
        <f t="shared" si="3"/>
        <v>33.111995358319966</v>
      </c>
      <c r="DO116" s="17">
        <f t="shared" si="3"/>
        <v>27.621396768744141</v>
      </c>
      <c r="DP116" s="17">
        <f t="shared" si="3"/>
        <v>12.974859654906389</v>
      </c>
      <c r="DQ116" s="17">
        <f t="shared" si="3"/>
        <v>6.8154658821774845</v>
      </c>
      <c r="DR116" s="17">
        <f t="shared" si="3"/>
        <v>14.256687083382587</v>
      </c>
      <c r="DT116" s="294">
        <f>AVERAGE(BK116:DR116)</f>
        <v>19.05481434635329</v>
      </c>
    </row>
    <row r="117" spans="1:124" s="9" customFormat="1">
      <c r="A117" s="9" t="s">
        <v>529</v>
      </c>
      <c r="C117" s="13">
        <f>C99-C6</f>
        <v>-10.414166666666659</v>
      </c>
      <c r="D117" s="13">
        <f t="shared" ref="D117:BO117" si="4">D99-D6</f>
        <v>-5.2457894736842192</v>
      </c>
      <c r="E117" s="13">
        <f t="shared" si="4"/>
        <v>-4.5160869565217538</v>
      </c>
      <c r="F117" s="13">
        <f t="shared" si="4"/>
        <v>-10.631052631578939</v>
      </c>
      <c r="G117" s="13">
        <f t="shared" si="4"/>
        <v>-9.7109090909090696</v>
      </c>
      <c r="H117" s="13">
        <f t="shared" si="4"/>
        <v>-6.9695454545454538</v>
      </c>
      <c r="I117" s="13">
        <f t="shared" si="4"/>
        <v>-11.943157894736835</v>
      </c>
      <c r="J117" s="13">
        <f t="shared" si="4"/>
        <v>-10.826811594202901</v>
      </c>
      <c r="K117" s="13">
        <f t="shared" si="4"/>
        <v>-3.2450000000000045</v>
      </c>
      <c r="L117" s="13">
        <f t="shared" si="4"/>
        <v>-3.0668181818181779</v>
      </c>
      <c r="M117" s="13">
        <f t="shared" si="4"/>
        <v>-6.3830000000000027</v>
      </c>
      <c r="N117" s="13">
        <f t="shared" si="4"/>
        <v>-10.526499999999984</v>
      </c>
      <c r="O117" s="13">
        <f t="shared" si="4"/>
        <v>-1.6390476190476235</v>
      </c>
      <c r="P117" s="13">
        <f t="shared" si="4"/>
        <v>-7.9978947368420918</v>
      </c>
      <c r="Q117" s="13">
        <f t="shared" si="4"/>
        <v>-7.1004545454545394</v>
      </c>
      <c r="R117" s="13">
        <f t="shared" si="4"/>
        <v>-8.859333333333332</v>
      </c>
      <c r="S117" s="13">
        <f t="shared" si="4"/>
        <v>-5.4542424242424303</v>
      </c>
      <c r="T117" s="13">
        <f t="shared" si="4"/>
        <v>-4.1361904761904711</v>
      </c>
      <c r="U117" s="13">
        <f t="shared" si="4"/>
        <v>-8.8304761904762046</v>
      </c>
      <c r="V117" s="13">
        <f t="shared" si="4"/>
        <v>-26.308695652173903</v>
      </c>
      <c r="W117" s="13">
        <f t="shared" si="4"/>
        <v>-10.76964912280701</v>
      </c>
      <c r="X117" s="13">
        <f t="shared" si="4"/>
        <v>-16.291594202898537</v>
      </c>
      <c r="Y117" s="13">
        <f t="shared" si="4"/>
        <v>-25.234761904761911</v>
      </c>
      <c r="Z117" s="13">
        <f t="shared" si="4"/>
        <v>-5.1724999999999852</v>
      </c>
      <c r="AA117" s="13">
        <f t="shared" si="4"/>
        <v>1.8742857142857048</v>
      </c>
      <c r="AB117" s="13">
        <f t="shared" si="4"/>
        <v>-7.4156666666666524</v>
      </c>
      <c r="AC117" s="13">
        <f t="shared" si="4"/>
        <v>-21.350000000000009</v>
      </c>
      <c r="AD117" s="13">
        <f t="shared" si="4"/>
        <v>-20.27939393939397</v>
      </c>
      <c r="AE117" s="13">
        <f t="shared" si="4"/>
        <v>-29.333809523809521</v>
      </c>
      <c r="AF117" s="13">
        <f t="shared" si="4"/>
        <v>-31.689047619047628</v>
      </c>
      <c r="AG117" s="13">
        <f t="shared" si="4"/>
        <v>-17.867878787878766</v>
      </c>
      <c r="AH117" s="13">
        <f t="shared" si="4"/>
        <v>9.3885714285713959</v>
      </c>
      <c r="AI117" s="13">
        <f t="shared" si="4"/>
        <v>21.529523809523795</v>
      </c>
      <c r="AJ117" s="13">
        <f t="shared" si="4"/>
        <v>37.276086956521738</v>
      </c>
      <c r="AK117" s="13">
        <f t="shared" si="4"/>
        <v>35.80224736842105</v>
      </c>
      <c r="AL117" s="13">
        <f t="shared" si="4"/>
        <v>23.78772727272726</v>
      </c>
      <c r="AM117" s="13">
        <f t="shared" si="4"/>
        <v>2.3960000000000008</v>
      </c>
      <c r="AN117" s="13">
        <f t="shared" si="4"/>
        <v>8.9982456140350848</v>
      </c>
      <c r="AO117" s="13">
        <f t="shared" si="4"/>
        <v>-2.1984848484848385</v>
      </c>
      <c r="AP117" s="13">
        <f t="shared" si="4"/>
        <v>-4.4695238095238139</v>
      </c>
      <c r="AQ117" s="13">
        <f t="shared" si="4"/>
        <v>-11.993000000000002</v>
      </c>
      <c r="AR117" s="13">
        <f t="shared" si="4"/>
        <v>-13.455454545454522</v>
      </c>
      <c r="AS117" s="13">
        <f t="shared" si="4"/>
        <v>1.3969999999999914</v>
      </c>
      <c r="AT117" s="13">
        <f t="shared" si="4"/>
        <v>-1.3889999999999958</v>
      </c>
      <c r="AU117" s="13">
        <f t="shared" si="4"/>
        <v>4.7900000000000063</v>
      </c>
      <c r="AV117" s="13">
        <f t="shared" si="4"/>
        <v>-1.4599999999999937</v>
      </c>
      <c r="AW117" s="13">
        <f t="shared" si="4"/>
        <v>-3.8800000000000097</v>
      </c>
      <c r="AX117" s="13">
        <f t="shared" si="4"/>
        <v>4.8100000000000023</v>
      </c>
      <c r="AY117" s="13">
        <f t="shared" si="4"/>
        <v>1.3999999999999915</v>
      </c>
      <c r="AZ117" s="13">
        <f t="shared" si="4"/>
        <v>6.0699999999999932</v>
      </c>
      <c r="BA117" s="13">
        <f t="shared" si="4"/>
        <v>-1.6600000000000108</v>
      </c>
      <c r="BB117" s="13">
        <f t="shared" si="4"/>
        <v>-4.6799999999999926</v>
      </c>
      <c r="BC117" s="13">
        <f t="shared" si="4"/>
        <v>10.807000000000002</v>
      </c>
      <c r="BD117" s="13">
        <f t="shared" si="4"/>
        <v>8.3829999999999956</v>
      </c>
      <c r="BE117" s="13">
        <f t="shared" si="4"/>
        <v>6.3733333333333491</v>
      </c>
      <c r="BF117" s="13">
        <f t="shared" si="4"/>
        <v>1.269999999999996</v>
      </c>
      <c r="BG117" s="13">
        <f t="shared" si="4"/>
        <v>7.9300000000000068</v>
      </c>
      <c r="BH117" s="13">
        <f t="shared" si="4"/>
        <v>-0.51999999999999602</v>
      </c>
      <c r="BI117" s="13">
        <f t="shared" si="4"/>
        <v>-1.0600000000000023</v>
      </c>
      <c r="BJ117" s="13">
        <f t="shared" si="4"/>
        <v>-1.4230000000000018</v>
      </c>
      <c r="BK117" s="13">
        <f t="shared" si="4"/>
        <v>2.5600000000000023</v>
      </c>
      <c r="BL117" s="13">
        <f t="shared" si="4"/>
        <v>6.480000000000004</v>
      </c>
      <c r="BM117" s="13">
        <f t="shared" si="4"/>
        <v>-1.5700000000000074</v>
      </c>
      <c r="BN117" s="13">
        <f t="shared" si="4"/>
        <v>5.9999999999988063E-2</v>
      </c>
      <c r="BO117" s="13">
        <f t="shared" si="4"/>
        <v>18.11</v>
      </c>
      <c r="BP117" s="13">
        <f t="shared" ref="BP117:DR117" si="5">BP99-BP6</f>
        <v>25.39</v>
      </c>
      <c r="BQ117" s="13">
        <f t="shared" si="5"/>
        <v>22.159999999999997</v>
      </c>
      <c r="BR117" s="13">
        <f t="shared" si="5"/>
        <v>34.5</v>
      </c>
      <c r="BS117" s="13">
        <f t="shared" si="5"/>
        <v>37.306666666666672</v>
      </c>
      <c r="BT117" s="13">
        <f t="shared" si="5"/>
        <v>35.286666666666648</v>
      </c>
      <c r="BU117" s="13">
        <f t="shared" si="5"/>
        <v>19.870000000000019</v>
      </c>
      <c r="BV117" s="13">
        <f t="shared" si="5"/>
        <v>24.566666666666663</v>
      </c>
      <c r="BW117" s="13">
        <f t="shared" si="5"/>
        <v>21.701499999999996</v>
      </c>
      <c r="BX117" s="13">
        <f t="shared" si="5"/>
        <v>22.037499999999994</v>
      </c>
      <c r="BY117" s="13">
        <f t="shared" si="5"/>
        <v>21.308333333333337</v>
      </c>
      <c r="BZ117" s="13">
        <f t="shared" si="5"/>
        <v>27.937333333333328</v>
      </c>
      <c r="CA117" s="13">
        <f t="shared" si="5"/>
        <v>42.824090909090899</v>
      </c>
      <c r="CB117" s="13">
        <f t="shared" si="5"/>
        <v>48.931428571428597</v>
      </c>
      <c r="CC117" s="13">
        <f t="shared" si="5"/>
        <v>36.538571428571402</v>
      </c>
      <c r="CD117" s="13">
        <f t="shared" si="5"/>
        <v>24.279130434782616</v>
      </c>
      <c r="CE117" s="13">
        <f t="shared" si="5"/>
        <v>23.114912280701759</v>
      </c>
      <c r="CF117" s="13">
        <f t="shared" si="5"/>
        <v>30.24246376811594</v>
      </c>
      <c r="CG117" s="13">
        <f t="shared" si="5"/>
        <v>33.297192982456139</v>
      </c>
      <c r="CH117" s="13">
        <f t="shared" si="5"/>
        <v>32.304666666666677</v>
      </c>
      <c r="CI117" s="13">
        <f t="shared" si="5"/>
        <v>21.631428571428557</v>
      </c>
      <c r="CJ117" s="13">
        <f t="shared" si="5"/>
        <v>20.271754385964897</v>
      </c>
      <c r="CK117" s="13">
        <f t="shared" si="5"/>
        <v>26.918627450980395</v>
      </c>
      <c r="CL117" s="13">
        <f t="shared" si="5"/>
        <v>25.163166666666669</v>
      </c>
      <c r="CM117" s="13">
        <f t="shared" si="5"/>
        <v>22.043787878787853</v>
      </c>
      <c r="CN117" s="13">
        <f t="shared" si="5"/>
        <v>15.408235294117674</v>
      </c>
      <c r="CO117" s="13">
        <f t="shared" si="5"/>
        <v>9.8304761904762046</v>
      </c>
      <c r="CP117" s="13">
        <f t="shared" si="5"/>
        <v>4.2350877192982637</v>
      </c>
      <c r="CQ117" s="13">
        <f t="shared" si="5"/>
        <v>9.3516666666666737</v>
      </c>
      <c r="CR117" s="13">
        <f t="shared" si="5"/>
        <v>15.721060606060604</v>
      </c>
      <c r="CS117" s="13">
        <f t="shared" si="5"/>
        <v>22.53611111111114</v>
      </c>
      <c r="CT117" s="13">
        <f t="shared" si="5"/>
        <v>16.89533333333334</v>
      </c>
      <c r="CU117" s="13">
        <f t="shared" si="5"/>
        <v>19.199999999999989</v>
      </c>
      <c r="CV117" s="13">
        <f t="shared" si="5"/>
        <v>14.798070175438568</v>
      </c>
      <c r="CW117" s="13">
        <f t="shared" si="5"/>
        <v>12.498499999999993</v>
      </c>
      <c r="CX117" s="13">
        <f t="shared" si="5"/>
        <v>12.435238095238091</v>
      </c>
      <c r="CY117" s="13">
        <f t="shared" si="5"/>
        <v>10.710499999999996</v>
      </c>
      <c r="CZ117" s="13">
        <f t="shared" si="5"/>
        <v>4.4183333333333223</v>
      </c>
      <c r="DA117" s="13">
        <f t="shared" si="5"/>
        <v>10.535833333333301</v>
      </c>
      <c r="DB117" s="13">
        <f t="shared" si="5"/>
        <v>14.180350877192993</v>
      </c>
      <c r="DC117" s="13">
        <f t="shared" si="5"/>
        <v>14.119047619047649</v>
      </c>
      <c r="DD117" s="13">
        <f t="shared" si="5"/>
        <v>17.795303030303032</v>
      </c>
      <c r="DE117" s="13">
        <f t="shared" si="5"/>
        <v>21.049999999999969</v>
      </c>
      <c r="DF117" s="13">
        <f t="shared" si="5"/>
        <v>26.667121212121216</v>
      </c>
      <c r="DG117" s="13">
        <f t="shared" si="5"/>
        <v>27.451166666666673</v>
      </c>
      <c r="DH117" s="13">
        <f t="shared" si="5"/>
        <v>13.891929824561394</v>
      </c>
      <c r="DI117" s="13">
        <f t="shared" si="5"/>
        <v>17.122575757575753</v>
      </c>
      <c r="DJ117" s="13">
        <f t="shared" si="5"/>
        <v>3.9001515151515207</v>
      </c>
      <c r="DK117" s="13">
        <f t="shared" si="5"/>
        <v>0.82799999999999585</v>
      </c>
      <c r="DL117" s="13">
        <f t="shared" si="5"/>
        <v>2.4813636363636391</v>
      </c>
      <c r="DM117" s="13">
        <f t="shared" si="5"/>
        <v>13.693333333333335</v>
      </c>
      <c r="DN117" s="13">
        <f t="shared" si="5"/>
        <v>20.870952380952382</v>
      </c>
      <c r="DO117" s="13">
        <f t="shared" si="5"/>
        <v>11.033000000000008</v>
      </c>
      <c r="DP117" s="13">
        <f t="shared" si="5"/>
        <v>3.2766666666666779</v>
      </c>
      <c r="DQ117" s="13">
        <f t="shared" si="5"/>
        <v>4.3440350877192984</v>
      </c>
      <c r="DR117" s="13">
        <f t="shared" si="5"/>
        <v>8.6793939393939326</v>
      </c>
      <c r="DT117" s="294">
        <f>AVERAGE(BK117:DR117)</f>
        <v>18.420412101129429</v>
      </c>
    </row>
    <row r="118" spans="1:124" s="9" customFormat="1">
      <c r="A118" s="9" t="s">
        <v>530</v>
      </c>
      <c r="C118" s="17">
        <f>C96-C6</f>
        <v>-8.4555000000000007</v>
      </c>
      <c r="D118" s="17">
        <f t="shared" ref="D118:BO118" si="6">D96-D6</f>
        <v>-6.6067894736842234</v>
      </c>
      <c r="E118" s="17">
        <f t="shared" si="6"/>
        <v>-5.8047536231884109</v>
      </c>
      <c r="F118" s="17">
        <f t="shared" si="6"/>
        <v>-11.226052631578938</v>
      </c>
      <c r="G118" s="17">
        <f t="shared" si="6"/>
        <v>-10.742575757575736</v>
      </c>
      <c r="H118" s="17">
        <f t="shared" si="6"/>
        <v>-9.3062121212121198</v>
      </c>
      <c r="I118" s="17">
        <f t="shared" si="6"/>
        <v>-9.9501578947368472</v>
      </c>
      <c r="J118" s="17">
        <f t="shared" si="6"/>
        <v>-10.078144927536236</v>
      </c>
      <c r="K118" s="17">
        <f t="shared" si="6"/>
        <v>-1.0986666666666665</v>
      </c>
      <c r="L118" s="17">
        <f t="shared" si="6"/>
        <v>2.0831818181818278</v>
      </c>
      <c r="M118" s="17">
        <f t="shared" si="6"/>
        <v>-3.2126666666666708</v>
      </c>
      <c r="N118" s="17">
        <f t="shared" si="6"/>
        <v>-8.5768333333333189</v>
      </c>
      <c r="O118" s="17">
        <f t="shared" si="6"/>
        <v>-2.7023809523809561</v>
      </c>
      <c r="P118" s="17">
        <f t="shared" si="6"/>
        <v>-5.693894736842104</v>
      </c>
      <c r="Q118" s="17">
        <f t="shared" si="6"/>
        <v>-8.7574545454545429</v>
      </c>
      <c r="R118" s="17">
        <f t="shared" si="6"/>
        <v>-9.5286666666666733</v>
      </c>
      <c r="S118" s="17">
        <f t="shared" si="6"/>
        <v>-7.6692424242424195</v>
      </c>
      <c r="T118" s="17">
        <f t="shared" si="6"/>
        <v>-8.7265238095238118</v>
      </c>
      <c r="U118" s="17">
        <f t="shared" si="6"/>
        <v>-9.8401428571428653</v>
      </c>
      <c r="V118" s="17">
        <f t="shared" si="6"/>
        <v>-6.4403623188405703</v>
      </c>
      <c r="W118" s="17">
        <f t="shared" si="6"/>
        <v>-10.920982456140351</v>
      </c>
      <c r="X118" s="17">
        <f t="shared" si="6"/>
        <v>-17.11092753623187</v>
      </c>
      <c r="Y118" s="17">
        <f t="shared" si="6"/>
        <v>-24.96409523809524</v>
      </c>
      <c r="Z118" s="17">
        <f t="shared" si="6"/>
        <v>-20.67949999999999</v>
      </c>
      <c r="AA118" s="17">
        <f t="shared" si="6"/>
        <v>-10.629047619047626</v>
      </c>
      <c r="AB118" s="17">
        <f t="shared" si="6"/>
        <v>-3.2689999999999912</v>
      </c>
      <c r="AC118" s="17">
        <f t="shared" si="6"/>
        <v>-13.730000000000004</v>
      </c>
      <c r="AD118" s="17">
        <f t="shared" si="6"/>
        <v>-22.072727272727292</v>
      </c>
      <c r="AE118" s="17">
        <f t="shared" si="6"/>
        <v>-26.953809523809511</v>
      </c>
      <c r="AF118" s="17">
        <f t="shared" si="6"/>
        <v>-29.11571428571429</v>
      </c>
      <c r="AG118" s="17">
        <f t="shared" si="6"/>
        <v>-16.443545454545443</v>
      </c>
      <c r="AH118" s="17">
        <f t="shared" si="6"/>
        <v>10.987904761904744</v>
      </c>
      <c r="AI118" s="17">
        <f t="shared" si="6"/>
        <v>34.951190476190462</v>
      </c>
      <c r="AJ118" s="17">
        <f t="shared" si="6"/>
        <v>56.540407156521724</v>
      </c>
      <c r="AK118" s="17">
        <f t="shared" si="6"/>
        <v>67.579576668421041</v>
      </c>
      <c r="AL118" s="17">
        <f t="shared" si="6"/>
        <v>59.428442372727268</v>
      </c>
      <c r="AM118" s="17">
        <f t="shared" si="6"/>
        <v>29.205999999999996</v>
      </c>
      <c r="AN118" s="17">
        <f t="shared" si="6"/>
        <v>10.131578947368418</v>
      </c>
      <c r="AO118" s="17">
        <f t="shared" si="6"/>
        <v>-0.48181818181817704</v>
      </c>
      <c r="AP118" s="17">
        <f t="shared" si="6"/>
        <v>-3.7095238095238088</v>
      </c>
      <c r="AQ118" s="17">
        <f t="shared" si="6"/>
        <v>-13.683</v>
      </c>
      <c r="AR118" s="17">
        <f t="shared" si="6"/>
        <v>-21.705454545454522</v>
      </c>
      <c r="AS118" s="17">
        <f t="shared" si="6"/>
        <v>-10.88300000000001</v>
      </c>
      <c r="AT118" s="17">
        <f t="shared" si="6"/>
        <v>-5.7389999999999901</v>
      </c>
      <c r="AU118" s="17">
        <f t="shared" si="6"/>
        <v>2.2999999999999972</v>
      </c>
      <c r="AV118" s="17">
        <f t="shared" si="6"/>
        <v>0.14000000000000057</v>
      </c>
      <c r="AW118" s="17">
        <f t="shared" si="6"/>
        <v>-4.2700000000000102</v>
      </c>
      <c r="AX118" s="17">
        <f t="shared" si="6"/>
        <v>-0.47999999999998977</v>
      </c>
      <c r="AY118" s="17">
        <f t="shared" si="6"/>
        <v>-2.25226902</v>
      </c>
      <c r="AZ118" s="17">
        <f t="shared" si="6"/>
        <v>-0.42445595000000935</v>
      </c>
      <c r="BA118" s="17">
        <f t="shared" si="6"/>
        <v>3.1188912799999997</v>
      </c>
      <c r="BB118" s="17">
        <f t="shared" si="6"/>
        <v>-3.1552641399999999</v>
      </c>
      <c r="BC118" s="17">
        <f t="shared" si="6"/>
        <v>9.0129110700000012</v>
      </c>
      <c r="BD118" s="17">
        <f t="shared" si="6"/>
        <v>12.039233469999999</v>
      </c>
      <c r="BE118" s="17">
        <f t="shared" si="6"/>
        <v>13.179255656339109</v>
      </c>
      <c r="BF118" s="17">
        <f t="shared" si="6"/>
        <v>10.356847089430516</v>
      </c>
      <c r="BG118" s="17">
        <f t="shared" si="6"/>
        <v>10.063536137549193</v>
      </c>
      <c r="BH118" s="17">
        <f t="shared" si="6"/>
        <v>5.1566767582352497</v>
      </c>
      <c r="BI118" s="17">
        <f t="shared" si="6"/>
        <v>4.1316747528257878</v>
      </c>
      <c r="BJ118" s="17">
        <f t="shared" si="6"/>
        <v>0.80373174969723493</v>
      </c>
      <c r="BK118" s="17">
        <f t="shared" si="6"/>
        <v>5.4459853039412138</v>
      </c>
      <c r="BL118" s="17">
        <f t="shared" si="6"/>
        <v>11.808798238914605</v>
      </c>
      <c r="BM118" s="17">
        <f t="shared" si="6"/>
        <v>-8.7254511862338688</v>
      </c>
      <c r="BN118" s="17">
        <f t="shared" si="6"/>
        <v>3.2715165805390001</v>
      </c>
      <c r="BO118" s="17">
        <f t="shared" si="6"/>
        <v>19.074587540976083</v>
      </c>
      <c r="BP118" s="17">
        <f t="shared" ref="BP118:DR118" si="7">BP96-BP6</f>
        <v>30.979010326207089</v>
      </c>
      <c r="BQ118" s="17">
        <f t="shared" si="7"/>
        <v>35.995590917572429</v>
      </c>
      <c r="BR118" s="17">
        <f t="shared" si="7"/>
        <v>43.327744670473948</v>
      </c>
      <c r="BS118" s="17">
        <f t="shared" si="7"/>
        <v>47.779718315548919</v>
      </c>
      <c r="BT118" s="17">
        <f t="shared" si="7"/>
        <v>45.775167677426111</v>
      </c>
      <c r="BU118" s="17">
        <f t="shared" si="7"/>
        <v>35.440439503619444</v>
      </c>
      <c r="BV118" s="17">
        <f t="shared" si="7"/>
        <v>31.120386752025169</v>
      </c>
      <c r="BW118" s="17">
        <f t="shared" si="7"/>
        <v>31.664874359567875</v>
      </c>
      <c r="BX118" s="17">
        <f t="shared" si="7"/>
        <v>29.167387837218016</v>
      </c>
      <c r="BY118" s="17">
        <f t="shared" si="7"/>
        <v>26.988783740329666</v>
      </c>
      <c r="BZ118" s="17">
        <f t="shared" si="7"/>
        <v>35.368279596633755</v>
      </c>
      <c r="CA118" s="17">
        <f t="shared" si="7"/>
        <v>48.599877654158632</v>
      </c>
      <c r="CB118" s="17">
        <f t="shared" si="7"/>
        <v>63.603065699118901</v>
      </c>
      <c r="CC118" s="17">
        <f t="shared" si="7"/>
        <v>58.781501207669592</v>
      </c>
      <c r="CD118" s="17">
        <f t="shared" si="7"/>
        <v>43.76987368564275</v>
      </c>
      <c r="CE118" s="17">
        <f t="shared" si="7"/>
        <v>36.906110724589169</v>
      </c>
      <c r="CF118" s="17">
        <f t="shared" si="7"/>
        <v>41.340846000957654</v>
      </c>
      <c r="CG118" s="17">
        <f t="shared" si="7"/>
        <v>38.768478505739751</v>
      </c>
      <c r="CH118" s="17">
        <f t="shared" si="7"/>
        <v>39.20488275171094</v>
      </c>
      <c r="CI118" s="17">
        <f t="shared" si="7"/>
        <v>33.376282661461843</v>
      </c>
      <c r="CJ118" s="17">
        <f t="shared" si="7"/>
        <v>30.501240052696318</v>
      </c>
      <c r="CK118" s="17">
        <f t="shared" si="7"/>
        <v>33.027201312803513</v>
      </c>
      <c r="CL118" s="17">
        <f t="shared" si="7"/>
        <v>37.247053463489891</v>
      </c>
      <c r="CM118" s="17">
        <f t="shared" si="7"/>
        <v>33.728541266067111</v>
      </c>
      <c r="CN118" s="17">
        <f t="shared" si="7"/>
        <v>31.522055355841175</v>
      </c>
      <c r="CO118" s="17">
        <f t="shared" si="7"/>
        <v>20.640926811318849</v>
      </c>
      <c r="CP118" s="17">
        <f t="shared" si="7"/>
        <v>24.038126295646649</v>
      </c>
      <c r="CQ118" s="17">
        <f t="shared" si="7"/>
        <v>12.997874260622424</v>
      </c>
      <c r="CR118" s="17">
        <f t="shared" si="7"/>
        <v>27.013869869186365</v>
      </c>
      <c r="CS118" s="17">
        <f t="shared" si="7"/>
        <v>38.812289156965804</v>
      </c>
      <c r="CT118" s="17">
        <f t="shared" si="7"/>
        <v>35.613338061515506</v>
      </c>
      <c r="CU118" s="17">
        <f t="shared" si="7"/>
        <v>35.382633733034567</v>
      </c>
      <c r="CV118" s="17">
        <f t="shared" si="7"/>
        <v>26.867605747102147</v>
      </c>
      <c r="CW118" s="17">
        <f t="shared" si="7"/>
        <v>28.82606403178707</v>
      </c>
      <c r="CX118" s="17">
        <f t="shared" si="7"/>
        <v>25.746068883276877</v>
      </c>
      <c r="CY118" s="17">
        <f t="shared" si="7"/>
        <v>28.881566302572992</v>
      </c>
      <c r="CZ118" s="17">
        <f t="shared" si="7"/>
        <v>24.286722332687319</v>
      </c>
      <c r="DA118" s="17">
        <f t="shared" si="7"/>
        <v>25.960176935485791</v>
      </c>
      <c r="DB118" s="17">
        <f t="shared" si="7"/>
        <v>36.102293400871332</v>
      </c>
      <c r="DC118" s="17">
        <f t="shared" si="7"/>
        <v>38.085455844806873</v>
      </c>
      <c r="DD118" s="17">
        <f t="shared" si="7"/>
        <v>41.242084590049146</v>
      </c>
      <c r="DE118" s="17">
        <f t="shared" si="7"/>
        <v>37.755793638697696</v>
      </c>
      <c r="DF118" s="17">
        <f t="shared" si="7"/>
        <v>48.932480938544998</v>
      </c>
      <c r="DG118" s="17">
        <f t="shared" si="7"/>
        <v>44.349028358842297</v>
      </c>
      <c r="DH118" s="17">
        <f t="shared" si="7"/>
        <v>26.391841105336347</v>
      </c>
      <c r="DI118" s="17">
        <f t="shared" si="7"/>
        <v>17.979866263786597</v>
      </c>
      <c r="DJ118" s="17">
        <f t="shared" si="7"/>
        <v>10.884243105266783</v>
      </c>
      <c r="DK118" s="17">
        <f t="shared" si="7"/>
        <v>2.3248213813365979</v>
      </c>
      <c r="DL118" s="17">
        <f t="shared" si="7"/>
        <v>6.7063493479674889</v>
      </c>
      <c r="DM118" s="17">
        <f t="shared" si="7"/>
        <v>24.231116446618522</v>
      </c>
      <c r="DN118" s="17">
        <f t="shared" si="7"/>
        <v>36.742947739272353</v>
      </c>
      <c r="DO118" s="17">
        <f t="shared" si="7"/>
        <v>29.734396768744148</v>
      </c>
      <c r="DP118" s="17">
        <f t="shared" si="7"/>
        <v>15.041526321573059</v>
      </c>
      <c r="DQ118" s="17">
        <f t="shared" si="7"/>
        <v>8.1628343032301132</v>
      </c>
      <c r="DR118" s="17">
        <f t="shared" si="7"/>
        <v>14.93941435610985</v>
      </c>
      <c r="DT118" s="294">
        <f>AVERAGE(BK118:DR118)</f>
        <v>29.82555978081605</v>
      </c>
    </row>
    <row r="119" spans="1:124" s="9" customFormat="1">
      <c r="A119" s="9" t="s">
        <v>532</v>
      </c>
      <c r="C119" s="13">
        <f>C103-C96</f>
        <v>32.926000000000002</v>
      </c>
      <c r="D119" s="13">
        <f t="shared" ref="D119:BO119" si="8">D103-D96</f>
        <v>30.961833333333324</v>
      </c>
      <c r="E119" s="13">
        <f t="shared" si="8"/>
        <v>30.394666666666659</v>
      </c>
      <c r="F119" s="13">
        <f t="shared" si="8"/>
        <v>30.682500000000005</v>
      </c>
      <c r="G119" s="13">
        <f t="shared" si="8"/>
        <v>31.435833333333321</v>
      </c>
      <c r="H119" s="13">
        <f t="shared" si="8"/>
        <v>36.503666666666653</v>
      </c>
      <c r="I119" s="13">
        <f t="shared" si="8"/>
        <v>40.032333333333327</v>
      </c>
      <c r="J119" s="13">
        <f t="shared" si="8"/>
        <v>41.029166666666661</v>
      </c>
      <c r="K119" s="13">
        <f t="shared" si="8"/>
        <v>40.588166666666666</v>
      </c>
      <c r="L119" s="13">
        <f t="shared" si="8"/>
        <v>41.486499999999985</v>
      </c>
      <c r="M119" s="13">
        <f t="shared" si="8"/>
        <v>41.347499999999989</v>
      </c>
      <c r="N119" s="13">
        <f t="shared" si="8"/>
        <v>39.020333333333319</v>
      </c>
      <c r="O119" s="13">
        <f t="shared" si="8"/>
        <v>38.820333333333352</v>
      </c>
      <c r="P119" s="13">
        <f t="shared" si="8"/>
        <v>39.432500000000012</v>
      </c>
      <c r="Q119" s="13">
        <f t="shared" si="8"/>
        <v>38.990333333333311</v>
      </c>
      <c r="R119" s="13">
        <f t="shared" si="8"/>
        <v>37.866833333333339</v>
      </c>
      <c r="S119" s="13">
        <f t="shared" si="8"/>
        <v>39.381499999999981</v>
      </c>
      <c r="T119" s="13">
        <f t="shared" si="8"/>
        <v>38.479666666666674</v>
      </c>
      <c r="U119" s="13">
        <f t="shared" si="8"/>
        <v>35.64</v>
      </c>
      <c r="V119" s="13">
        <f t="shared" si="8"/>
        <v>37.287999999999982</v>
      </c>
      <c r="W119" s="13">
        <f t="shared" si="8"/>
        <v>35.33550000000001</v>
      </c>
      <c r="X119" s="13">
        <f t="shared" si="8"/>
        <v>34.580666666666673</v>
      </c>
      <c r="Y119" s="13">
        <f t="shared" si="8"/>
        <v>34.90100000000001</v>
      </c>
      <c r="Z119" s="13">
        <f t="shared" si="8"/>
        <v>38.180333333333337</v>
      </c>
      <c r="AA119" s="13">
        <f t="shared" si="8"/>
        <v>36.730000000000004</v>
      </c>
      <c r="AB119" s="13">
        <f t="shared" si="8"/>
        <v>25.260000000000005</v>
      </c>
      <c r="AC119" s="13">
        <f t="shared" si="8"/>
        <v>26.129999999999995</v>
      </c>
      <c r="AD119" s="13">
        <f t="shared" si="8"/>
        <v>32.08</v>
      </c>
      <c r="AE119" s="13">
        <f t="shared" si="8"/>
        <v>37.830000000000013</v>
      </c>
      <c r="AF119" s="13">
        <f t="shared" si="8"/>
        <v>42.359999999999985</v>
      </c>
      <c r="AG119" s="13">
        <f t="shared" si="8"/>
        <v>41.152000000000015</v>
      </c>
      <c r="AH119" s="13">
        <f t="shared" si="8"/>
        <v>38.480000000000004</v>
      </c>
      <c r="AI119" s="13">
        <f t="shared" si="8"/>
        <v>21.746000000000009</v>
      </c>
      <c r="AJ119" s="13">
        <f t="shared" si="8"/>
        <v>12.033997000000028</v>
      </c>
      <c r="AK119" s="13">
        <f t="shared" si="8"/>
        <v>8.3829473000000121</v>
      </c>
      <c r="AL119" s="13">
        <f t="shared" si="8"/>
        <v>7.7398807999999946</v>
      </c>
      <c r="AM119" s="13">
        <f t="shared" si="8"/>
        <v>11.378598057924876</v>
      </c>
      <c r="AN119" s="13">
        <f t="shared" si="8"/>
        <v>20.159530754715803</v>
      </c>
      <c r="AO119" s="13">
        <f t="shared" si="8"/>
        <v>23.077482414908161</v>
      </c>
      <c r="AP119" s="13">
        <f t="shared" si="8"/>
        <v>20.410000000000004</v>
      </c>
      <c r="AQ119" s="13">
        <f t="shared" si="8"/>
        <v>20.879999999999995</v>
      </c>
      <c r="AR119" s="13">
        <f t="shared" si="8"/>
        <v>22.96</v>
      </c>
      <c r="AS119" s="13">
        <f t="shared" si="8"/>
        <v>20.636827801034343</v>
      </c>
      <c r="AT119" s="13">
        <f t="shared" si="8"/>
        <v>16.071771062508077</v>
      </c>
      <c r="AU119" s="13">
        <f t="shared" si="8"/>
        <v>10.055891299377933</v>
      </c>
      <c r="AV119" s="13">
        <f t="shared" si="8"/>
        <v>10.86</v>
      </c>
      <c r="AW119" s="13">
        <f t="shared" si="8"/>
        <v>13</v>
      </c>
      <c r="AX119" s="13">
        <f t="shared" si="8"/>
        <v>15.439999999999998</v>
      </c>
      <c r="AY119" s="13">
        <f t="shared" si="8"/>
        <v>19.667098339999995</v>
      </c>
      <c r="AZ119" s="13">
        <f t="shared" si="8"/>
        <v>17.997377630000003</v>
      </c>
      <c r="BA119" s="13">
        <f t="shared" si="8"/>
        <v>10.758595799999995</v>
      </c>
      <c r="BB119" s="13">
        <f t="shared" si="8"/>
        <v>13.384952810000001</v>
      </c>
      <c r="BC119" s="13">
        <f t="shared" si="8"/>
        <v>15.462063950000001</v>
      </c>
      <c r="BD119" s="13">
        <f t="shared" si="8"/>
        <v>15.796569730000002</v>
      </c>
      <c r="BE119" s="13">
        <f t="shared" si="8"/>
        <v>12.214352480241701</v>
      </c>
      <c r="BF119" s="13">
        <f t="shared" si="8"/>
        <v>9.7927238372723053</v>
      </c>
      <c r="BG119" s="13">
        <f t="shared" si="8"/>
        <v>7.2587972531549241</v>
      </c>
      <c r="BH119" s="13">
        <f t="shared" si="8"/>
        <v>12.514475989202154</v>
      </c>
      <c r="BI119" s="13">
        <f t="shared" si="8"/>
        <v>13.488595846277477</v>
      </c>
      <c r="BJ119" s="13">
        <f t="shared" si="8"/>
        <v>16.240681450302759</v>
      </c>
      <c r="BK119" s="13">
        <f t="shared" si="8"/>
        <v>15.387659810062431</v>
      </c>
      <c r="BL119" s="13">
        <f t="shared" si="8"/>
        <v>12.755530484156495</v>
      </c>
      <c r="BM119" s="13">
        <f t="shared" si="8"/>
        <v>23.472713629139562</v>
      </c>
      <c r="BN119" s="13">
        <f t="shared" si="8"/>
        <v>14.021076601691774</v>
      </c>
      <c r="BO119" s="13">
        <f t="shared" si="8"/>
        <v>17.868497660575741</v>
      </c>
      <c r="BP119" s="13">
        <f t="shared" ref="BP119:DR119" si="9">BP103-BP96</f>
        <v>21.766061444350882</v>
      </c>
      <c r="BQ119" s="13">
        <f t="shared" si="9"/>
        <v>12.530595219605146</v>
      </c>
      <c r="BR119" s="13">
        <f t="shared" si="9"/>
        <v>0.27069309618272541</v>
      </c>
      <c r="BS119" s="13">
        <f t="shared" si="9"/>
        <v>4.8156863089894841</v>
      </c>
      <c r="BT119" s="13">
        <f t="shared" si="9"/>
        <v>2.2984535073970278</v>
      </c>
      <c r="BU119" s="13">
        <f t="shared" si="9"/>
        <v>3.8604650035597956</v>
      </c>
      <c r="BV119" s="13">
        <f t="shared" si="9"/>
        <v>7.1431807020846634</v>
      </c>
      <c r="BW119" s="13">
        <f t="shared" si="9"/>
        <v>6.5172827067569017</v>
      </c>
      <c r="BX119" s="13">
        <f t="shared" si="9"/>
        <v>2.7535447160587694</v>
      </c>
      <c r="BY119" s="13">
        <f t="shared" si="9"/>
        <v>5.3980817827842031</v>
      </c>
      <c r="BZ119" s="13">
        <f t="shared" si="9"/>
        <v>5.9864398278266719</v>
      </c>
      <c r="CA119" s="13">
        <f t="shared" si="9"/>
        <v>7.3907405981040029</v>
      </c>
      <c r="CB119" s="13">
        <f t="shared" si="9"/>
        <v>-0.70552149649373064</v>
      </c>
      <c r="CC119" s="13">
        <f t="shared" si="9"/>
        <v>-10.343189804687825</v>
      </c>
      <c r="CD119" s="13">
        <f t="shared" si="9"/>
        <v>-6.6305587558572654</v>
      </c>
      <c r="CE119" s="13">
        <f t="shared" si="9"/>
        <v>-0.9554744682072851</v>
      </c>
      <c r="CF119" s="13">
        <f t="shared" si="9"/>
        <v>7.4413749691953228</v>
      </c>
      <c r="CG119" s="13">
        <f t="shared" si="9"/>
        <v>24.024428421988006</v>
      </c>
      <c r="CH119" s="13">
        <f t="shared" si="9"/>
        <v>22.323960229793897</v>
      </c>
      <c r="CI119" s="13">
        <f t="shared" si="9"/>
        <v>15.707285302607517</v>
      </c>
      <c r="CJ119" s="13">
        <f t="shared" si="9"/>
        <v>12.319379429989212</v>
      </c>
      <c r="CK119" s="13">
        <f t="shared" si="9"/>
        <v>16.81734409171672</v>
      </c>
      <c r="CL119" s="13">
        <f t="shared" si="9"/>
        <v>15.870581980452016</v>
      </c>
      <c r="CM119" s="13">
        <f t="shared" si="9"/>
        <v>11.176748404563114</v>
      </c>
      <c r="CN119" s="13">
        <f t="shared" si="9"/>
        <v>6.8416027457309809</v>
      </c>
      <c r="CO119" s="13">
        <f t="shared" si="9"/>
        <v>6.9406635883065491</v>
      </c>
      <c r="CP119" s="13">
        <f t="shared" si="9"/>
        <v>3.5315745834491565</v>
      </c>
      <c r="CQ119" s="13">
        <f t="shared" si="9"/>
        <v>16.844859943313011</v>
      </c>
      <c r="CR119" s="13">
        <f t="shared" si="9"/>
        <v>15.501859641929286</v>
      </c>
      <c r="CS119" s="13">
        <f t="shared" si="9"/>
        <v>9.8551773397604734</v>
      </c>
      <c r="CT119" s="13">
        <f t="shared" si="9"/>
        <v>5.8921771125675377</v>
      </c>
      <c r="CU119" s="13">
        <f t="shared" si="9"/>
        <v>5.6846769816627898</v>
      </c>
      <c r="CV119" s="13">
        <f t="shared" si="9"/>
        <v>9.2599334496322427</v>
      </c>
      <c r="CW119" s="13">
        <f t="shared" si="9"/>
        <v>8.1945906975985565</v>
      </c>
      <c r="CX119" s="13">
        <f t="shared" si="9"/>
        <v>9.6474784110910434</v>
      </c>
      <c r="CY119" s="13">
        <f t="shared" si="9"/>
        <v>5.3043089962962142</v>
      </c>
      <c r="CZ119" s="13">
        <f t="shared" si="9"/>
        <v>9.8730097999699069</v>
      </c>
      <c r="DA119" s="13">
        <f t="shared" si="9"/>
        <v>10.960154664888279</v>
      </c>
      <c r="DB119" s="13">
        <f t="shared" si="9"/>
        <v>7.204692218996712</v>
      </c>
      <c r="DC119" s="13">
        <f t="shared" si="9"/>
        <v>7.0210123176954937</v>
      </c>
      <c r="DD119" s="13">
        <f t="shared" si="9"/>
        <v>8.5996804920271614</v>
      </c>
      <c r="DE119" s="13">
        <f t="shared" si="9"/>
        <v>14.917246101119872</v>
      </c>
      <c r="DF119" s="13">
        <f t="shared" si="9"/>
        <v>13.796874242596402</v>
      </c>
      <c r="DG119" s="13">
        <f t="shared" si="9"/>
        <v>19.467862184407636</v>
      </c>
      <c r="DH119" s="13">
        <f t="shared" si="9"/>
        <v>17.825752141112304</v>
      </c>
      <c r="DI119" s="13">
        <f t="shared" si="9"/>
        <v>19.694098069224637</v>
      </c>
      <c r="DJ119" s="13">
        <f t="shared" si="9"/>
        <v>20.997392172975466</v>
      </c>
      <c r="DK119" s="13">
        <f t="shared" si="9"/>
        <v>24.973927823773657</v>
      </c>
      <c r="DL119" s="13">
        <f t="shared" si="9"/>
        <v>22.058929382481224</v>
      </c>
      <c r="DM119" s="13">
        <f t="shared" si="9"/>
        <v>18.581381780047835</v>
      </c>
      <c r="DN119" s="13">
        <f t="shared" si="9"/>
        <v>11.893860907687099</v>
      </c>
      <c r="DO119" s="13">
        <f t="shared" si="9"/>
        <v>9.6296937245465273</v>
      </c>
      <c r="DP119" s="13">
        <f t="shared" si="9"/>
        <v>17.890078457865897</v>
      </c>
      <c r="DQ119" s="13">
        <f t="shared" si="9"/>
        <v>25.015032760133053</v>
      </c>
      <c r="DR119" s="13">
        <f t="shared" si="9"/>
        <v>24.732574663677404</v>
      </c>
      <c r="DT119" s="294">
        <f>AVERAGE(BK119:DR119)</f>
        <v>11.331920313349173</v>
      </c>
    </row>
    <row r="120" spans="1:124" s="9" customFormat="1">
      <c r="DG120" s="272"/>
      <c r="DH120" s="272"/>
      <c r="DI120" s="272"/>
      <c r="DJ120" s="272"/>
      <c r="DK120" s="272"/>
      <c r="DL120" s="272"/>
      <c r="DM120" s="272"/>
      <c r="DN120" s="272"/>
      <c r="DO120" s="272"/>
      <c r="DP120" s="272"/>
      <c r="DQ120" s="272"/>
      <c r="DR120" s="272"/>
      <c r="DS120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86"/>
  <sheetViews>
    <sheetView topLeftCell="A25" workbookViewId="0">
      <selection activeCell="O60" sqref="O60"/>
    </sheetView>
  </sheetViews>
  <sheetFormatPr defaultColWidth="8.77734375" defaultRowHeight="14.4"/>
  <cols>
    <col min="9" max="9" width="10.77734375" customWidth="1"/>
    <col min="10" max="10" width="12.109375" bestFit="1" customWidth="1"/>
    <col min="11" max="11" width="15.109375" customWidth="1"/>
    <col min="19" max="19" width="18.6640625" bestFit="1" customWidth="1"/>
  </cols>
  <sheetData>
    <row r="1" spans="1:20" s="9" customFormat="1">
      <c r="B1" s="30" t="s">
        <v>98</v>
      </c>
      <c r="C1" s="30"/>
      <c r="D1" s="30"/>
      <c r="E1" s="29" t="s">
        <v>97</v>
      </c>
      <c r="F1" s="29"/>
      <c r="G1" s="29"/>
      <c r="H1" s="29"/>
      <c r="I1" s="29"/>
      <c r="S1" s="162" t="s">
        <v>281</v>
      </c>
      <c r="T1" s="162" t="s">
        <v>282</v>
      </c>
    </row>
    <row r="2" spans="1:20" ht="43.2" customHeight="1">
      <c r="B2" s="293" t="s">
        <v>93</v>
      </c>
      <c r="C2" s="293" t="s">
        <v>94</v>
      </c>
      <c r="D2" s="293" t="s">
        <v>95</v>
      </c>
      <c r="E2" s="240" t="s">
        <v>306</v>
      </c>
      <c r="F2" s="240" t="s">
        <v>307</v>
      </c>
      <c r="G2" s="240" t="s">
        <v>308</v>
      </c>
      <c r="H2" s="240" t="s">
        <v>96</v>
      </c>
      <c r="I2" s="240" t="s">
        <v>526</v>
      </c>
      <c r="J2" s="29" t="s">
        <v>445</v>
      </c>
      <c r="K2" s="29" t="s">
        <v>446</v>
      </c>
      <c r="S2" s="162" t="s">
        <v>283</v>
      </c>
      <c r="T2" s="162" t="s">
        <v>284</v>
      </c>
    </row>
    <row r="3" spans="1:20">
      <c r="A3" s="9" t="s">
        <v>0</v>
      </c>
      <c r="B3" s="34">
        <v>18.149477005004901</v>
      </c>
      <c r="C3" s="34">
        <v>21.189018249511701</v>
      </c>
      <c r="D3" s="34">
        <v>24.228561401367202</v>
      </c>
      <c r="E3" s="17">
        <f>B3/$T$68*$T$80</f>
        <v>23.274833208445255</v>
      </c>
      <c r="F3" s="17">
        <f t="shared" ref="F3:G3" si="0">C3/$T$68*$T$80</f>
        <v>27.172731504719973</v>
      </c>
      <c r="G3" s="17">
        <f t="shared" si="0"/>
        <v>31.070632246972778</v>
      </c>
      <c r="H3" s="26">
        <f>AVERAGE('DBEDT-HEI-BBG Fuel Jan''00-pres'!B3:B14)/T70*$T$80</f>
        <v>38.152716858666786</v>
      </c>
      <c r="I3" s="26">
        <f>AVERAGE('DBEDT-HEI-BBG Fuel Jan''00-pres'!K3:K14)/T70*$T$80</f>
        <v>41.857535884451707</v>
      </c>
      <c r="J3" s="12">
        <f>SUM('DBEDT avg oil prices ''00 - ''05'!E28:P28)</f>
        <v>8827895.8300000001</v>
      </c>
      <c r="K3" s="215">
        <f>(H3-F3)*J3</f>
        <v>96930166.919568136</v>
      </c>
      <c r="S3" s="162" t="s">
        <v>285</v>
      </c>
      <c r="T3" s="162" t="s">
        <v>286</v>
      </c>
    </row>
    <row r="4" spans="1:20">
      <c r="A4" s="9" t="s">
        <v>77</v>
      </c>
      <c r="B4" s="34">
        <v>16.536432266235401</v>
      </c>
      <c r="C4" s="34">
        <v>20.058792114257798</v>
      </c>
      <c r="D4" s="34">
        <v>23.7457466125488</v>
      </c>
      <c r="E4" s="17">
        <f t="shared" ref="E4:E23" si="1">B4/$T$68*$T$80</f>
        <v>21.206269621612016</v>
      </c>
      <c r="F4" s="17">
        <f t="shared" ref="F4:F23" si="2">C4/$T$68*$T$80</f>
        <v>25.723333002569959</v>
      </c>
      <c r="G4" s="17">
        <f t="shared" ref="G4:G23" si="3">D4/$T$68*$T$80</f>
        <v>30.451472054245453</v>
      </c>
      <c r="H4" s="26">
        <f>AVERAGE('DBEDT-HEI-BBG Fuel Jan''00-pres'!B15:B26)/T71*$T$80</f>
        <v>37.687607497085892</v>
      </c>
      <c r="I4" s="26">
        <f>AVERAGE('DBEDT-HEI-BBG Fuel Jan''00-pres'!K15:K26)/T71*$T$80</f>
        <v>41.490558059580358</v>
      </c>
      <c r="J4" s="12">
        <f>SUM('DBEDT avg oil prices ''00 - ''05'!Q28:AB28)</f>
        <v>8624357</v>
      </c>
      <c r="K4" s="215">
        <f t="shared" ref="K4:K17" si="4">(H4-F4)*J4</f>
        <v>103184174.48669995</v>
      </c>
      <c r="S4" s="162" t="s">
        <v>287</v>
      </c>
      <c r="T4" s="162" t="s">
        <v>288</v>
      </c>
    </row>
    <row r="5" spans="1:20">
      <c r="A5" s="9" t="s">
        <v>78</v>
      </c>
      <c r="B5" s="34">
        <v>15.9768056869507</v>
      </c>
      <c r="C5" s="34">
        <v>20.1794948577881</v>
      </c>
      <c r="D5" s="34">
        <v>23.4494743347168</v>
      </c>
      <c r="E5" s="17">
        <f t="shared" si="1"/>
        <v>20.488606226227546</v>
      </c>
      <c r="F5" s="17">
        <f t="shared" si="2"/>
        <v>25.878121827762818</v>
      </c>
      <c r="G5" s="17">
        <f t="shared" si="3"/>
        <v>30.07153340097603</v>
      </c>
      <c r="H5" s="26">
        <f>AVERAGE('DBEDT-HEI-BBG Fuel Jan''00-pres'!B27:B38)/T72*$T$80</f>
        <v>32.900573945030715</v>
      </c>
      <c r="I5" s="26">
        <f>AVERAGE('DBEDT-HEI-BBG Fuel Jan''00-pres'!K27:K38)/T72*$T$80</f>
        <v>35.327244356398964</v>
      </c>
      <c r="J5" s="12">
        <f>SUM('DBEDT avg oil prices ''00 - ''05'!AC28:AN28)</f>
        <v>8844141</v>
      </c>
      <c r="K5" s="215">
        <f t="shared" si="4"/>
        <v>62107556.690865807</v>
      </c>
      <c r="S5" s="162" t="s">
        <v>289</v>
      </c>
      <c r="T5" s="162" t="s">
        <v>290</v>
      </c>
    </row>
    <row r="6" spans="1:20">
      <c r="A6" s="9" t="s">
        <v>79</v>
      </c>
      <c r="B6" s="34">
        <v>15.581773757934601</v>
      </c>
      <c r="C6" s="34">
        <v>20.278253555297901</v>
      </c>
      <c r="D6" s="34">
        <v>23.570177078247099</v>
      </c>
      <c r="E6" s="17">
        <f t="shared" si="1"/>
        <v>19.982018501560624</v>
      </c>
      <c r="F6" s="17">
        <f t="shared" si="2"/>
        <v>26.004769676171346</v>
      </c>
      <c r="G6" s="17">
        <f t="shared" si="3"/>
        <v>30.226322226168882</v>
      </c>
      <c r="H6" s="26">
        <f>AVERAGE('DBEDT-HEI-BBG Fuel Jan''00-pres'!B39:B50)/T73*$T$80</f>
        <v>40.596271346701769</v>
      </c>
      <c r="I6" s="26">
        <f>AVERAGE('DBEDT-HEI-BBG Fuel Jan''00-pres'!K39:K50)/T73*$T$80</f>
        <v>42.954792545096574</v>
      </c>
      <c r="J6" s="12">
        <f>SUM('DBEDT avg oil prices ''00 - ''05'!AO28:AZ28)</f>
        <v>8819448</v>
      </c>
      <c r="K6" s="215">
        <f t="shared" si="4"/>
        <v>128688990.2251562</v>
      </c>
      <c r="S6" s="162" t="s">
        <v>291</v>
      </c>
      <c r="T6" s="162" t="s">
        <v>156</v>
      </c>
    </row>
    <row r="7" spans="1:20">
      <c r="A7" s="9" t="s">
        <v>80</v>
      </c>
      <c r="B7" s="34">
        <v>15.1757698059082</v>
      </c>
      <c r="C7" s="34">
        <v>20.387983322143601</v>
      </c>
      <c r="D7" s="34">
        <v>23.822557449340799</v>
      </c>
      <c r="E7" s="17">
        <f t="shared" si="1"/>
        <v>19.461360288501467</v>
      </c>
      <c r="F7" s="17">
        <f t="shared" si="2"/>
        <v>26.145486789982996</v>
      </c>
      <c r="G7" s="17">
        <f t="shared" si="3"/>
        <v>30.549974033913621</v>
      </c>
      <c r="H7" s="26">
        <f>AVERAGE('DBEDT-HEI-BBG Fuel Jan''00-pres'!B51:B62)/T74*$T$80</f>
        <v>44.749506570690144</v>
      </c>
      <c r="I7" s="26">
        <f>AVERAGE('DBEDT-HEI-BBG Fuel Jan''00-pres'!K51:K62)/T74*$T$80</f>
        <v>49.635832579884507</v>
      </c>
      <c r="J7" s="12">
        <f>SUM('DBEDT avg oil prices ''00 - ''05'!BA28:BL28)</f>
        <v>9249898</v>
      </c>
      <c r="K7" s="215">
        <f t="shared" si="4"/>
        <v>172085285.36152348</v>
      </c>
      <c r="S7" s="162" t="s">
        <v>292</v>
      </c>
      <c r="T7" s="162" t="s">
        <v>293</v>
      </c>
    </row>
    <row r="8" spans="1:20">
      <c r="A8" s="9" t="s">
        <v>1</v>
      </c>
      <c r="B8" s="34">
        <v>14.9014434814453</v>
      </c>
      <c r="C8" s="34">
        <v>20.486742019653299</v>
      </c>
      <c r="D8" s="34">
        <v>24.162723541259801</v>
      </c>
      <c r="E8" s="17">
        <f t="shared" si="1"/>
        <v>19.109565057994324</v>
      </c>
      <c r="F8" s="17">
        <f t="shared" si="2"/>
        <v>26.272134638391396</v>
      </c>
      <c r="G8" s="17">
        <f t="shared" si="3"/>
        <v>30.986201978685809</v>
      </c>
      <c r="H8" s="26">
        <f>AVERAGE('DBEDT-HEI-BBG Fuel Jan''00-pres'!B63:B74)/T75*$T$80</f>
        <v>55.997775550134982</v>
      </c>
      <c r="I8" s="26">
        <f>AVERAGE('DBEDT-HEI-BBG Fuel Jan''00-pres'!K63:K74)/T75*$T$80</f>
        <v>63.706590972477336</v>
      </c>
      <c r="J8" s="12">
        <f>SUM('DBEDT avg oil prices ''00 - ''05'!BM28:BX28)</f>
        <v>9116084</v>
      </c>
      <c r="K8" s="215">
        <f t="shared" si="4"/>
        <v>270981439.5052911</v>
      </c>
      <c r="S8" s="162" t="s">
        <v>294</v>
      </c>
      <c r="T8" s="162" t="s">
        <v>295</v>
      </c>
    </row>
    <row r="9" spans="1:20">
      <c r="A9" s="9" t="s">
        <v>81</v>
      </c>
      <c r="B9" s="34">
        <v>14.9014434814453</v>
      </c>
      <c r="C9" s="34">
        <v>20.5855007171631</v>
      </c>
      <c r="D9" s="34">
        <v>24.7223510742188</v>
      </c>
      <c r="E9" s="17">
        <f t="shared" si="1"/>
        <v>19.109565057994324</v>
      </c>
      <c r="F9" s="17">
        <f t="shared" si="2"/>
        <v>26.39878248679992</v>
      </c>
      <c r="G9" s="17">
        <f t="shared" si="3"/>
        <v>31.70386659705925</v>
      </c>
      <c r="H9" s="26">
        <f>AVERAGE('DBEDT-HEI-BBG Fuel Jan''00-pres'!B75:B86)/T76*$T$80</f>
        <v>63.312841045085726</v>
      </c>
      <c r="I9" s="26">
        <f>AVERAGE('DBEDT-HEI-BBG Fuel Jan''00-pres'!K75:K86)/T76*$T$80</f>
        <v>73.019744975363523</v>
      </c>
      <c r="J9" s="12">
        <f>SUM('DBEDT monthly energy ''06-''15'!C95:N95)</f>
        <v>9442102</v>
      </c>
      <c r="K9" s="215">
        <f t="shared" si="4"/>
        <v>348546306.14130747</v>
      </c>
      <c r="S9" s="162" t="s">
        <v>296</v>
      </c>
      <c r="T9" s="162" t="s">
        <v>297</v>
      </c>
    </row>
    <row r="10" spans="1:20">
      <c r="A10" s="9" t="s">
        <v>82</v>
      </c>
      <c r="B10" s="34">
        <v>14.9014434814453</v>
      </c>
      <c r="C10" s="34">
        <v>20.6952304840088</v>
      </c>
      <c r="D10" s="34">
        <v>25.139326095581101</v>
      </c>
      <c r="E10" s="17">
        <f t="shared" si="1"/>
        <v>19.109565057994324</v>
      </c>
      <c r="F10" s="17">
        <f t="shared" si="2"/>
        <v>26.539499600611574</v>
      </c>
      <c r="G10" s="17">
        <f t="shared" si="3"/>
        <v>32.238594075521533</v>
      </c>
      <c r="H10" s="26">
        <f>AVERAGE('DBEDT-HEI-BBG Fuel Jan''00-pres'!B87:B98)/T77*$T$80</f>
        <v>63.697875371549884</v>
      </c>
      <c r="I10" s="26">
        <f>AVERAGE('DBEDT-HEI-BBG Fuel Jan''00-pres'!K87:K98)/T77*$T$80</f>
        <v>73.423239640264356</v>
      </c>
      <c r="J10" s="12">
        <f>SUM('DBEDT monthly energy ''06-''15'!O95:Z95)</f>
        <v>9356412</v>
      </c>
      <c r="K10" s="215">
        <f t="shared" si="4"/>
        <v>347669072.96371645</v>
      </c>
      <c r="S10" s="162" t="s">
        <v>298</v>
      </c>
      <c r="T10" s="162" t="s">
        <v>299</v>
      </c>
    </row>
    <row r="11" spans="1:20">
      <c r="A11" s="9" t="s">
        <v>83</v>
      </c>
      <c r="B11" s="34">
        <v>14.9014434814453</v>
      </c>
      <c r="C11" s="34">
        <v>20.793989181518601</v>
      </c>
      <c r="D11" s="34">
        <v>25.5563068389893</v>
      </c>
      <c r="E11" s="17">
        <f t="shared" si="1"/>
        <v>19.109565057994324</v>
      </c>
      <c r="F11" s="17">
        <f t="shared" si="2"/>
        <v>26.666147449020105</v>
      </c>
      <c r="G11" s="17">
        <f t="shared" si="3"/>
        <v>32.773328891917792</v>
      </c>
      <c r="H11" s="26">
        <f>AVERAGE('DBEDT-HEI-BBG Fuel Jan''00-pres'!B99:B110)/T78*$T$80</f>
        <v>110.78237325619644</v>
      </c>
      <c r="I11" s="26">
        <f>AVERAGE('DBEDT-HEI-BBG Fuel Jan''00-pres'!K99:K110)/T78*$T$80</f>
        <v>117.79491347604326</v>
      </c>
      <c r="J11" s="12">
        <f>SUM('DBEDT monthly energy ''06-''15'!AA95:AL95)</f>
        <v>8970986</v>
      </c>
      <c r="K11" s="215">
        <f t="shared" si="4"/>
        <v>754605484.08901763</v>
      </c>
      <c r="S11" s="162" t="s">
        <v>300</v>
      </c>
      <c r="T11" s="162" t="s">
        <v>301</v>
      </c>
    </row>
    <row r="12" spans="1:20">
      <c r="A12" s="9" t="s">
        <v>84</v>
      </c>
      <c r="B12" s="34">
        <v>14.9014434814453</v>
      </c>
      <c r="C12" s="34">
        <v>20.9037170410156</v>
      </c>
      <c r="D12" s="34">
        <v>25.940361022949201</v>
      </c>
      <c r="E12" s="17">
        <f t="shared" si="1"/>
        <v>19.109565057994324</v>
      </c>
      <c r="F12" s="17">
        <f t="shared" si="2"/>
        <v>26.806862116853676</v>
      </c>
      <c r="G12" s="17">
        <f t="shared" si="3"/>
        <v>33.265838790258513</v>
      </c>
      <c r="H12" s="26">
        <f>AVERAGE('DBEDT-HEI-BBG Fuel Jan''00-pres'!B111:B122)/T79*$T$80</f>
        <v>60.938051999999999</v>
      </c>
      <c r="I12" s="26">
        <f>AVERAGE('DBEDT-HEI-BBG Fuel Jan''00-pres'!K111:K122)/T79*$T$80</f>
        <v>65.259771675698261</v>
      </c>
      <c r="J12" s="12">
        <f>SUM('DBEDT monthly energy ''06-''15'!AM95:AX95)</f>
        <v>8617627</v>
      </c>
      <c r="K12" s="215">
        <f t="shared" si="4"/>
        <v>294129863.47912854</v>
      </c>
      <c r="S12" s="9"/>
      <c r="T12" s="162" t="s">
        <v>278</v>
      </c>
    </row>
    <row r="13" spans="1:20">
      <c r="A13" s="9" t="s">
        <v>2</v>
      </c>
      <c r="B13" s="34">
        <v>14.9014434814453</v>
      </c>
      <c r="C13" s="34">
        <v>21.002475738525401</v>
      </c>
      <c r="D13" s="34">
        <v>26.3134460449219</v>
      </c>
      <c r="E13" s="17">
        <f t="shared" si="1"/>
        <v>19.109565057994324</v>
      </c>
      <c r="F13" s="17">
        <f t="shared" si="2"/>
        <v>26.933509965262203</v>
      </c>
      <c r="G13" s="17">
        <f t="shared" si="3"/>
        <v>33.744281869174181</v>
      </c>
      <c r="H13" s="26">
        <f>AVERAGE('DBEDT-HEI-BBG Fuel Jan''00-pres'!B123:B134)/T80*$T$80</f>
        <v>84.698397404506423</v>
      </c>
      <c r="I13" s="26">
        <f>AVERAGE('DBEDT-HEI-BBG Fuel Jan''00-pres'!K123:K134)/T80*$T$80</f>
        <v>88.127070011099178</v>
      </c>
      <c r="J13" s="213">
        <f>SUM('DBEDT monthly energy ''06-''15'!AY95:BJ95)</f>
        <v>8357750</v>
      </c>
      <c r="K13" s="215">
        <f t="shared" si="4"/>
        <v>482784487.99534339</v>
      </c>
      <c r="L13" s="164"/>
      <c r="M13" s="164"/>
      <c r="N13" s="164"/>
      <c r="O13" s="164"/>
      <c r="P13" s="164"/>
      <c r="Q13" s="164"/>
      <c r="S13" s="9"/>
      <c r="T13" s="162" t="s">
        <v>302</v>
      </c>
    </row>
    <row r="14" spans="1:20">
      <c r="A14" s="9" t="s">
        <v>85</v>
      </c>
      <c r="B14" s="34">
        <v>14.9014434814453</v>
      </c>
      <c r="C14" s="34">
        <v>21.101232528686499</v>
      </c>
      <c r="D14" s="34">
        <v>26.708478927612301</v>
      </c>
      <c r="E14" s="17">
        <f t="shared" si="1"/>
        <v>19.109565057994324</v>
      </c>
      <c r="F14" s="17">
        <f t="shared" si="2"/>
        <v>27.060155367692651</v>
      </c>
      <c r="G14" s="17">
        <f t="shared" si="3"/>
        <v>34.250870816830087</v>
      </c>
      <c r="H14" s="26">
        <f>AVERAGE('DBEDT-HEI-BBG Fuel Jan''00-pres'!B135:B146)/T81*$T$80</f>
        <v>117.79763586162937</v>
      </c>
      <c r="I14" s="26">
        <f>AVERAGE('DBEDT-HEI-BBG Fuel Jan''00-pres'!K135:K146)/T81*$T$80</f>
        <v>120.57757081760772</v>
      </c>
      <c r="J14" s="214">
        <f>SUM('DBEDT monthly energy ''06-''15'!BK95:BV95)</f>
        <v>8263907</v>
      </c>
      <c r="K14" s="215">
        <f t="shared" si="4"/>
        <v>749846100.21620703</v>
      </c>
      <c r="L14" s="91"/>
      <c r="M14" s="91"/>
      <c r="N14" s="91"/>
      <c r="O14" s="91"/>
      <c r="P14" s="91"/>
      <c r="Q14" s="164"/>
      <c r="S14" s="9"/>
      <c r="T14" s="162" t="s">
        <v>303</v>
      </c>
    </row>
    <row r="15" spans="1:20">
      <c r="A15" s="9" t="s">
        <v>86</v>
      </c>
      <c r="B15" s="34">
        <v>14.9014434814453</v>
      </c>
      <c r="C15" s="34">
        <v>21.210964202880898</v>
      </c>
      <c r="D15" s="34">
        <v>27.0705890655518</v>
      </c>
      <c r="E15" s="17">
        <f t="shared" si="1"/>
        <v>19.109565057994324</v>
      </c>
      <c r="F15" s="17">
        <f t="shared" si="2"/>
        <v>27.200874927482385</v>
      </c>
      <c r="G15" s="17">
        <f t="shared" si="3"/>
        <v>34.7152397383866</v>
      </c>
      <c r="H15" s="26">
        <f>AVERAGE('DBEDT-HEI-BBG Fuel Jan''00-pres'!B147:B158)/T82*$T$80</f>
        <v>130.23797667501495</v>
      </c>
      <c r="I15" s="26">
        <f>AVERAGE('DBEDT-HEI-BBG Fuel Jan''00-pres'!K147:K158)/T82*$T$80</f>
        <v>131.50468678875001</v>
      </c>
      <c r="J15" s="12">
        <f>SUM('DBEDT monthly energy ''06-''15'!BW95:CH95)</f>
        <v>7612237</v>
      </c>
      <c r="K15" s="215">
        <f t="shared" si="4"/>
        <v>784342838.29533195</v>
      </c>
      <c r="L15" s="165"/>
      <c r="M15" s="165"/>
      <c r="N15" s="165"/>
      <c r="O15" s="165"/>
      <c r="P15" s="165"/>
      <c r="Q15" s="164"/>
      <c r="S15" s="9"/>
      <c r="T15" s="9"/>
    </row>
    <row r="16" spans="1:20">
      <c r="A16" s="9" t="s">
        <v>87</v>
      </c>
      <c r="B16" s="34">
        <v>14.9014434814453</v>
      </c>
      <c r="C16" s="34">
        <v>21.3097229003906</v>
      </c>
      <c r="D16" s="34">
        <v>27.355890274047901</v>
      </c>
      <c r="E16" s="17">
        <f t="shared" si="1"/>
        <v>19.109565057994324</v>
      </c>
      <c r="F16" s="17">
        <f t="shared" si="2"/>
        <v>27.327522775890785</v>
      </c>
      <c r="G16" s="17">
        <f t="shared" si="3"/>
        <v>35.081109126252898</v>
      </c>
      <c r="H16" s="13">
        <f>AVERAGE('DBEDT-HEI-BBG Fuel Jan''00-pres'!B159:B170)/T83*$T$80</f>
        <v>121.00510350379014</v>
      </c>
      <c r="I16" s="13">
        <f>AVERAGE('DBEDT-HEI-BBG Fuel Jan''00-pres'!K159:K170)/T83*$T$80</f>
        <v>123.71279476133836</v>
      </c>
      <c r="J16" s="12">
        <f>SUM('DBEDT monthly energy ''06-''15'!CI95:CT95)</f>
        <v>7207891</v>
      </c>
      <c r="K16" s="215">
        <f t="shared" si="4"/>
        <v>675217791.0303992</v>
      </c>
      <c r="L16" s="91"/>
      <c r="M16" s="91"/>
      <c r="N16" s="91"/>
      <c r="O16" s="91"/>
      <c r="P16" s="91"/>
      <c r="Q16" s="164"/>
      <c r="S16" s="162" t="s">
        <v>304</v>
      </c>
      <c r="T16" s="162" t="s">
        <v>305</v>
      </c>
    </row>
    <row r="17" spans="1:90">
      <c r="A17" s="9" t="s">
        <v>88</v>
      </c>
      <c r="B17" s="34">
        <v>14.9014434814453</v>
      </c>
      <c r="C17" s="34">
        <v>21.4194526672363</v>
      </c>
      <c r="D17" s="34">
        <v>27.6302165985107</v>
      </c>
      <c r="E17" s="17">
        <f t="shared" si="1"/>
        <v>19.109565057994324</v>
      </c>
      <c r="F17" s="17">
        <f t="shared" si="2"/>
        <v>27.468239889702431</v>
      </c>
      <c r="G17" s="17">
        <f t="shared" si="3"/>
        <v>35.43290435675992</v>
      </c>
      <c r="H17" s="13">
        <f>AVERAGE('DBEDT-HEI-BBG Fuel Jan''00-pres'!B171:B182)/T84*$T$80</f>
        <v>117.51850816813995</v>
      </c>
      <c r="I17" s="13">
        <f>AVERAGE('DBEDT-HEI-BBG Fuel Jan''00-pres'!K171:K182)/T84*$T$80</f>
        <v>119.66177862818574</v>
      </c>
      <c r="J17" s="213">
        <f>SUM('DBEDT monthly energy ''06-''15'!CU95:DF95)</f>
        <v>6867426</v>
      </c>
      <c r="K17" s="215">
        <f t="shared" si="4"/>
        <v>618413553.68231702</v>
      </c>
      <c r="L17" s="164"/>
      <c r="M17" s="164"/>
      <c r="N17" s="164"/>
      <c r="O17" s="164"/>
      <c r="P17" s="164"/>
      <c r="Q17" s="164"/>
      <c r="S17" s="163">
        <v>17168</v>
      </c>
      <c r="T17" s="292">
        <v>12.903</v>
      </c>
      <c r="U17" s="292"/>
      <c r="V17" s="292"/>
      <c r="W17" s="292"/>
      <c r="X17" s="292"/>
      <c r="Y17" s="292"/>
      <c r="Z17" s="292"/>
      <c r="AA17" s="292"/>
      <c r="AB17" s="292"/>
      <c r="AC17" s="292"/>
      <c r="AD17" s="292"/>
      <c r="AE17" s="292"/>
      <c r="AF17" s="292"/>
      <c r="AG17" s="292"/>
      <c r="AH17" s="292"/>
      <c r="AI17" s="292"/>
      <c r="AJ17" s="292"/>
      <c r="AK17" s="292"/>
      <c r="AL17" s="292"/>
      <c r="AM17" s="292"/>
      <c r="AN17" s="292"/>
      <c r="AO17" s="292"/>
      <c r="AP17" s="292"/>
      <c r="AQ17" s="292"/>
      <c r="AR17" s="292"/>
      <c r="AS17" s="292"/>
      <c r="AT17" s="292"/>
      <c r="AU17" s="292"/>
      <c r="AV17" s="292"/>
      <c r="AW17" s="292"/>
      <c r="AX17" s="292"/>
      <c r="AY17" s="292"/>
      <c r="AZ17" s="292"/>
      <c r="BA17" s="292"/>
      <c r="BB17" s="292"/>
      <c r="BC17" s="292"/>
      <c r="BD17" s="292"/>
      <c r="BE17" s="292"/>
      <c r="BF17" s="292"/>
      <c r="BG17" s="292"/>
      <c r="BH17" s="292"/>
      <c r="BI17" s="292"/>
      <c r="BJ17" s="292"/>
      <c r="BK17" s="292"/>
      <c r="BL17" s="292"/>
      <c r="BM17" s="292"/>
      <c r="BN17" s="292"/>
      <c r="BO17" s="292"/>
      <c r="BP17" s="292"/>
      <c r="BQ17" s="292"/>
      <c r="BR17" s="292"/>
      <c r="BS17" s="292"/>
      <c r="BT17" s="292"/>
      <c r="BU17" s="292"/>
      <c r="BV17" s="292"/>
      <c r="BW17" s="292"/>
      <c r="BX17" s="292"/>
      <c r="BY17" s="292"/>
      <c r="BZ17" s="292"/>
      <c r="CA17" s="292"/>
      <c r="CB17" s="292"/>
      <c r="CC17" s="292"/>
      <c r="CD17" s="292"/>
      <c r="CE17" s="292"/>
      <c r="CF17" s="292"/>
      <c r="CG17" s="292"/>
      <c r="CH17" s="292"/>
      <c r="CI17" s="292"/>
      <c r="CJ17" s="292"/>
      <c r="CK17" s="292"/>
      <c r="CL17" s="292"/>
    </row>
    <row r="18" spans="1:90">
      <c r="A18" s="9" t="s">
        <v>3</v>
      </c>
      <c r="B18" s="34">
        <v>14.9014434814453</v>
      </c>
      <c r="C18" s="34">
        <v>21.5291843414307</v>
      </c>
      <c r="D18" s="34">
        <v>27.860651016235401</v>
      </c>
      <c r="E18" s="17">
        <f t="shared" si="1"/>
        <v>19.109565057994324</v>
      </c>
      <c r="F18" s="17">
        <f t="shared" si="2"/>
        <v>27.608959449492161</v>
      </c>
      <c r="G18" s="17">
        <f t="shared" si="3"/>
        <v>35.728412741742503</v>
      </c>
      <c r="H18" s="13">
        <f>AVERAGE('DBEDT-HEI-BBG Fuel Jan''00-pres'!B183:B194)/T85*$T$80</f>
        <v>63.235577295785831</v>
      </c>
      <c r="I18" s="13">
        <f>AVERAGE('DBEDT-HEI-BBG Fuel Jan''00-pres'!K183:K194)/T85*$T$80</f>
        <v>67.706829201619797</v>
      </c>
      <c r="J18" s="213"/>
      <c r="K18" s="215"/>
      <c r="S18" s="163">
        <v>17533</v>
      </c>
      <c r="T18" s="292">
        <v>13.629</v>
      </c>
      <c r="U18" s="292"/>
    </row>
    <row r="19" spans="1:90">
      <c r="A19" s="9" t="s">
        <v>89</v>
      </c>
      <c r="B19" s="34">
        <v>14.9014434814453</v>
      </c>
      <c r="C19" s="34">
        <v>21.6279411315918</v>
      </c>
      <c r="D19" s="34">
        <v>27.937461853027301</v>
      </c>
      <c r="E19" s="17">
        <f t="shared" si="1"/>
        <v>19.109565057994324</v>
      </c>
      <c r="F19" s="17">
        <f t="shared" si="2"/>
        <v>27.735604851922613</v>
      </c>
      <c r="G19" s="17">
        <f t="shared" si="3"/>
        <v>35.826914721410546</v>
      </c>
      <c r="K19" s="216">
        <f>SUM(K3:K17)</f>
        <v>5889533111.0818729</v>
      </c>
      <c r="S19" s="163">
        <v>17899</v>
      </c>
      <c r="T19" s="292">
        <v>13.622</v>
      </c>
      <c r="U19" s="292"/>
    </row>
    <row r="20" spans="1:90">
      <c r="A20" s="9" t="s">
        <v>90</v>
      </c>
      <c r="B20" s="34">
        <v>14.9014434814453</v>
      </c>
      <c r="C20" s="34">
        <v>21.7376708984375</v>
      </c>
      <c r="D20" s="34">
        <v>27.970382690429702</v>
      </c>
      <c r="E20" s="17">
        <f t="shared" si="1"/>
        <v>19.109565057994324</v>
      </c>
      <c r="F20" s="17">
        <f t="shared" si="2"/>
        <v>27.876321965734267</v>
      </c>
      <c r="G20" s="17">
        <f t="shared" si="3"/>
        <v>35.869132301532105</v>
      </c>
      <c r="S20" s="163">
        <v>18264</v>
      </c>
      <c r="T20" s="292">
        <v>13.746</v>
      </c>
      <c r="U20" s="292"/>
    </row>
    <row r="21" spans="1:90">
      <c r="A21" s="9" t="s">
        <v>91</v>
      </c>
      <c r="B21" s="34">
        <v>14.9014434814453</v>
      </c>
      <c r="C21" s="34">
        <v>21.836431503295898</v>
      </c>
      <c r="D21" s="34">
        <v>28.003303527831999</v>
      </c>
      <c r="E21" s="17">
        <f t="shared" si="1"/>
        <v>19.109565057994324</v>
      </c>
      <c r="F21" s="17">
        <f t="shared" si="2"/>
        <v>28.002972260120739</v>
      </c>
      <c r="G21" s="17">
        <f t="shared" si="3"/>
        <v>35.911349881653535</v>
      </c>
      <c r="S21" s="163">
        <v>18629</v>
      </c>
      <c r="T21" s="292">
        <v>14.675000000000001</v>
      </c>
      <c r="U21" s="292"/>
    </row>
    <row r="22" spans="1:90">
      <c r="A22" s="9" t="s">
        <v>92</v>
      </c>
      <c r="B22" s="34">
        <v>14.9014434814453</v>
      </c>
      <c r="C22" s="34">
        <v>21.946161270141602</v>
      </c>
      <c r="D22" s="34">
        <v>28.0252494812012</v>
      </c>
      <c r="E22" s="17">
        <f t="shared" si="1"/>
        <v>19.109565057994324</v>
      </c>
      <c r="F22" s="17">
        <f t="shared" si="2"/>
        <v>28.143689373932393</v>
      </c>
      <c r="G22" s="17">
        <f t="shared" si="3"/>
        <v>35.939493304415947</v>
      </c>
      <c r="S22" s="163">
        <v>18994</v>
      </c>
      <c r="T22" s="292">
        <v>14.996</v>
      </c>
      <c r="U22" s="292"/>
    </row>
    <row r="23" spans="1:90">
      <c r="A23" s="9" t="s">
        <v>4</v>
      </c>
      <c r="B23" s="34">
        <v>14.9014434814453</v>
      </c>
      <c r="C23" s="34">
        <v>22.044918060302699</v>
      </c>
      <c r="D23" s="34">
        <v>28.036220550537099</v>
      </c>
      <c r="E23" s="17">
        <f t="shared" si="1"/>
        <v>19.109565057994324</v>
      </c>
      <c r="F23" s="17">
        <f t="shared" si="2"/>
        <v>28.270334776362841</v>
      </c>
      <c r="G23" s="17">
        <f t="shared" si="3"/>
        <v>35.95356256981907</v>
      </c>
      <c r="S23" s="163">
        <v>19360</v>
      </c>
      <c r="T23" s="292">
        <v>15.19</v>
      </c>
      <c r="U23" s="292"/>
    </row>
    <row r="24" spans="1:90">
      <c r="S24" s="163">
        <v>19725</v>
      </c>
      <c r="T24" s="292">
        <v>15.346</v>
      </c>
      <c r="U24" s="292"/>
    </row>
    <row r="25" spans="1:90">
      <c r="S25" s="163">
        <v>20090</v>
      </c>
      <c r="T25" s="292">
        <v>15.566000000000001</v>
      </c>
      <c r="U25" s="292"/>
    </row>
    <row r="26" spans="1:90">
      <c r="S26" s="163">
        <v>20455</v>
      </c>
      <c r="T26" s="292">
        <v>16.100999999999999</v>
      </c>
      <c r="U26" s="292"/>
    </row>
    <row r="27" spans="1:90">
      <c r="S27" s="163">
        <v>20821</v>
      </c>
      <c r="T27" s="292">
        <v>16.663</v>
      </c>
      <c r="U27" s="292"/>
    </row>
    <row r="28" spans="1:90">
      <c r="S28" s="163">
        <v>21186</v>
      </c>
      <c r="T28" s="292">
        <v>17.05</v>
      </c>
      <c r="U28" s="292"/>
    </row>
    <row r="29" spans="1:90">
      <c r="S29" s="163">
        <v>21551</v>
      </c>
      <c r="T29" s="292">
        <v>17.277000000000001</v>
      </c>
      <c r="U29" s="292"/>
    </row>
    <row r="30" spans="1:90">
      <c r="S30" s="163">
        <v>21916</v>
      </c>
      <c r="T30" s="292">
        <v>17.515999999999998</v>
      </c>
      <c r="U30" s="292"/>
    </row>
    <row r="31" spans="1:90">
      <c r="S31" s="163">
        <v>22282</v>
      </c>
      <c r="T31" s="292">
        <v>17.709</v>
      </c>
      <c r="U31" s="292"/>
    </row>
    <row r="32" spans="1:90">
      <c r="S32" s="163">
        <v>22647</v>
      </c>
      <c r="T32" s="292">
        <v>17.927</v>
      </c>
      <c r="U32" s="292"/>
    </row>
    <row r="33" spans="19:21">
      <c r="S33" s="163">
        <v>23012</v>
      </c>
      <c r="T33" s="292">
        <v>18.129000000000001</v>
      </c>
      <c r="U33" s="292"/>
    </row>
    <row r="34" spans="19:21">
      <c r="S34" s="163">
        <v>23377</v>
      </c>
      <c r="T34" s="292">
        <v>18.407</v>
      </c>
      <c r="U34" s="292"/>
    </row>
    <row r="35" spans="19:21">
      <c r="S35" s="163">
        <v>23743</v>
      </c>
      <c r="T35" s="292">
        <v>18.744</v>
      </c>
      <c r="U35" s="292"/>
    </row>
    <row r="36" spans="19:21">
      <c r="S36" s="163">
        <v>24108</v>
      </c>
      <c r="T36" s="292">
        <v>19.271000000000001</v>
      </c>
      <c r="U36" s="292"/>
    </row>
    <row r="37" spans="19:21">
      <c r="S37" s="163">
        <v>24473</v>
      </c>
      <c r="T37" s="292">
        <v>19.831</v>
      </c>
      <c r="U37" s="292"/>
    </row>
    <row r="38" spans="19:21">
      <c r="S38" s="163">
        <v>24838</v>
      </c>
      <c r="T38" s="292">
        <v>20.673999999999999</v>
      </c>
      <c r="U38" s="292"/>
    </row>
    <row r="39" spans="19:21">
      <c r="S39" s="163">
        <v>25204</v>
      </c>
      <c r="T39" s="292">
        <v>21.690999999999999</v>
      </c>
      <c r="U39" s="292"/>
    </row>
    <row r="40" spans="19:21">
      <c r="S40" s="163">
        <v>25569</v>
      </c>
      <c r="T40" s="292">
        <v>22.835999999999999</v>
      </c>
      <c r="U40" s="292"/>
    </row>
    <row r="41" spans="19:21">
      <c r="S41" s="163">
        <v>25934</v>
      </c>
      <c r="T41" s="292">
        <v>23.995999999999999</v>
      </c>
      <c r="U41" s="292"/>
    </row>
    <row r="42" spans="19:21">
      <c r="S42" s="163">
        <v>26299</v>
      </c>
      <c r="T42" s="292">
        <v>25.035</v>
      </c>
      <c r="U42" s="292"/>
    </row>
    <row r="43" spans="19:21">
      <c r="S43" s="163">
        <v>26665</v>
      </c>
      <c r="T43" s="292">
        <v>26.396000000000001</v>
      </c>
      <c r="U43" s="292"/>
    </row>
    <row r="44" spans="19:21">
      <c r="S44" s="163">
        <v>27030</v>
      </c>
      <c r="T44" s="292">
        <v>28.76</v>
      </c>
      <c r="U44" s="292"/>
    </row>
    <row r="45" spans="19:21">
      <c r="S45" s="163">
        <v>27395</v>
      </c>
      <c r="T45" s="292">
        <v>31.431000000000001</v>
      </c>
      <c r="U45" s="292"/>
    </row>
    <row r="46" spans="19:21">
      <c r="S46" s="163">
        <v>27760</v>
      </c>
      <c r="T46" s="292">
        <v>33.156999999999996</v>
      </c>
      <c r="U46" s="292"/>
    </row>
    <row r="47" spans="19:21">
      <c r="S47" s="163">
        <v>28126</v>
      </c>
      <c r="T47" s="292">
        <v>35.209000000000003</v>
      </c>
      <c r="U47" s="292"/>
    </row>
    <row r="48" spans="19:21">
      <c r="S48" s="163">
        <v>28491</v>
      </c>
      <c r="T48" s="292">
        <v>37.68</v>
      </c>
      <c r="U48" s="292"/>
    </row>
    <row r="49" spans="19:21">
      <c r="S49" s="163">
        <v>28856</v>
      </c>
      <c r="T49" s="292">
        <v>40.79</v>
      </c>
      <c r="U49" s="292"/>
    </row>
    <row r="50" spans="19:21">
      <c r="S50" s="163">
        <v>29221</v>
      </c>
      <c r="T50" s="292">
        <v>44.48</v>
      </c>
      <c r="U50" s="292"/>
    </row>
    <row r="51" spans="19:21">
      <c r="S51" s="163">
        <v>29587</v>
      </c>
      <c r="T51" s="292">
        <v>48.658000000000001</v>
      </c>
      <c r="U51" s="292"/>
    </row>
    <row r="52" spans="19:21">
      <c r="S52" s="163">
        <v>29952</v>
      </c>
      <c r="T52" s="292">
        <v>51.624000000000002</v>
      </c>
      <c r="U52" s="292"/>
    </row>
    <row r="53" spans="19:21">
      <c r="S53" s="163">
        <v>30317</v>
      </c>
      <c r="T53" s="292">
        <v>53.658000000000001</v>
      </c>
      <c r="U53" s="292"/>
    </row>
    <row r="54" spans="19:21">
      <c r="S54" s="163">
        <v>30682</v>
      </c>
      <c r="T54" s="292">
        <v>55.564</v>
      </c>
      <c r="U54" s="292"/>
    </row>
    <row r="55" spans="19:21">
      <c r="S55" s="163">
        <v>31048</v>
      </c>
      <c r="T55" s="292">
        <v>57.341000000000001</v>
      </c>
      <c r="U55" s="292"/>
    </row>
    <row r="56" spans="19:21">
      <c r="S56" s="163">
        <v>31413</v>
      </c>
      <c r="T56" s="292">
        <v>58.503999999999998</v>
      </c>
      <c r="U56" s="292"/>
    </row>
    <row r="57" spans="19:21">
      <c r="S57" s="163">
        <v>31778</v>
      </c>
      <c r="T57" s="292">
        <v>59.935000000000002</v>
      </c>
      <c r="U57" s="292"/>
    </row>
    <row r="58" spans="19:21">
      <c r="S58" s="163">
        <v>32143</v>
      </c>
      <c r="T58" s="292">
        <v>62.036000000000001</v>
      </c>
      <c r="U58" s="292"/>
    </row>
    <row r="59" spans="19:21">
      <c r="S59" s="163">
        <v>32509</v>
      </c>
      <c r="T59" s="292">
        <v>64.447999999999993</v>
      </c>
      <c r="U59" s="292"/>
    </row>
    <row r="60" spans="19:21">
      <c r="S60" s="163">
        <v>32874</v>
      </c>
      <c r="T60" s="292">
        <v>66.840999999999994</v>
      </c>
      <c r="U60" s="292"/>
    </row>
    <row r="61" spans="19:21">
      <c r="S61" s="163">
        <v>33239</v>
      </c>
      <c r="T61" s="292">
        <v>69.057000000000002</v>
      </c>
      <c r="U61" s="292"/>
    </row>
    <row r="62" spans="19:21">
      <c r="S62" s="163">
        <v>33604</v>
      </c>
      <c r="T62" s="292">
        <v>70.632000000000005</v>
      </c>
      <c r="U62" s="292"/>
    </row>
    <row r="63" spans="19:21">
      <c r="S63" s="163">
        <v>33970</v>
      </c>
      <c r="T63" s="292">
        <v>72.314999999999998</v>
      </c>
      <c r="U63" s="292"/>
    </row>
    <row r="64" spans="19:21">
      <c r="S64" s="163">
        <v>34335</v>
      </c>
      <c r="T64" s="292">
        <v>73.850999999999999</v>
      </c>
      <c r="U64" s="292"/>
    </row>
    <row r="65" spans="19:21">
      <c r="S65" s="163">
        <v>34700</v>
      </c>
      <c r="T65" s="292">
        <v>75.393000000000001</v>
      </c>
      <c r="U65" s="292"/>
    </row>
    <row r="66" spans="19:21">
      <c r="S66" s="163">
        <v>35065</v>
      </c>
      <c r="T66" s="292">
        <v>76.766999999999996</v>
      </c>
      <c r="U66" s="292"/>
    </row>
    <row r="67" spans="19:21">
      <c r="S67" s="163">
        <v>35431</v>
      </c>
      <c r="T67" s="292">
        <v>78.087999999999994</v>
      </c>
      <c r="U67" s="292"/>
    </row>
    <row r="68" spans="19:21">
      <c r="S68" s="163">
        <v>35796</v>
      </c>
      <c r="T68" s="292">
        <v>78.935000000000002</v>
      </c>
      <c r="U68" s="292"/>
    </row>
    <row r="69" spans="19:21">
      <c r="S69" s="163">
        <v>36161</v>
      </c>
      <c r="T69" s="292">
        <v>80.064999999999998</v>
      </c>
      <c r="U69" s="292"/>
    </row>
    <row r="70" spans="19:21">
      <c r="S70" s="163">
        <v>36526</v>
      </c>
      <c r="T70" s="292">
        <v>81.89</v>
      </c>
      <c r="U70" s="292"/>
    </row>
    <row r="71" spans="19:21">
      <c r="S71" s="163">
        <v>36892</v>
      </c>
      <c r="T71" s="292">
        <v>83.754999999999995</v>
      </c>
      <c r="U71" s="292"/>
    </row>
    <row r="72" spans="19:21">
      <c r="S72" s="163">
        <v>37257</v>
      </c>
      <c r="T72" s="292">
        <v>85.04</v>
      </c>
      <c r="U72" s="292"/>
    </row>
    <row r="73" spans="19:21">
      <c r="S73" s="163">
        <v>37622</v>
      </c>
      <c r="T73" s="292">
        <v>86.734999999999999</v>
      </c>
      <c r="U73" s="292"/>
    </row>
    <row r="74" spans="19:21">
      <c r="S74" s="163">
        <v>37987</v>
      </c>
      <c r="T74" s="292">
        <v>89.117999999999995</v>
      </c>
      <c r="U74" s="292"/>
    </row>
    <row r="75" spans="19:21">
      <c r="S75" s="163">
        <v>38353</v>
      </c>
      <c r="T75" s="292">
        <v>91.984999999999999</v>
      </c>
      <c r="U75" s="292"/>
    </row>
    <row r="76" spans="19:21">
      <c r="S76" s="163">
        <v>38718</v>
      </c>
      <c r="T76" s="292">
        <v>94.811999999999998</v>
      </c>
      <c r="U76" s="292"/>
    </row>
    <row r="77" spans="19:21">
      <c r="S77" s="163">
        <v>39083</v>
      </c>
      <c r="T77" s="292">
        <v>97.34</v>
      </c>
      <c r="U77" s="292"/>
    </row>
    <row r="78" spans="19:21">
      <c r="S78" s="163">
        <v>39448</v>
      </c>
      <c r="T78" s="292">
        <v>99.218000000000004</v>
      </c>
      <c r="U78" s="292"/>
    </row>
    <row r="79" spans="19:21">
      <c r="S79" s="163">
        <v>39814</v>
      </c>
      <c r="T79" s="292">
        <v>100</v>
      </c>
      <c r="U79" s="292"/>
    </row>
    <row r="80" spans="19:21">
      <c r="S80" s="163">
        <v>40179</v>
      </c>
      <c r="T80" s="292">
        <v>101.226</v>
      </c>
      <c r="U80" s="292"/>
    </row>
    <row r="81" spans="19:21">
      <c r="S81" s="163">
        <v>40544</v>
      </c>
      <c r="T81" s="292">
        <v>103.315</v>
      </c>
      <c r="U81" s="292"/>
    </row>
    <row r="82" spans="19:21">
      <c r="S82" s="163">
        <v>40909</v>
      </c>
      <c r="T82" s="292">
        <v>105.22</v>
      </c>
      <c r="U82" s="292"/>
    </row>
    <row r="83" spans="19:21">
      <c r="S83" s="163">
        <v>41275</v>
      </c>
      <c r="T83" s="292">
        <v>106.935</v>
      </c>
      <c r="U83" s="292"/>
    </row>
    <row r="84" spans="19:21">
      <c r="S84" s="163">
        <v>41640</v>
      </c>
      <c r="T84" s="292">
        <v>108.694</v>
      </c>
      <c r="U84" s="292"/>
    </row>
    <row r="85" spans="19:21">
      <c r="S85" s="163">
        <v>42005</v>
      </c>
      <c r="T85" s="292">
        <v>109.782</v>
      </c>
      <c r="U85" s="292"/>
    </row>
    <row r="86" spans="19:21">
      <c r="S86" s="163"/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3"/>
  <sheetViews>
    <sheetView workbookViewId="0">
      <selection activeCell="H25" sqref="H25"/>
    </sheetView>
  </sheetViews>
  <sheetFormatPr defaultColWidth="8.77734375" defaultRowHeight="14.4"/>
  <sheetData>
    <row r="1" spans="1:37" ht="15.6">
      <c r="A1" s="157" t="s">
        <v>276</v>
      </c>
    </row>
    <row r="2" spans="1:37">
      <c r="A2" s="158" t="s">
        <v>277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</row>
    <row r="3" spans="1:37"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</row>
    <row r="4" spans="1:37" ht="28.8">
      <c r="B4" s="159" t="s">
        <v>279</v>
      </c>
      <c r="C4" s="159" t="s">
        <v>280</v>
      </c>
    </row>
    <row r="5" spans="1:37">
      <c r="A5" s="161">
        <v>2012</v>
      </c>
      <c r="B5" s="160">
        <v>20.824804</v>
      </c>
      <c r="C5" s="160">
        <v>3.51688</v>
      </c>
    </row>
    <row r="6" spans="1:37">
      <c r="A6" s="161">
        <v>2013</v>
      </c>
      <c r="B6" s="160">
        <v>18.893046999999999</v>
      </c>
      <c r="C6" s="160">
        <v>4.4006239999999996</v>
      </c>
    </row>
    <row r="7" spans="1:37">
      <c r="A7" s="161">
        <v>2014</v>
      </c>
      <c r="B7" s="160">
        <v>20.004930000000002</v>
      </c>
      <c r="C7" s="160">
        <v>5.0402560000000003</v>
      </c>
    </row>
    <row r="8" spans="1:37">
      <c r="A8" s="161">
        <v>2015</v>
      </c>
      <c r="B8" s="160">
        <v>11.468994</v>
      </c>
      <c r="C8" s="160">
        <v>4.3834330000000001</v>
      </c>
    </row>
    <row r="9" spans="1:37">
      <c r="A9" s="161">
        <v>2016</v>
      </c>
      <c r="B9" s="160">
        <v>11.011668999999999</v>
      </c>
      <c r="C9" s="160">
        <v>4.4210190000000003</v>
      </c>
    </row>
    <row r="10" spans="1:37">
      <c r="A10" s="161">
        <v>2017</v>
      </c>
      <c r="B10" s="160">
        <v>9.9991520000000005</v>
      </c>
      <c r="C10" s="160">
        <v>4.4031370000000001</v>
      </c>
    </row>
    <row r="11" spans="1:37">
      <c r="A11" s="161">
        <v>2018</v>
      </c>
      <c r="B11" s="160">
        <v>10.054283</v>
      </c>
      <c r="C11" s="160">
        <v>4.5298590000000001</v>
      </c>
    </row>
    <row r="12" spans="1:37">
      <c r="A12" s="161">
        <v>2019</v>
      </c>
      <c r="B12" s="160">
        <v>11.198876</v>
      </c>
      <c r="C12" s="160">
        <v>4.9550369999999999</v>
      </c>
    </row>
    <row r="13" spans="1:37">
      <c r="A13" s="161">
        <v>2020</v>
      </c>
      <c r="B13" s="160">
        <v>11.453143000000001</v>
      </c>
      <c r="C13" s="160">
        <v>5.3865970000000001</v>
      </c>
    </row>
    <row r="14" spans="1:37">
      <c r="A14" s="161">
        <v>2021</v>
      </c>
      <c r="B14" s="160">
        <v>11.791676000000001</v>
      </c>
      <c r="C14" s="160">
        <v>5.6497830000000002</v>
      </c>
    </row>
    <row r="15" spans="1:37">
      <c r="A15" s="161">
        <v>2022</v>
      </c>
      <c r="B15" s="160">
        <v>12.147738</v>
      </c>
      <c r="C15" s="160">
        <v>5.7970879999999996</v>
      </c>
    </row>
    <row r="16" spans="1:37">
      <c r="A16" s="161">
        <v>2023</v>
      </c>
      <c r="B16" s="160">
        <v>12.507778999999999</v>
      </c>
      <c r="C16" s="160">
        <v>5.9728120000000002</v>
      </c>
    </row>
    <row r="17" spans="1:3">
      <c r="A17" s="161">
        <v>2024</v>
      </c>
      <c r="B17" s="160">
        <v>12.885377999999999</v>
      </c>
      <c r="C17" s="160">
        <v>6.1041150000000002</v>
      </c>
    </row>
    <row r="18" spans="1:3">
      <c r="A18" s="161">
        <v>2025</v>
      </c>
      <c r="B18" s="160">
        <v>13.268763999999999</v>
      </c>
      <c r="C18" s="160">
        <v>6.2740470000000004</v>
      </c>
    </row>
    <row r="19" spans="1:3">
      <c r="A19" s="161">
        <v>2026</v>
      </c>
      <c r="B19" s="160">
        <v>13.676804000000001</v>
      </c>
      <c r="C19" s="160">
        <v>6.438682</v>
      </c>
    </row>
    <row r="20" spans="1:3">
      <c r="A20" s="161">
        <v>2027</v>
      </c>
      <c r="B20" s="160">
        <v>14.083218</v>
      </c>
      <c r="C20" s="160">
        <v>6.3954579999999996</v>
      </c>
    </row>
    <row r="21" spans="1:3">
      <c r="A21" s="161">
        <v>2028</v>
      </c>
      <c r="B21" s="160">
        <v>14.496015</v>
      </c>
      <c r="C21" s="160">
        <v>6.2843340000000003</v>
      </c>
    </row>
    <row r="22" spans="1:3">
      <c r="A22" s="161">
        <v>2029</v>
      </c>
      <c r="B22" s="160">
        <v>14.928507</v>
      </c>
      <c r="C22" s="160">
        <v>6.2561179999999998</v>
      </c>
    </row>
    <row r="23" spans="1:3">
      <c r="A23" s="161">
        <v>2030</v>
      </c>
      <c r="B23" s="160">
        <v>15.377337000000001</v>
      </c>
      <c r="C23" s="160">
        <v>6.2202510000000002</v>
      </c>
    </row>
    <row r="24" spans="1:3">
      <c r="A24" s="161">
        <v>2031</v>
      </c>
      <c r="B24" s="160">
        <v>15.864094</v>
      </c>
      <c r="C24" s="160">
        <v>6.3787390000000004</v>
      </c>
    </row>
    <row r="25" spans="1:3">
      <c r="A25" s="161">
        <v>2032</v>
      </c>
      <c r="B25" s="160">
        <v>16.344154</v>
      </c>
      <c r="C25" s="160">
        <v>6.529452</v>
      </c>
    </row>
    <row r="26" spans="1:3">
      <c r="A26" s="161">
        <v>2033</v>
      </c>
      <c r="B26" s="160">
        <v>16.797329000000001</v>
      </c>
      <c r="C26" s="160">
        <v>6.6800040000000003</v>
      </c>
    </row>
    <row r="27" spans="1:3">
      <c r="A27" s="161">
        <v>2034</v>
      </c>
      <c r="B27" s="160">
        <v>17.332518</v>
      </c>
      <c r="C27" s="160">
        <v>6.8338859999999997</v>
      </c>
    </row>
    <row r="28" spans="1:3">
      <c r="A28" s="161">
        <v>2035</v>
      </c>
      <c r="B28" s="160">
        <v>17.849079</v>
      </c>
      <c r="C28" s="160">
        <v>6.9766000000000004</v>
      </c>
    </row>
    <row r="29" spans="1:3">
      <c r="A29" s="161">
        <v>2036</v>
      </c>
      <c r="B29" s="160">
        <v>18.373325000000001</v>
      </c>
      <c r="C29" s="160">
        <v>7.1470760000000002</v>
      </c>
    </row>
    <row r="30" spans="1:3">
      <c r="A30" s="161">
        <v>2037</v>
      </c>
      <c r="B30" s="160">
        <v>18.900950999999999</v>
      </c>
      <c r="C30" s="160">
        <v>7.3230570000000004</v>
      </c>
    </row>
    <row r="31" spans="1:3">
      <c r="A31" s="161">
        <v>2038</v>
      </c>
      <c r="B31" s="160">
        <v>19.474056000000001</v>
      </c>
      <c r="C31" s="160">
        <v>7.5332809999999997</v>
      </c>
    </row>
    <row r="32" spans="1:3">
      <c r="A32" s="161">
        <v>2039</v>
      </c>
      <c r="B32" s="160">
        <v>20.437633999999999</v>
      </c>
      <c r="C32" s="160">
        <v>7.8816899999999999</v>
      </c>
    </row>
    <row r="33" spans="1:3">
      <c r="A33" s="161">
        <v>2040</v>
      </c>
      <c r="B33" s="160">
        <v>21.591290999999998</v>
      </c>
      <c r="C33" s="160">
        <v>8.2837329999999998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topLeftCell="A54" workbookViewId="0">
      <selection activeCell="F72" sqref="F72"/>
    </sheetView>
  </sheetViews>
  <sheetFormatPr defaultColWidth="11.44140625" defaultRowHeight="14.4"/>
  <cols>
    <col min="1" max="1" width="14.77734375" customWidth="1"/>
    <col min="2" max="2" width="33.33203125" customWidth="1"/>
    <col min="5" max="5" width="30.44140625" customWidth="1"/>
    <col min="6" max="6" width="12.109375" bestFit="1" customWidth="1"/>
  </cols>
  <sheetData>
    <row r="1" spans="1:11">
      <c r="A1" s="46"/>
      <c r="B1" s="47" t="s">
        <v>120</v>
      </c>
      <c r="E1" s="4" t="s">
        <v>126</v>
      </c>
      <c r="F1" s="33"/>
      <c r="G1" s="5"/>
    </row>
    <row r="2" spans="1:11">
      <c r="A2" s="48" t="s">
        <v>116</v>
      </c>
      <c r="B2" s="49">
        <v>14000</v>
      </c>
      <c r="E2" s="40" t="s">
        <v>129</v>
      </c>
      <c r="F2" s="41"/>
      <c r="G2" s="6"/>
    </row>
    <row r="3" spans="1:11">
      <c r="A3" s="48" t="s">
        <v>117</v>
      </c>
      <c r="B3" s="50">
        <v>10000</v>
      </c>
      <c r="E3" s="40"/>
      <c r="F3" s="41" t="s">
        <v>130</v>
      </c>
      <c r="G3" s="6" t="s">
        <v>158</v>
      </c>
      <c r="H3" t="s">
        <v>160</v>
      </c>
    </row>
    <row r="4" spans="1:11">
      <c r="A4" s="48" t="s">
        <v>118</v>
      </c>
      <c r="B4" s="49">
        <v>7000</v>
      </c>
      <c r="E4" s="40" t="s">
        <v>128</v>
      </c>
      <c r="F4" s="42">
        <v>433164</v>
      </c>
      <c r="G4" s="6">
        <v>78.7</v>
      </c>
      <c r="H4" s="26">
        <f>F4/8760/G4</f>
        <v>0.62830934187394472</v>
      </c>
    </row>
    <row r="5" spans="1:11">
      <c r="A5" s="48" t="s">
        <v>119</v>
      </c>
      <c r="B5" s="49">
        <v>10000</v>
      </c>
      <c r="E5" s="40" t="s">
        <v>131</v>
      </c>
      <c r="F5" s="42">
        <v>255027</v>
      </c>
      <c r="G5" s="6">
        <v>38</v>
      </c>
      <c r="H5" s="26">
        <f>F5/8760/G5</f>
        <v>0.7661229271809662</v>
      </c>
    </row>
    <row r="6" spans="1:11">
      <c r="A6" s="40" t="s">
        <v>121</v>
      </c>
      <c r="B6" s="6"/>
      <c r="E6" s="40" t="s">
        <v>132</v>
      </c>
      <c r="F6" s="42">
        <v>44255</v>
      </c>
      <c r="G6" s="177">
        <f>15.7+6</f>
        <v>21.7</v>
      </c>
      <c r="H6" s="26">
        <f>F6/8760/G6</f>
        <v>0.23280832439029522</v>
      </c>
      <c r="I6" t="s">
        <v>338</v>
      </c>
    </row>
    <row r="7" spans="1:11">
      <c r="A7" s="40"/>
      <c r="B7" s="6"/>
      <c r="E7" s="40" t="s">
        <v>133</v>
      </c>
      <c r="F7" s="42">
        <v>51155</v>
      </c>
      <c r="G7" s="177">
        <v>18.399999999999999</v>
      </c>
      <c r="H7" s="26">
        <f>F7/8760/G7</f>
        <v>0.31737021044272384</v>
      </c>
    </row>
    <row r="8" spans="1:11">
      <c r="A8" s="48" t="s">
        <v>122</v>
      </c>
      <c r="B8" s="49">
        <v>10700</v>
      </c>
      <c r="E8" s="40" t="s">
        <v>134</v>
      </c>
      <c r="F8" s="42">
        <v>577868</v>
      </c>
      <c r="G8" s="6">
        <v>202.06</v>
      </c>
      <c r="H8" s="26">
        <f>F8/8760/G8</f>
        <v>0.32647068527500084</v>
      </c>
    </row>
    <row r="9" spans="1:11" ht="15" thickBot="1">
      <c r="A9" s="51" t="s">
        <v>123</v>
      </c>
      <c r="B9" s="52">
        <v>13600</v>
      </c>
      <c r="E9" s="40" t="s">
        <v>135</v>
      </c>
      <c r="F9" s="42">
        <v>37093</v>
      </c>
      <c r="G9" s="6"/>
    </row>
    <row r="10" spans="1:11">
      <c r="B10" t="s">
        <v>124</v>
      </c>
      <c r="E10" s="40" t="s">
        <v>171</v>
      </c>
      <c r="F10" s="42">
        <v>514999</v>
      </c>
      <c r="G10" s="6">
        <v>307</v>
      </c>
      <c r="H10" s="26">
        <f>F10/8760/G10</f>
        <v>0.19149785075781239</v>
      </c>
      <c r="I10" s="26" t="s">
        <v>173</v>
      </c>
    </row>
    <row r="11" spans="1:11">
      <c r="B11" t="s">
        <v>125</v>
      </c>
      <c r="E11" s="40" t="s">
        <v>136</v>
      </c>
      <c r="F11" s="42"/>
      <c r="G11" s="6"/>
      <c r="I11" t="s">
        <v>188</v>
      </c>
    </row>
    <row r="12" spans="1:11" ht="15" thickBot="1">
      <c r="E12" s="43" t="s">
        <v>137</v>
      </c>
      <c r="F12" s="44">
        <v>8976242</v>
      </c>
      <c r="G12" s="45"/>
    </row>
    <row r="13" spans="1:11">
      <c r="A13" s="4"/>
      <c r="B13" s="5" t="s">
        <v>140</v>
      </c>
      <c r="E13" s="54" t="s">
        <v>159</v>
      </c>
    </row>
    <row r="14" spans="1:11">
      <c r="A14" s="40" t="s">
        <v>138</v>
      </c>
      <c r="B14" s="6">
        <v>0.15</v>
      </c>
      <c r="E14" s="54" t="s">
        <v>172</v>
      </c>
    </row>
    <row r="15" spans="1:11" ht="15" thickBot="1">
      <c r="A15" s="43" t="s">
        <v>139</v>
      </c>
      <c r="B15" s="45">
        <v>0.3</v>
      </c>
    </row>
    <row r="16" spans="1:11">
      <c r="B16" t="s">
        <v>141</v>
      </c>
      <c r="E16" s="4" t="s">
        <v>146</v>
      </c>
      <c r="F16" s="33"/>
      <c r="G16" s="33"/>
      <c r="H16" s="5"/>
      <c r="I16" s="9"/>
      <c r="J16" s="9"/>
      <c r="K16" s="9"/>
    </row>
    <row r="17" spans="1:11">
      <c r="E17" s="40" t="s">
        <v>142</v>
      </c>
      <c r="F17" s="41"/>
      <c r="G17" s="41"/>
      <c r="H17" s="6"/>
      <c r="I17" s="9"/>
      <c r="J17" s="9"/>
      <c r="K17" s="9"/>
    </row>
    <row r="18" spans="1:11" ht="15" thickBot="1">
      <c r="B18" t="s">
        <v>201</v>
      </c>
      <c r="E18" s="48"/>
      <c r="F18" s="39" t="s">
        <v>143</v>
      </c>
      <c r="G18" s="41"/>
      <c r="H18" s="6"/>
      <c r="I18" s="9"/>
      <c r="J18" s="9"/>
      <c r="K18" s="9"/>
    </row>
    <row r="19" spans="1:11">
      <c r="A19" s="108" t="s">
        <v>203</v>
      </c>
      <c r="B19" s="5">
        <v>6.2</v>
      </c>
      <c r="E19" s="48" t="s">
        <v>134</v>
      </c>
      <c r="F19" s="57">
        <v>0.18836575274670889</v>
      </c>
      <c r="G19" s="41"/>
      <c r="H19" s="6"/>
      <c r="I19" s="9"/>
      <c r="J19" s="9"/>
      <c r="K19" s="9"/>
    </row>
    <row r="20" spans="1:11" ht="15" thickBot="1">
      <c r="A20" s="109" t="s">
        <v>204</v>
      </c>
      <c r="B20" s="45">
        <v>5.86</v>
      </c>
      <c r="E20" s="48" t="s">
        <v>144</v>
      </c>
      <c r="F20" s="57">
        <v>0.20858791208791205</v>
      </c>
      <c r="G20" s="41"/>
      <c r="H20" s="6"/>
      <c r="I20" s="9"/>
      <c r="J20" s="9"/>
      <c r="K20" s="9"/>
    </row>
    <row r="21" spans="1:11">
      <c r="B21" t="s">
        <v>202</v>
      </c>
      <c r="E21" s="48" t="s">
        <v>128</v>
      </c>
      <c r="F21" s="57">
        <v>0.14963461538461539</v>
      </c>
      <c r="G21" s="41"/>
      <c r="H21" s="6"/>
      <c r="I21" s="9"/>
      <c r="J21" s="9"/>
      <c r="K21" s="9"/>
    </row>
    <row r="22" spans="1:11">
      <c r="E22" s="48" t="s">
        <v>131</v>
      </c>
      <c r="F22" s="57">
        <v>0.14763552631578947</v>
      </c>
      <c r="G22" s="41"/>
      <c r="H22" s="6"/>
      <c r="I22" s="9"/>
      <c r="J22" s="9"/>
      <c r="K22" s="9"/>
    </row>
    <row r="23" spans="1:11">
      <c r="E23" s="48" t="s">
        <v>133</v>
      </c>
      <c r="F23" s="57">
        <v>0.18546233694143763</v>
      </c>
      <c r="G23" s="41"/>
      <c r="H23" s="6"/>
      <c r="I23" s="9"/>
      <c r="J23" s="9"/>
      <c r="K23" s="9"/>
    </row>
    <row r="24" spans="1:11">
      <c r="E24" s="40"/>
      <c r="F24" s="41"/>
      <c r="G24" s="41"/>
      <c r="H24" s="6"/>
      <c r="I24" s="9"/>
      <c r="J24" s="9"/>
      <c r="K24" s="9"/>
    </row>
    <row r="25" spans="1:11" ht="15" thickBot="1">
      <c r="E25" s="43" t="s">
        <v>145</v>
      </c>
      <c r="F25" s="53"/>
      <c r="G25" s="53"/>
      <c r="H25" s="45"/>
      <c r="I25" s="9"/>
      <c r="J25" s="9"/>
      <c r="K25" s="9"/>
    </row>
    <row r="26" spans="1:11">
      <c r="E26" s="55" t="s">
        <v>147</v>
      </c>
      <c r="F26" s="33"/>
      <c r="G26" s="33"/>
      <c r="H26" s="5"/>
      <c r="I26" s="9"/>
      <c r="J26" s="9"/>
      <c r="K26" s="9"/>
    </row>
    <row r="27" spans="1:11">
      <c r="E27" s="54" t="s">
        <v>148</v>
      </c>
      <c r="F27" s="41"/>
      <c r="G27" s="41"/>
      <c r="H27" s="6"/>
      <c r="I27" s="9"/>
      <c r="J27" s="9"/>
      <c r="K27" s="9"/>
    </row>
    <row r="28" spans="1:11">
      <c r="E28" s="54" t="s">
        <v>149</v>
      </c>
      <c r="F28" s="41"/>
      <c r="G28" s="41"/>
      <c r="H28" s="6"/>
      <c r="I28" s="9"/>
      <c r="J28" s="9"/>
      <c r="K28" s="9"/>
    </row>
    <row r="29" spans="1:11" ht="15" thickBot="1">
      <c r="E29" s="56" t="s">
        <v>150</v>
      </c>
      <c r="F29" s="58">
        <v>0.14786064599762344</v>
      </c>
      <c r="G29" s="53"/>
      <c r="H29" s="45"/>
    </row>
    <row r="31" spans="1:11">
      <c r="E31" t="s">
        <v>151</v>
      </c>
    </row>
    <row r="33" spans="5:7" ht="15" thickBot="1"/>
    <row r="34" spans="5:7" ht="43.2">
      <c r="E34" s="62" t="s">
        <v>161</v>
      </c>
      <c r="F34" s="5" t="s">
        <v>164</v>
      </c>
    </row>
    <row r="35" spans="5:7">
      <c r="E35" s="48" t="s">
        <v>144</v>
      </c>
      <c r="F35" s="49">
        <v>0.23</v>
      </c>
    </row>
    <row r="36" spans="5:7">
      <c r="E36" s="48" t="s">
        <v>134</v>
      </c>
      <c r="F36" s="49">
        <v>0.4</v>
      </c>
    </row>
    <row r="37" spans="5:7">
      <c r="E37" s="48" t="s">
        <v>133</v>
      </c>
      <c r="F37" s="49">
        <v>0.442</v>
      </c>
    </row>
    <row r="38" spans="5:7">
      <c r="E38" s="48" t="s">
        <v>162</v>
      </c>
      <c r="F38" s="49">
        <v>0.95</v>
      </c>
    </row>
    <row r="39" spans="5:7">
      <c r="E39" s="48" t="s">
        <v>131</v>
      </c>
      <c r="F39" s="49">
        <v>0.95</v>
      </c>
    </row>
    <row r="40" spans="5:7">
      <c r="E40" s="48" t="s">
        <v>163</v>
      </c>
      <c r="F40" s="49">
        <v>0.95</v>
      </c>
    </row>
    <row r="41" spans="5:7" ht="15" thickBot="1">
      <c r="E41" s="51" t="s">
        <v>127</v>
      </c>
      <c r="F41" s="52">
        <v>0.95</v>
      </c>
    </row>
    <row r="43" spans="5:7" ht="15" thickBot="1"/>
    <row r="44" spans="5:7">
      <c r="E44" s="4" t="s">
        <v>174</v>
      </c>
      <c r="F44" s="5" t="s">
        <v>179</v>
      </c>
    </row>
    <row r="45" spans="5:7">
      <c r="E45" s="40" t="s">
        <v>175</v>
      </c>
      <c r="F45" s="74">
        <v>0.19226291267687559</v>
      </c>
      <c r="G45" t="s">
        <v>187</v>
      </c>
    </row>
    <row r="46" spans="5:7">
      <c r="E46" s="75" t="s">
        <v>176</v>
      </c>
      <c r="F46" s="74">
        <v>4.35216420520919E-2</v>
      </c>
      <c r="G46" s="26">
        <f>F46*F60/F41/8760</f>
        <v>52.050423592072477</v>
      </c>
    </row>
    <row r="47" spans="5:7">
      <c r="E47" s="75" t="s">
        <v>131</v>
      </c>
      <c r="F47" s="74">
        <v>2.5623595853178367E-2</v>
      </c>
      <c r="G47" s="26">
        <f>F47*F60/8760/F39</f>
        <v>30.644960879776814</v>
      </c>
    </row>
    <row r="48" spans="5:7">
      <c r="E48" s="75" t="s">
        <v>177</v>
      </c>
      <c r="F48" s="74">
        <v>4.4465128523999437E-3</v>
      </c>
      <c r="G48" s="26">
        <f>F48*F60/8760/F35</f>
        <v>21.965157246723901</v>
      </c>
    </row>
    <row r="49" spans="5:9">
      <c r="E49" s="75" t="s">
        <v>133</v>
      </c>
      <c r="F49" s="74">
        <v>5.1396922551975839E-3</v>
      </c>
      <c r="G49" s="26">
        <f>F49*F60/8760/F37</f>
        <v>13.211661784067426</v>
      </c>
    </row>
    <row r="50" spans="5:9">
      <c r="E50" s="75" t="s">
        <v>134</v>
      </c>
      <c r="F50" s="74">
        <v>5.8060614903687212E-2</v>
      </c>
      <c r="G50" s="26">
        <f>F50*F60/8760/F36</f>
        <v>164.91654981268474</v>
      </c>
    </row>
    <row r="51" spans="5:9">
      <c r="E51" s="75" t="s">
        <v>135</v>
      </c>
      <c r="F51" s="74">
        <v>3.7268461188936608E-3</v>
      </c>
    </row>
    <row r="52" spans="5:9">
      <c r="E52" s="75" t="s">
        <v>178</v>
      </c>
      <c r="F52" s="74">
        <v>5.1744008641426982E-2</v>
      </c>
      <c r="G52" s="26">
        <f>F52*F60/8760/F35</f>
        <v>255.60823146419983</v>
      </c>
    </row>
    <row r="53" spans="5:9">
      <c r="E53" s="76" t="s">
        <v>180</v>
      </c>
      <c r="F53" s="77"/>
    </row>
    <row r="54" spans="5:9">
      <c r="E54" s="78"/>
      <c r="F54" s="79" t="s">
        <v>179</v>
      </c>
    </row>
    <row r="55" spans="5:9">
      <c r="E55" s="75" t="s">
        <v>181</v>
      </c>
      <c r="F55" s="80">
        <v>4312072.4580000006</v>
      </c>
    </row>
    <row r="56" spans="5:9">
      <c r="E56" s="75" t="s">
        <v>182</v>
      </c>
      <c r="F56" s="74">
        <v>0.45689218140507509</v>
      </c>
    </row>
    <row r="57" spans="5:9" ht="15" thickBot="1">
      <c r="E57" s="81" t="s">
        <v>183</v>
      </c>
      <c r="F57" s="45"/>
    </row>
    <row r="59" spans="5:9">
      <c r="E59" s="72" t="s">
        <v>185</v>
      </c>
      <c r="F59" s="82">
        <f>F55/F56</f>
        <v>9437833.768000003</v>
      </c>
      <c r="G59" s="8">
        <f>1-F12/F59</f>
        <v>4.8908656302580789E-2</v>
      </c>
      <c r="H59" t="s">
        <v>186</v>
      </c>
    </row>
    <row r="60" spans="5:9" ht="43.2">
      <c r="E60" s="83" t="s">
        <v>184</v>
      </c>
      <c r="F60" s="84">
        <f>F59+F10</f>
        <v>9952832.768000003</v>
      </c>
      <c r="H60" s="3"/>
      <c r="I60" s="8"/>
    </row>
    <row r="61" spans="5:9" ht="15" thickBot="1"/>
    <row r="62" spans="5:9" ht="72">
      <c r="E62" s="4" t="s">
        <v>325</v>
      </c>
      <c r="F62" s="173" t="s">
        <v>324</v>
      </c>
    </row>
    <row r="63" spans="5:9">
      <c r="E63" s="48" t="s">
        <v>128</v>
      </c>
      <c r="F63" s="49">
        <v>68.7</v>
      </c>
    </row>
    <row r="64" spans="5:9">
      <c r="E64" s="48" t="s">
        <v>131</v>
      </c>
      <c r="F64" s="49">
        <v>25</v>
      </c>
    </row>
    <row r="65" spans="5:6">
      <c r="E65" s="48" t="s">
        <v>132</v>
      </c>
      <c r="F65" s="49">
        <v>310</v>
      </c>
    </row>
    <row r="66" spans="5:6">
      <c r="E66" s="48" t="s">
        <v>133</v>
      </c>
      <c r="F66" s="49">
        <v>0</v>
      </c>
    </row>
    <row r="67" spans="5:6">
      <c r="E67" s="48" t="s">
        <v>134</v>
      </c>
      <c r="F67" s="49">
        <v>269</v>
      </c>
    </row>
    <row r="68" spans="5:6">
      <c r="E68" s="48" t="s">
        <v>189</v>
      </c>
      <c r="F68" s="49">
        <v>271</v>
      </c>
    </row>
    <row r="69" spans="5:6" ht="29.4" thickBot="1">
      <c r="E69" s="174" t="s">
        <v>326</v>
      </c>
      <c r="F69" s="52"/>
    </row>
    <row r="71" spans="5:6" ht="15" thickBot="1"/>
    <row r="72" spans="5:6" ht="43.2">
      <c r="E72" s="180" t="s">
        <v>339</v>
      </c>
      <c r="F72" s="181">
        <v>32.46</v>
      </c>
    </row>
    <row r="73" spans="5:6">
      <c r="E73" s="48" t="s">
        <v>340</v>
      </c>
      <c r="F73" s="182">
        <v>8.0750000000000002E-2</v>
      </c>
    </row>
    <row r="74" spans="5:6" ht="29.4" thickBot="1">
      <c r="E74" s="174" t="s">
        <v>341</v>
      </c>
      <c r="F74" s="183">
        <v>8.9469999999999994E-2</v>
      </c>
    </row>
    <row r="75" spans="5:6">
      <c r="E75" s="91" t="s">
        <v>342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Fuel Cost Risk Sim</vt:lpstr>
      <vt:lpstr>Output data</vt:lpstr>
      <vt:lpstr>Output charts</vt:lpstr>
      <vt:lpstr>_@RISKFitInformation</vt:lpstr>
      <vt:lpstr>DBEDT-HEI-BBG Fuel Jan'00-pres</vt:lpstr>
      <vt:lpstr>DBEDT avg oil prices '06-'14</vt:lpstr>
      <vt:lpstr>Sheet1</vt:lpstr>
      <vt:lpstr>DBEDT avg oil prices '00 - '05</vt:lpstr>
      <vt:lpstr>DBEDT monthly energy '06-'15</vt:lpstr>
      <vt:lpstr>EIA - 2000 AEO</vt:lpstr>
      <vt:lpstr>EIA - 2015 AEO</vt:lpstr>
      <vt:lpstr>Inputs</vt:lpstr>
      <vt:lpstr>NewMatrix1</vt:lpstr>
      <vt:lpstr>NewMatrix2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</dc:creator>
  <cp:lastModifiedBy>Murray Clay</cp:lastModifiedBy>
  <cp:lastPrinted>2016-02-17T22:48:50Z</cp:lastPrinted>
  <dcterms:created xsi:type="dcterms:W3CDTF">2012-08-22T20:30:43Z</dcterms:created>
  <dcterms:modified xsi:type="dcterms:W3CDTF">2016-03-26T00:53:09Z</dcterms:modified>
</cp:coreProperties>
</file>