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EITs\"/>
    </mc:Choice>
  </mc:AlternateContent>
  <bookViews>
    <workbookView xWindow="0" yWindow="0" windowWidth="28800" windowHeight="12435" activeTab="1"/>
  </bookViews>
  <sheets>
    <sheet name="Plan1" sheetId="1" r:id="rId1"/>
    <sheet name="Plan3" sheetId="3" r:id="rId2"/>
    <sheet name="Plan2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3" l="1"/>
  <c r="L32" i="3"/>
  <c r="K36" i="3"/>
  <c r="K35" i="3"/>
  <c r="K34" i="3"/>
  <c r="K33" i="3"/>
  <c r="K32" i="3"/>
  <c r="K24" i="3"/>
  <c r="K25" i="3"/>
  <c r="G32" i="3"/>
  <c r="H32" i="3"/>
  <c r="M24" i="3"/>
  <c r="N24" i="3"/>
  <c r="H33" i="3"/>
  <c r="N25" i="3"/>
  <c r="G34" i="3"/>
  <c r="L26" i="3"/>
  <c r="I34" i="3"/>
  <c r="J34" i="3"/>
  <c r="G35" i="3"/>
  <c r="K28" i="3"/>
  <c r="L28" i="3"/>
  <c r="N28" i="3"/>
  <c r="K17" i="1"/>
  <c r="C49" i="3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48" i="3"/>
  <c r="B48" i="3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I36" i="3"/>
  <c r="H36" i="3"/>
  <c r="G36" i="3"/>
  <c r="J35" i="3"/>
  <c r="I35" i="3"/>
  <c r="H35" i="3"/>
  <c r="I33" i="3"/>
  <c r="G33" i="3"/>
  <c r="I32" i="3"/>
  <c r="M28" i="3"/>
  <c r="N27" i="3"/>
  <c r="M27" i="3"/>
  <c r="L27" i="3"/>
  <c r="N26" i="3"/>
  <c r="M26" i="3"/>
  <c r="K26" i="3"/>
  <c r="M25" i="3"/>
  <c r="C22" i="3"/>
  <c r="N21" i="3"/>
  <c r="M21" i="3"/>
  <c r="L21" i="3"/>
  <c r="K21" i="3"/>
  <c r="C21" i="3"/>
  <c r="N20" i="3"/>
  <c r="M20" i="3"/>
  <c r="L20" i="3"/>
  <c r="K20" i="3"/>
  <c r="C20" i="3"/>
  <c r="N19" i="3"/>
  <c r="M19" i="3"/>
  <c r="L19" i="3"/>
  <c r="K19" i="3"/>
  <c r="C19" i="3"/>
  <c r="N18" i="3"/>
  <c r="M18" i="3"/>
  <c r="L18" i="3"/>
  <c r="K18" i="3"/>
  <c r="N17" i="3"/>
  <c r="M17" i="3"/>
  <c r="L17" i="3"/>
  <c r="K17" i="3"/>
  <c r="C16" i="3"/>
  <c r="B16" i="3"/>
  <c r="C15" i="3"/>
  <c r="C14" i="3"/>
  <c r="N13" i="3"/>
  <c r="M13" i="3"/>
  <c r="L13" i="3"/>
  <c r="K13" i="3"/>
  <c r="C13" i="3"/>
  <c r="N12" i="3"/>
  <c r="M12" i="3"/>
  <c r="L12" i="3"/>
  <c r="K12" i="3"/>
  <c r="B12" i="3"/>
  <c r="C12" i="3" s="1"/>
  <c r="A12" i="3"/>
  <c r="N11" i="3"/>
  <c r="M11" i="3"/>
  <c r="L11" i="3"/>
  <c r="K11" i="3"/>
  <c r="C11" i="3"/>
  <c r="N10" i="3"/>
  <c r="M10" i="3"/>
  <c r="L10" i="3"/>
  <c r="K10" i="3"/>
  <c r="C10" i="3"/>
  <c r="C9" i="3"/>
  <c r="A9" i="3"/>
  <c r="C8" i="3"/>
  <c r="B8" i="3"/>
  <c r="N7" i="3"/>
  <c r="M7" i="3"/>
  <c r="L7" i="3"/>
  <c r="K7" i="3"/>
  <c r="C7" i="3"/>
  <c r="N6" i="3"/>
  <c r="M6" i="3"/>
  <c r="L6" i="3"/>
  <c r="K6" i="3"/>
  <c r="B6" i="3"/>
  <c r="C6" i="3" s="1"/>
  <c r="N5" i="3"/>
  <c r="M5" i="3"/>
  <c r="L5" i="3"/>
  <c r="K5" i="3"/>
  <c r="N4" i="3"/>
  <c r="M4" i="3"/>
  <c r="L4" i="3"/>
  <c r="K4" i="3"/>
  <c r="K42" i="3" l="1"/>
  <c r="M42" i="3"/>
  <c r="L25" i="3"/>
  <c r="L42" i="3"/>
  <c r="J32" i="3"/>
  <c r="K27" i="3"/>
  <c r="K43" i="3" s="1"/>
  <c r="N40" i="3"/>
  <c r="J33" i="3"/>
  <c r="J36" i="3"/>
  <c r="L24" i="3"/>
  <c r="L40" i="3" s="1"/>
  <c r="H34" i="3"/>
  <c r="N42" i="3"/>
  <c r="M43" i="3"/>
  <c r="N44" i="3"/>
  <c r="N33" i="3"/>
  <c r="M36" i="3"/>
  <c r="K40" i="3"/>
  <c r="L43" i="3"/>
  <c r="N36" i="3"/>
  <c r="N32" i="3"/>
  <c r="N35" i="3"/>
  <c r="L34" i="3"/>
  <c r="M40" i="3"/>
  <c r="K41" i="3"/>
  <c r="M33" i="3"/>
  <c r="L36" i="3"/>
  <c r="N41" i="3"/>
  <c r="C74" i="3"/>
  <c r="C5" i="3"/>
  <c r="C3" i="3"/>
  <c r="N43" i="3"/>
  <c r="K44" i="3"/>
  <c r="L44" i="3"/>
  <c r="M34" i="3"/>
  <c r="M41" i="3"/>
  <c r="M44" i="3"/>
  <c r="M32" i="3"/>
  <c r="L41" i="3"/>
  <c r="N34" i="3"/>
  <c r="L35" i="3"/>
  <c r="M35" i="3"/>
  <c r="A6" i="3"/>
  <c r="C4" i="3"/>
  <c r="K32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K25" i="1"/>
  <c r="K26" i="1"/>
  <c r="K27" i="1"/>
  <c r="K28" i="1"/>
  <c r="K24" i="1"/>
  <c r="N17" i="1"/>
  <c r="L17" i="1"/>
  <c r="M17" i="1"/>
  <c r="L18" i="1"/>
  <c r="M18" i="1"/>
  <c r="N18" i="1"/>
  <c r="L19" i="1"/>
  <c r="M19" i="1"/>
  <c r="N19" i="1"/>
  <c r="L20" i="1"/>
  <c r="M20" i="1"/>
  <c r="N20" i="1"/>
  <c r="L21" i="1"/>
  <c r="M21" i="1"/>
  <c r="N21" i="1"/>
  <c r="K19" i="1"/>
  <c r="K20" i="1"/>
  <c r="K21" i="1"/>
  <c r="K18" i="1"/>
  <c r="C48" i="1" l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C74" i="1" l="1"/>
  <c r="A9" i="1"/>
  <c r="K6" i="1" l="1"/>
  <c r="L6" i="1"/>
  <c r="M6" i="1"/>
  <c r="N6" i="1"/>
  <c r="K7" i="1"/>
  <c r="L7" i="1"/>
  <c r="M7" i="1"/>
  <c r="N7" i="1"/>
  <c r="L12" i="1"/>
  <c r="M12" i="1"/>
  <c r="N12" i="1"/>
  <c r="L13" i="1"/>
  <c r="M13" i="1"/>
  <c r="N13" i="1"/>
  <c r="K12" i="1"/>
  <c r="K13" i="1"/>
  <c r="G5" i="1"/>
  <c r="F5" i="1"/>
  <c r="F4" i="1"/>
  <c r="E4" i="1"/>
  <c r="E5" i="1"/>
  <c r="K5" i="1" l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C29" i="2" l="1"/>
  <c r="C14" i="1" l="1"/>
  <c r="C15" i="1"/>
  <c r="B16" i="1"/>
  <c r="C16" i="1"/>
  <c r="C19" i="1"/>
  <c r="C20" i="1"/>
  <c r="C21" i="1"/>
  <c r="C2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H32" i="1"/>
  <c r="I32" i="1"/>
  <c r="J32" i="1"/>
  <c r="G32" i="1"/>
  <c r="M33" i="1"/>
  <c r="N33" i="1"/>
  <c r="K34" i="1"/>
  <c r="L34" i="1"/>
  <c r="M36" i="1"/>
  <c r="G4" i="1"/>
  <c r="K4" i="1" s="1"/>
  <c r="H4" i="1"/>
  <c r="L4" i="1" s="1"/>
  <c r="I4" i="1"/>
  <c r="M4" i="1" s="1"/>
  <c r="J4" i="1"/>
  <c r="N4" i="1" s="1"/>
  <c r="H5" i="1"/>
  <c r="L5" i="1" s="1"/>
  <c r="I5" i="1"/>
  <c r="M5" i="1" s="1"/>
  <c r="J5" i="1"/>
  <c r="N5" i="1" s="1"/>
  <c r="G10" i="1"/>
  <c r="K10" i="1" s="1"/>
  <c r="H10" i="1"/>
  <c r="L10" i="1" s="1"/>
  <c r="I10" i="1"/>
  <c r="M10" i="1" s="1"/>
  <c r="J10" i="1"/>
  <c r="N10" i="1" s="1"/>
  <c r="G11" i="1"/>
  <c r="K11" i="1" s="1"/>
  <c r="H11" i="1"/>
  <c r="L11" i="1" s="1"/>
  <c r="I11" i="1"/>
  <c r="M11" i="1" s="1"/>
  <c r="J11" i="1"/>
  <c r="N11" i="1" s="1"/>
  <c r="C9" i="1"/>
  <c r="C7" i="1"/>
  <c r="B8" i="1"/>
  <c r="C8" i="1" s="1"/>
  <c r="B12" i="1"/>
  <c r="B6" i="1"/>
  <c r="C5" i="1" l="1"/>
  <c r="A6" i="1"/>
  <c r="C11" i="1"/>
  <c r="A12" i="1"/>
  <c r="C13" i="1"/>
  <c r="C12" i="1"/>
  <c r="L36" i="1"/>
  <c r="L44" i="1"/>
  <c r="K40" i="1"/>
  <c r="L40" i="1"/>
  <c r="L32" i="1"/>
  <c r="M32" i="1"/>
  <c r="M40" i="1"/>
  <c r="N32" i="1"/>
  <c r="N40" i="1"/>
  <c r="N36" i="1"/>
  <c r="N44" i="1"/>
  <c r="M44" i="1"/>
  <c r="K44" i="1"/>
  <c r="N35" i="1"/>
  <c r="N43" i="1"/>
  <c r="M35" i="1"/>
  <c r="M43" i="1"/>
  <c r="L43" i="1"/>
  <c r="L35" i="1"/>
  <c r="K43" i="1"/>
  <c r="K35" i="1"/>
  <c r="N42" i="1"/>
  <c r="N34" i="1"/>
  <c r="M42" i="1"/>
  <c r="M34" i="1"/>
  <c r="L42" i="1"/>
  <c r="K42" i="1"/>
  <c r="N41" i="1"/>
  <c r="M41" i="1"/>
  <c r="L33" i="1"/>
  <c r="L41" i="1"/>
  <c r="K41" i="1"/>
  <c r="K33" i="1"/>
  <c r="K36" i="1"/>
  <c r="C6" i="1"/>
  <c r="C3" i="1"/>
  <c r="C4" i="1"/>
  <c r="C10" i="1"/>
</calcChain>
</file>

<file path=xl/comments1.xml><?xml version="1.0" encoding="utf-8"?>
<comments xmlns="http://schemas.openxmlformats.org/spreadsheetml/2006/main">
  <authors>
    <author>Fagner Sutel de Moura</author>
  </authors>
  <commentList>
    <comment ref="K32" authorId="0" shapeId="0">
      <text>
        <r>
          <rPr>
            <b/>
            <sz val="9"/>
            <color indexed="81"/>
            <rFont val="Segoe UI"/>
            <charset val="1"/>
          </rPr>
          <t>Fagner Sutel de Moura:</t>
        </r>
        <r>
          <rPr>
            <sz val="9"/>
            <color indexed="81"/>
            <rFont val="Segoe UI"/>
            <charset val="1"/>
          </rPr>
          <t xml:space="preserve">
Ver página 56 EIT Divina Providência</t>
        </r>
      </text>
    </comment>
  </commentList>
</comments>
</file>

<file path=xl/comments2.xml><?xml version="1.0" encoding="utf-8"?>
<comments xmlns="http://schemas.openxmlformats.org/spreadsheetml/2006/main">
  <authors>
    <author>Fagner Sutel de Moura</author>
  </authors>
  <commentList>
    <comment ref="K32" authorId="0" shapeId="0">
      <text>
        <r>
          <rPr>
            <b/>
            <sz val="9"/>
            <color indexed="81"/>
            <rFont val="Segoe UI"/>
            <charset val="1"/>
          </rPr>
          <t>Fagner Sutel de Moura:</t>
        </r>
        <r>
          <rPr>
            <sz val="9"/>
            <color indexed="81"/>
            <rFont val="Segoe UI"/>
            <charset val="1"/>
          </rPr>
          <t xml:space="preserve">
Ver página 56 EIT Divina Providência</t>
        </r>
      </text>
    </comment>
  </commentList>
</comments>
</file>

<file path=xl/sharedStrings.xml><?xml version="1.0" encoding="utf-8"?>
<sst xmlns="http://schemas.openxmlformats.org/spreadsheetml/2006/main" count="451" uniqueCount="115">
  <si>
    <t>Pico manhã</t>
  </si>
  <si>
    <t>07:00-08:00</t>
  </si>
  <si>
    <t>Volumes</t>
  </si>
  <si>
    <t>Resumos</t>
  </si>
  <si>
    <t>Pico tarde</t>
  </si>
  <si>
    <t>17:45-18:45</t>
  </si>
  <si>
    <t>Cenários</t>
  </si>
  <si>
    <t>C00</t>
  </si>
  <si>
    <t>Diferença entre anos (horizontal)</t>
  </si>
  <si>
    <t>Ampliação</t>
  </si>
  <si>
    <t>Movimento</t>
  </si>
  <si>
    <t>Manhã 2022</t>
  </si>
  <si>
    <t>Tarde 2022</t>
  </si>
  <si>
    <t>Manhã 2024</t>
  </si>
  <si>
    <t>Tarde 2024</t>
  </si>
  <si>
    <t>Manhã 2034</t>
  </si>
  <si>
    <t>Tarde 2034</t>
  </si>
  <si>
    <t>Regularização</t>
  </si>
  <si>
    <t>Gruta In</t>
  </si>
  <si>
    <t>Existente</t>
  </si>
  <si>
    <t>Gruta Out</t>
  </si>
  <si>
    <t>Oscar P. SN</t>
  </si>
  <si>
    <t>Leitos existentes</t>
  </si>
  <si>
    <t>Oscar P. NS</t>
  </si>
  <si>
    <t>Leitos novos</t>
  </si>
  <si>
    <t>C01</t>
  </si>
  <si>
    <t>Diferença C00/C01 (vertical)</t>
  </si>
  <si>
    <t>Vagas Existentes</t>
  </si>
  <si>
    <t>Vagas Novas</t>
  </si>
  <si>
    <t>Défict de Vagas</t>
  </si>
  <si>
    <t>Linhas TP que acessam</t>
  </si>
  <si>
    <t>ICU</t>
  </si>
  <si>
    <t>Variação Percentual da Capacidade Utilizada</t>
  </si>
  <si>
    <t>Linhas TP que Cruzam</t>
  </si>
  <si>
    <t>Cruzamento</t>
  </si>
  <si>
    <t>Linhas de Lotação</t>
  </si>
  <si>
    <t>OP x AA</t>
  </si>
  <si>
    <t>OP x MA</t>
  </si>
  <si>
    <t>Cruzamentos Satisfatórios Manhã</t>
  </si>
  <si>
    <t>OP x LB</t>
  </si>
  <si>
    <t>Cruzamentos Instisfatórios Manhã</t>
  </si>
  <si>
    <t>OP x G</t>
  </si>
  <si>
    <t>Cruzamentos Satisfatórios Tarde</t>
  </si>
  <si>
    <t>G x B</t>
  </si>
  <si>
    <t>Cruzamentos Instisfatórios Tarde</t>
  </si>
  <si>
    <t>Cruzamento com atraso excedente Tarde</t>
  </si>
  <si>
    <t>Novas Viagens Geradas Manhã</t>
  </si>
  <si>
    <t>In: 40, Out 35</t>
  </si>
  <si>
    <t>Novas Viagens Geradas Tarde</t>
  </si>
  <si>
    <t>In: 35, Out 40</t>
  </si>
  <si>
    <t>Cruzamentos Impactados por viagens</t>
  </si>
  <si>
    <t>Interseções com travessia sinalizada</t>
  </si>
  <si>
    <t>Interseções com travessia segura</t>
  </si>
  <si>
    <t>A razão entre a capacidade utilizada considera o quociente entre as capacidades consumidas por cada cenário</t>
  </si>
  <si>
    <t>Razão entre Capacidade Utilizada</t>
  </si>
  <si>
    <t>Contribuição do empreendimento no consumo da capacidade</t>
  </si>
  <si>
    <t>Interseções com rebaixo de acessibilidade</t>
  </si>
  <si>
    <t>C01-C00</t>
  </si>
  <si>
    <t>C01/C00</t>
  </si>
  <si>
    <r>
      <t xml:space="preserve">A </t>
    </r>
    <r>
      <rPr>
        <b/>
        <u/>
        <sz val="11"/>
        <color rgb="FFE709BD"/>
        <rFont val="Calibri"/>
        <family val="2"/>
        <scheme val="minor"/>
      </rPr>
      <t>contribuição do empreendimento no consumo da capacidade</t>
    </r>
    <r>
      <rPr>
        <b/>
        <sz val="11"/>
        <color rgb="FFE709BD"/>
        <rFont val="Calibri"/>
        <family val="2"/>
        <scheme val="minor"/>
      </rPr>
      <t xml:space="preserve"> consiste da razão entre a capacidade utilizada com o empreendimento e a capacidade utilizada sem o empreendimento. Tal avaliação visa compreender a abreviação da vida útil da instalação em função do tráfego gerado pelo empreendimento.  Como no exemplo abaixo, considerando o crescimento natural do tráfego de Porto Alegre de 1,5% ao ano, uma estrutura com capacidade de 1600 veiculos/hora teria uma vida útil de projeto de 25 anos. Com a impacto gerado pelo empreendimento a capacidade da via seria atingida já no 15º ano, abreviando o tempo limite para atingir a capacidade de projeto em 10 anos. A proposta é que mesmo naqueles locais com nível de serviço &lt;= D, quando o quociente for maior ou igual a 2 o empreendimento deverá compensar a redução da vida útil da instalação.</t>
    </r>
  </si>
  <si>
    <t>A diferença entre variações de Capacidade Utilizada fornece a diferença absoluta entre as variações relativas no uso da capacidade nos diferentes cenários</t>
  </si>
  <si>
    <t>Diferença entre variações de Capacidade Utilizada</t>
  </si>
  <si>
    <t>Oscar Pereixa x Gruta</t>
  </si>
  <si>
    <t>C02</t>
  </si>
  <si>
    <t>HCM</t>
  </si>
  <si>
    <t>PM</t>
  </si>
  <si>
    <t>F</t>
  </si>
  <si>
    <t>G</t>
  </si>
  <si>
    <t>D</t>
  </si>
  <si>
    <t>C</t>
  </si>
  <si>
    <t>E</t>
  </si>
  <si>
    <t>PT</t>
  </si>
  <si>
    <t>EXEMPLO (volumes)</t>
  </si>
  <si>
    <t>Ano de Projeto</t>
  </si>
  <si>
    <t>Natural</t>
  </si>
  <si>
    <t>Empreendimento</t>
  </si>
  <si>
    <t>Ano 0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</si>
  <si>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</si>
  <si>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</si>
  <si>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</si>
  <si>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</si>
  <si>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</si>
  <si>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</si>
  <si>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</si>
  <si>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</si>
  <si>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</si>
  <si>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</si>
  <si>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</si>
  <si>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</si>
  <si>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</si>
  <si>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</si>
  <si>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</si>
  <si>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</si>
  <si>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</si>
  <si>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</si>
  <si>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</si>
  <si>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</si>
  <si>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</si>
  <si>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</si>
  <si>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</si>
  <si>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</si>
  <si>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</si>
  <si>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Variação</t>
  </si>
  <si>
    <t>Quociente da Variação</t>
  </si>
  <si>
    <t>Nil x Mal And</t>
  </si>
  <si>
    <t>Nil x Tom Gonz</t>
  </si>
  <si>
    <t>14 x Mal And</t>
  </si>
  <si>
    <t>14 x Tom Gonz</t>
  </si>
  <si>
    <t>Anit x Mal And</t>
  </si>
  <si>
    <t>Manhã 2019</t>
  </si>
  <si>
    <t>Tarde 2019</t>
  </si>
  <si>
    <t>Manhã 2021</t>
  </si>
  <si>
    <t>Tarde 2021</t>
  </si>
  <si>
    <t>Manhã 2031</t>
  </si>
  <si>
    <t>Tarde 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</si>
</sst>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E709BD"/>
      <name val="Calibri"/>
      <family val="2"/>
      <scheme val="minor"/>
    </font>
    <font>
      <b/>
      <u/>
      <sz val="11"/>
      <color rgb="FFE709BD"/>
      <name val="Calibri"/>
      <family val="2"/>
      <scheme val="minor"/>
    </font>
    <font>
      <sz val="11"/>
      <color rgb="FFE709B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/>
    <xf numFmtId="0" fontId="3" fillId="2" borderId="1" xfId="0" applyFont="1" applyFill="1" applyBorder="1"/>
    <xf numFmtId="0" fontId="3" fillId="2" borderId="5" xfId="0" applyFont="1" applyFill="1" applyBorder="1"/>
    <xf numFmtId="10" fontId="0" fillId="2" borderId="1" xfId="0" applyNumberFormat="1" applyFill="1" applyBorder="1"/>
    <xf numFmtId="10" fontId="0" fillId="2" borderId="0" xfId="0" applyNumberFormat="1" applyFill="1"/>
    <xf numFmtId="10" fontId="0" fillId="2" borderId="5" xfId="0" applyNumberFormat="1" applyFill="1" applyBorder="1"/>
    <xf numFmtId="10" fontId="0" fillId="2" borderId="6" xfId="0" applyNumberFormat="1" applyFill="1" applyBorder="1"/>
    <xf numFmtId="10" fontId="0" fillId="2" borderId="7" xfId="0" applyNumberFormat="1" applyFill="1" applyBorder="1"/>
    <xf numFmtId="10" fontId="0" fillId="2" borderId="8" xfId="0" applyNumberFormat="1" applyFill="1" applyBorder="1"/>
    <xf numFmtId="10" fontId="0" fillId="2" borderId="1" xfId="1" applyNumberFormat="1" applyFont="1" applyFill="1" applyBorder="1"/>
    <xf numFmtId="10" fontId="0" fillId="2" borderId="0" xfId="1" applyNumberFormat="1" applyFont="1" applyFill="1" applyBorder="1"/>
    <xf numFmtId="10" fontId="0" fillId="2" borderId="5" xfId="1" applyNumberFormat="1" applyFont="1" applyFill="1" applyBorder="1"/>
    <xf numFmtId="10" fontId="0" fillId="2" borderId="6" xfId="1" applyNumberFormat="1" applyFont="1" applyFill="1" applyBorder="1"/>
    <xf numFmtId="10" fontId="0" fillId="2" borderId="7" xfId="1" applyNumberFormat="1" applyFont="1" applyFill="1" applyBorder="1"/>
    <xf numFmtId="10" fontId="0" fillId="2" borderId="8" xfId="1" applyNumberFormat="1" applyFont="1" applyFill="1" applyBorder="1"/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" xfId="0" applyFont="1" applyFill="1" applyBorder="1"/>
    <xf numFmtId="9" fontId="4" fillId="2" borderId="0" xfId="1" applyFont="1" applyFill="1" applyBorder="1"/>
    <xf numFmtId="9" fontId="5" fillId="2" borderId="0" xfId="1" applyFont="1" applyFill="1" applyBorder="1"/>
    <xf numFmtId="9" fontId="5" fillId="2" borderId="5" xfId="1" applyFont="1" applyFill="1" applyBorder="1"/>
    <xf numFmtId="9" fontId="6" fillId="2" borderId="0" xfId="1" applyFont="1" applyFill="1" applyBorder="1"/>
    <xf numFmtId="9" fontId="4" fillId="2" borderId="5" xfId="1" applyFont="1" applyFill="1" applyBorder="1"/>
    <xf numFmtId="0" fontId="3" fillId="2" borderId="6" xfId="0" applyFont="1" applyFill="1" applyBorder="1"/>
    <xf numFmtId="9" fontId="4" fillId="2" borderId="7" xfId="1" applyFont="1" applyFill="1" applyBorder="1"/>
    <xf numFmtId="9" fontId="4" fillId="2" borderId="8" xfId="1" applyFont="1" applyFill="1" applyBorder="1"/>
    <xf numFmtId="0" fontId="3" fillId="2" borderId="3" xfId="0" applyFont="1" applyFill="1" applyBorder="1"/>
    <xf numFmtId="10" fontId="0" fillId="0" borderId="0" xfId="0" applyNumberFormat="1"/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9" fontId="3" fillId="2" borderId="0" xfId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9" fontId="10" fillId="2" borderId="0" xfId="1" applyFont="1" applyFill="1" applyBorder="1"/>
    <xf numFmtId="0" fontId="10" fillId="2" borderId="0" xfId="0" applyFont="1" applyFill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9" fillId="2" borderId="0" xfId="0" applyFont="1" applyFill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0" xfId="0" applyFont="1" applyFill="1"/>
    <xf numFmtId="0" fontId="9" fillId="2" borderId="5" xfId="0" applyFont="1" applyFill="1" applyBorder="1"/>
    <xf numFmtId="0" fontId="11" fillId="2" borderId="0" xfId="0" applyFont="1" applyFill="1"/>
    <xf numFmtId="0" fontId="11" fillId="2" borderId="5" xfId="0" applyFont="1" applyFill="1" applyBorder="1"/>
    <xf numFmtId="0" fontId="11" fillId="2" borderId="7" xfId="0" applyFont="1" applyFill="1" applyBorder="1"/>
    <xf numFmtId="0" fontId="11" fillId="2" borderId="8" xfId="0" applyFont="1" applyFill="1" applyBorder="1"/>
    <xf numFmtId="0" fontId="0" fillId="2" borderId="8" xfId="0" applyFill="1" applyBorder="1"/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/>
    <xf numFmtId="9" fontId="5" fillId="2" borderId="1" xfId="1" applyFont="1" applyFill="1" applyBorder="1"/>
    <xf numFmtId="10" fontId="5" fillId="2" borderId="1" xfId="0" applyNumberFormat="1" applyFont="1" applyFill="1" applyBorder="1"/>
    <xf numFmtId="0" fontId="12" fillId="2" borderId="1" xfId="0" applyFont="1" applyFill="1" applyBorder="1"/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9" fontId="13" fillId="2" borderId="0" xfId="1" applyFont="1" applyFill="1" applyBorder="1" applyAlignment="1">
      <alignment horizontal="center" vertical="center"/>
    </xf>
    <xf numFmtId="9" fontId="13" fillId="2" borderId="5" xfId="1" applyFont="1" applyFill="1" applyBorder="1" applyAlignment="1">
      <alignment horizontal="center" vertical="center"/>
    </xf>
    <xf numFmtId="2" fontId="13" fillId="2" borderId="8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right"/>
    </xf>
    <xf numFmtId="0" fontId="14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164" fontId="16" fillId="3" borderId="0" xfId="1" applyNumberFormat="1" applyFont="1" applyFill="1" applyBorder="1"/>
    <xf numFmtId="0" fontId="16" fillId="3" borderId="0" xfId="1" applyNumberFormat="1" applyFont="1" applyFill="1" applyBorder="1"/>
    <xf numFmtId="0" fontId="16" fillId="3" borderId="5" xfId="1" applyNumberFormat="1" applyFont="1" applyFill="1" applyBorder="1"/>
    <xf numFmtId="164" fontId="16" fillId="3" borderId="7" xfId="1" applyNumberFormat="1" applyFont="1" applyFill="1" applyBorder="1"/>
    <xf numFmtId="10" fontId="16" fillId="3" borderId="7" xfId="1" applyNumberFormat="1" applyFont="1" applyFill="1" applyBorder="1"/>
    <xf numFmtId="0" fontId="16" fillId="3" borderId="7" xfId="1" applyNumberFormat="1" applyFont="1" applyFill="1" applyBorder="1"/>
    <xf numFmtId="0" fontId="16" fillId="3" borderId="8" xfId="1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3" fillId="2" borderId="6" xfId="0" applyFont="1" applyFill="1" applyBorder="1" applyAlignment="1">
      <alignment horizontal="right"/>
    </xf>
    <xf numFmtId="0" fontId="13" fillId="2" borderId="7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top" wrapText="1"/>
    </xf>
    <xf numFmtId="0" fontId="14" fillId="3" borderId="0" xfId="0" applyFont="1" applyFill="1" applyAlignment="1">
      <alignment horizontal="center" vertical="top" wrapText="1"/>
    </xf>
    <xf numFmtId="0" fontId="14" fillId="3" borderId="5" xfId="0" applyFont="1" applyFill="1" applyBorder="1" applyAlignment="1">
      <alignment horizontal="center" vertical="top" wrapText="1"/>
    </xf>
    <xf numFmtId="0" fontId="14" fillId="3" borderId="6" xfId="0" applyFont="1" applyFill="1" applyBorder="1" applyAlignment="1">
      <alignment horizontal="center" vertical="top" wrapText="1"/>
    </xf>
    <xf numFmtId="0" fontId="14" fillId="3" borderId="7" xfId="0" applyFont="1" applyFill="1" applyBorder="1" applyAlignment="1">
      <alignment horizontal="center" vertical="top" wrapText="1"/>
    </xf>
    <xf numFmtId="0" fontId="14" fillId="3" borderId="8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9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09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5"/>
  <sheetViews>
    <sheetView workbookViewId="0">
      <selection activeCell="G22" sqref="G22:J23"/>
    </sheetView>
  </sheetViews>
  <sheetFormatPr defaultRowHeight="15" x14ac:dyDescent="0.25"/>
  <cols>
    <col min="1" max="1" width="42.140625" customWidth="1"/>
    <col min="2" max="2" width="17.140625" customWidth="1"/>
    <col min="3" max="3" width="22.28515625" customWidth="1"/>
    <col min="4" max="4" width="12.28515625" customWidth="1"/>
    <col min="5" max="10" width="12.140625" customWidth="1"/>
    <col min="11" max="14" width="13.85546875" customWidth="1"/>
  </cols>
  <sheetData>
    <row r="1" spans="1:14" ht="16.5" thickTop="1" thickBot="1" x14ac:dyDescent="0.3">
      <c r="A1" s="74" t="s">
        <v>0</v>
      </c>
      <c r="B1" s="60" t="s">
        <v>1</v>
      </c>
      <c r="C1" s="61"/>
      <c r="D1" s="109" t="s">
        <v>2</v>
      </c>
      <c r="E1" s="110"/>
      <c r="F1" s="110"/>
      <c r="G1" s="110"/>
      <c r="H1" s="110"/>
      <c r="I1" s="110"/>
      <c r="J1" s="111"/>
      <c r="K1" s="104" t="s">
        <v>3</v>
      </c>
      <c r="L1" s="105"/>
      <c r="M1" s="105"/>
      <c r="N1" s="106"/>
    </row>
    <row r="2" spans="1:14" ht="15.75" thickTop="1" x14ac:dyDescent="0.25">
      <c r="A2" s="7" t="s">
        <v>4</v>
      </c>
      <c r="B2" s="2" t="s">
        <v>5</v>
      </c>
      <c r="C2" s="2"/>
      <c r="D2" s="28"/>
      <c r="E2" s="114" t="s">
        <v>6</v>
      </c>
      <c r="F2" s="114"/>
      <c r="G2" s="50" t="s">
        <v>7</v>
      </c>
      <c r="H2" s="50" t="s">
        <v>7</v>
      </c>
      <c r="I2" s="50" t="s">
        <v>7</v>
      </c>
      <c r="J2" s="51" t="s">
        <v>7</v>
      </c>
      <c r="K2" s="107" t="s">
        <v>8</v>
      </c>
      <c r="L2" s="107"/>
      <c r="M2" s="107"/>
      <c r="N2" s="108"/>
    </row>
    <row r="3" spans="1:14" x14ac:dyDescent="0.25">
      <c r="A3" s="8" t="s">
        <v>9</v>
      </c>
      <c r="B3" s="4">
        <v>24905</v>
      </c>
      <c r="C3" s="5">
        <f>(B3/$B$6)</f>
        <v>0.48189857007410847</v>
      </c>
      <c r="D3" s="8" t="s">
        <v>10</v>
      </c>
      <c r="E3" s="1" t="s">
        <v>11</v>
      </c>
      <c r="F3" s="1" t="s">
        <v>12</v>
      </c>
      <c r="G3" s="49" t="s">
        <v>13</v>
      </c>
      <c r="H3" s="49" t="s">
        <v>14</v>
      </c>
      <c r="I3" s="49" t="s">
        <v>15</v>
      </c>
      <c r="J3" s="54" t="s">
        <v>16</v>
      </c>
      <c r="K3" s="63" t="s">
        <v>13</v>
      </c>
      <c r="L3" s="63" t="s">
        <v>14</v>
      </c>
      <c r="M3" s="63" t="s">
        <v>15</v>
      </c>
      <c r="N3" s="64" t="s">
        <v>16</v>
      </c>
    </row>
    <row r="4" spans="1:14" x14ac:dyDescent="0.25">
      <c r="A4" s="8" t="s">
        <v>17</v>
      </c>
      <c r="B4" s="4">
        <v>15067</v>
      </c>
      <c r="C4" s="5">
        <f t="shared" ref="C4:C6" si="0">(B4/$B$6)</f>
        <v>0.29153847642266983</v>
      </c>
      <c r="D4" s="8" t="s">
        <v>18</v>
      </c>
      <c r="E4" s="2">
        <f>210+20</f>
        <v>230</v>
      </c>
      <c r="F4" s="2">
        <f>40+260</f>
        <v>300</v>
      </c>
      <c r="G4" s="3">
        <f>20+215</f>
        <v>235</v>
      </c>
      <c r="H4" s="3">
        <f>270+40</f>
        <v>310</v>
      </c>
      <c r="I4" s="3">
        <f>250+25</f>
        <v>275</v>
      </c>
      <c r="J4" s="72">
        <f>310+50</f>
        <v>360</v>
      </c>
      <c r="K4" s="2">
        <f>G4-E4</f>
        <v>5</v>
      </c>
      <c r="L4" s="2">
        <f t="shared" ref="L4:M4" si="1">H4-F4</f>
        <v>10</v>
      </c>
      <c r="M4" s="2">
        <f t="shared" si="1"/>
        <v>40</v>
      </c>
      <c r="N4" s="62">
        <f>J4-H4</f>
        <v>50</v>
      </c>
    </row>
    <row r="5" spans="1:14" x14ac:dyDescent="0.25">
      <c r="A5" s="8" t="s">
        <v>19</v>
      </c>
      <c r="B5" s="4">
        <v>11709</v>
      </c>
      <c r="C5" s="5">
        <f t="shared" si="0"/>
        <v>0.2265629535032217</v>
      </c>
      <c r="D5" s="8" t="s">
        <v>20</v>
      </c>
      <c r="E5" s="2">
        <f>235+35</f>
        <v>270</v>
      </c>
      <c r="F5" s="2">
        <f>50+230</f>
        <v>280</v>
      </c>
      <c r="G5" s="3">
        <f>240+35</f>
        <v>275</v>
      </c>
      <c r="H5" s="3">
        <f>50+235</f>
        <v>285</v>
      </c>
      <c r="I5" s="3">
        <f>40+280</f>
        <v>320</v>
      </c>
      <c r="J5" s="72">
        <f>60+275</f>
        <v>335</v>
      </c>
      <c r="K5" s="2">
        <f t="shared" ref="K5:K7" si="2">G5-E5</f>
        <v>5</v>
      </c>
      <c r="L5" s="2">
        <f t="shared" ref="L5:L7" si="3">H5-F5</f>
        <v>5</v>
      </c>
      <c r="M5" s="2">
        <f t="shared" ref="M5:M7" si="4">I5-G5</f>
        <v>45</v>
      </c>
      <c r="N5" s="62">
        <f t="shared" ref="N5:N7" si="5">J5-H5</f>
        <v>50</v>
      </c>
    </row>
    <row r="6" spans="1:14" x14ac:dyDescent="0.25">
      <c r="A6" s="75">
        <f>(B6/(B4+B5))-100%</f>
        <v>0.93012399163429937</v>
      </c>
      <c r="B6" s="4">
        <f>SUM(B3:B5)</f>
        <v>51681</v>
      </c>
      <c r="C6" s="5">
        <f t="shared" si="0"/>
        <v>1</v>
      </c>
      <c r="D6" s="8" t="s">
        <v>21</v>
      </c>
      <c r="E6" s="2">
        <v>1180</v>
      </c>
      <c r="F6" s="2">
        <v>550</v>
      </c>
      <c r="G6" s="3">
        <v>1215</v>
      </c>
      <c r="H6" s="3">
        <v>565</v>
      </c>
      <c r="I6" s="3">
        <v>1410</v>
      </c>
      <c r="J6" s="72">
        <v>660</v>
      </c>
      <c r="K6" s="2">
        <f t="shared" si="2"/>
        <v>35</v>
      </c>
      <c r="L6" s="2">
        <f t="shared" si="3"/>
        <v>15</v>
      </c>
      <c r="M6" s="2">
        <f t="shared" si="4"/>
        <v>195</v>
      </c>
      <c r="N6" s="62">
        <f t="shared" si="5"/>
        <v>95</v>
      </c>
    </row>
    <row r="7" spans="1:14" ht="15.75" thickBot="1" x14ac:dyDescent="0.3">
      <c r="A7" s="8" t="s">
        <v>22</v>
      </c>
      <c r="B7" s="4">
        <v>181</v>
      </c>
      <c r="C7" s="5">
        <f>B7/$B$9</f>
        <v>0.72399999999999998</v>
      </c>
      <c r="D7" s="8" t="s">
        <v>23</v>
      </c>
      <c r="E7" s="2">
        <v>500</v>
      </c>
      <c r="F7" s="2">
        <v>1120</v>
      </c>
      <c r="G7" s="3">
        <v>515</v>
      </c>
      <c r="H7" s="3">
        <v>1155</v>
      </c>
      <c r="I7" s="3">
        <v>600</v>
      </c>
      <c r="J7" s="72">
        <v>1340</v>
      </c>
      <c r="K7" s="2">
        <f t="shared" si="2"/>
        <v>15</v>
      </c>
      <c r="L7" s="2">
        <f t="shared" si="3"/>
        <v>35</v>
      </c>
      <c r="M7" s="2">
        <f t="shared" si="4"/>
        <v>85</v>
      </c>
      <c r="N7" s="71">
        <f t="shared" si="5"/>
        <v>185</v>
      </c>
    </row>
    <row r="8" spans="1:14" ht="15.75" thickTop="1" x14ac:dyDescent="0.25">
      <c r="A8" s="8" t="s">
        <v>24</v>
      </c>
      <c r="B8" s="4">
        <f>B9-B7</f>
        <v>69</v>
      </c>
      <c r="C8" s="5">
        <f>B8/$B$9</f>
        <v>0.27600000000000002</v>
      </c>
      <c r="D8" s="28"/>
      <c r="E8" s="50" t="s">
        <v>6</v>
      </c>
      <c r="F8" s="50"/>
      <c r="G8" s="50" t="s">
        <v>25</v>
      </c>
      <c r="H8" s="50" t="s">
        <v>25</v>
      </c>
      <c r="I8" s="50" t="s">
        <v>25</v>
      </c>
      <c r="J8" s="51" t="s">
        <v>25</v>
      </c>
      <c r="K8" s="107" t="s">
        <v>26</v>
      </c>
      <c r="L8" s="107"/>
      <c r="M8" s="107"/>
      <c r="N8" s="108"/>
    </row>
    <row r="9" spans="1:14" x14ac:dyDescent="0.25">
      <c r="A9" s="75">
        <f>(B9/B7)-100%</f>
        <v>0.38121546961325969</v>
      </c>
      <c r="B9" s="4">
        <v>250</v>
      </c>
      <c r="C9" s="5">
        <f>B9/$B$9</f>
        <v>1</v>
      </c>
      <c r="D9" s="8" t="s">
        <v>10</v>
      </c>
      <c r="E9" s="1" t="s">
        <v>11</v>
      </c>
      <c r="F9" s="1" t="s">
        <v>12</v>
      </c>
      <c r="G9" s="49" t="s">
        <v>13</v>
      </c>
      <c r="H9" s="49" t="s">
        <v>14</v>
      </c>
      <c r="I9" s="49" t="s">
        <v>15</v>
      </c>
      <c r="J9" s="54" t="s">
        <v>16</v>
      </c>
      <c r="K9" s="63" t="s">
        <v>13</v>
      </c>
      <c r="L9" s="63" t="s">
        <v>14</v>
      </c>
      <c r="M9" s="63" t="s">
        <v>15</v>
      </c>
      <c r="N9" s="64" t="s">
        <v>16</v>
      </c>
    </row>
    <row r="10" spans="1:14" x14ac:dyDescent="0.25">
      <c r="A10" s="8" t="s">
        <v>27</v>
      </c>
      <c r="B10" s="4">
        <v>327</v>
      </c>
      <c r="C10" s="5">
        <f>B10/$B$12</f>
        <v>0.50153374233128833</v>
      </c>
      <c r="D10" s="8" t="s">
        <v>18</v>
      </c>
      <c r="E10" s="2"/>
      <c r="F10" s="2"/>
      <c r="G10" s="3">
        <f>20+252</f>
        <v>272</v>
      </c>
      <c r="H10" s="3">
        <f>300+40</f>
        <v>340</v>
      </c>
      <c r="I10" s="3">
        <f>25+287</f>
        <v>312</v>
      </c>
      <c r="J10" s="72">
        <f>340+50</f>
        <v>390</v>
      </c>
      <c r="K10" s="65">
        <f>G10-G4</f>
        <v>37</v>
      </c>
      <c r="L10" s="65">
        <f t="shared" ref="L10:N10" si="6">H10-H4</f>
        <v>30</v>
      </c>
      <c r="M10" s="65">
        <f>I10-I4</f>
        <v>37</v>
      </c>
      <c r="N10" s="66">
        <f t="shared" si="6"/>
        <v>30</v>
      </c>
    </row>
    <row r="11" spans="1:14" x14ac:dyDescent="0.25">
      <c r="A11" s="8" t="s">
        <v>28</v>
      </c>
      <c r="B11" s="4">
        <v>325</v>
      </c>
      <c r="C11" s="5">
        <f>B11/$B$12</f>
        <v>0.49846625766871167</v>
      </c>
      <c r="D11" s="8" t="s">
        <v>20</v>
      </c>
      <c r="E11" s="2"/>
      <c r="F11" s="2"/>
      <c r="G11" s="3">
        <f>272+35</f>
        <v>307</v>
      </c>
      <c r="H11" s="3">
        <f>271+50</f>
        <v>321</v>
      </c>
      <c r="I11" s="3">
        <f>312+40</f>
        <v>352</v>
      </c>
      <c r="J11" s="72">
        <f>311+60</f>
        <v>371</v>
      </c>
      <c r="K11" s="65">
        <f>G11-G5</f>
        <v>32</v>
      </c>
      <c r="L11" s="65">
        <f t="shared" ref="L11:N11" si="7">H11-H5</f>
        <v>36</v>
      </c>
      <c r="M11" s="65">
        <f t="shared" si="7"/>
        <v>32</v>
      </c>
      <c r="N11" s="66">
        <f t="shared" si="7"/>
        <v>36</v>
      </c>
    </row>
    <row r="12" spans="1:14" x14ac:dyDescent="0.25">
      <c r="A12" s="76">
        <f>(B12/B10)-100%</f>
        <v>0.99388379204892963</v>
      </c>
      <c r="B12" s="4">
        <f>SUM(B10:B11)</f>
        <v>652</v>
      </c>
      <c r="C12" s="5">
        <f>B12/$B$12</f>
        <v>1</v>
      </c>
      <c r="D12" s="8" t="s">
        <v>21</v>
      </c>
      <c r="E12" s="2"/>
      <c r="F12" s="2"/>
      <c r="G12" s="3">
        <v>1215</v>
      </c>
      <c r="H12" s="3">
        <v>565</v>
      </c>
      <c r="I12" s="3">
        <v>1410</v>
      </c>
      <c r="J12" s="72">
        <v>660</v>
      </c>
      <c r="K12" s="67">
        <f>G12-G6</f>
        <v>0</v>
      </c>
      <c r="L12" s="67">
        <f t="shared" ref="L12:N12" si="8">H12-H6</f>
        <v>0</v>
      </c>
      <c r="M12" s="67">
        <f t="shared" si="8"/>
        <v>0</v>
      </c>
      <c r="N12" s="68">
        <f t="shared" si="8"/>
        <v>0</v>
      </c>
    </row>
    <row r="13" spans="1:14" ht="15.75" thickBot="1" x14ac:dyDescent="0.3">
      <c r="A13" s="8" t="s">
        <v>29</v>
      </c>
      <c r="B13" s="4">
        <v>118</v>
      </c>
      <c r="C13" s="5">
        <f>B13/(B13+B12)</f>
        <v>0.15324675324675324</v>
      </c>
      <c r="D13" s="8" t="s">
        <v>23</v>
      </c>
      <c r="E13" s="2"/>
      <c r="F13" s="2"/>
      <c r="G13" s="3">
        <v>515</v>
      </c>
      <c r="H13" s="3">
        <v>1155</v>
      </c>
      <c r="I13" s="3">
        <v>600</v>
      </c>
      <c r="J13" s="73">
        <v>1340</v>
      </c>
      <c r="K13" s="69">
        <f>G13-G7</f>
        <v>0</v>
      </c>
      <c r="L13" s="69">
        <f t="shared" ref="L13:N13" si="9">H13-H7</f>
        <v>0</v>
      </c>
      <c r="M13" s="69">
        <f t="shared" si="9"/>
        <v>0</v>
      </c>
      <c r="N13" s="70">
        <f t="shared" si="9"/>
        <v>0</v>
      </c>
    </row>
    <row r="14" spans="1:14" ht="15.75" thickTop="1" x14ac:dyDescent="0.25">
      <c r="A14" s="8" t="s">
        <v>30</v>
      </c>
      <c r="B14" s="4">
        <v>2</v>
      </c>
      <c r="C14" s="5">
        <f>B14/$B$15</f>
        <v>0.22222222222222221</v>
      </c>
      <c r="D14" s="28"/>
      <c r="E14" s="114" t="s">
        <v>31</v>
      </c>
      <c r="F14" s="114"/>
      <c r="G14" s="114"/>
      <c r="H14" s="114"/>
      <c r="I14" s="114"/>
      <c r="J14" s="115"/>
      <c r="K14" s="116" t="s">
        <v>32</v>
      </c>
      <c r="L14" s="114"/>
      <c r="M14" s="114"/>
      <c r="N14" s="115"/>
    </row>
    <row r="15" spans="1:14" x14ac:dyDescent="0.25">
      <c r="A15" s="8" t="s">
        <v>33</v>
      </c>
      <c r="B15" s="4">
        <v>9</v>
      </c>
      <c r="C15" s="5">
        <f>B15/$B$15</f>
        <v>1</v>
      </c>
      <c r="D15" s="8"/>
      <c r="E15" s="1"/>
      <c r="F15" s="1"/>
      <c r="G15" s="49" t="s">
        <v>7</v>
      </c>
      <c r="H15" s="49" t="s">
        <v>7</v>
      </c>
      <c r="I15" s="49" t="s">
        <v>7</v>
      </c>
      <c r="J15" s="54" t="s">
        <v>7</v>
      </c>
      <c r="K15" s="48" t="s">
        <v>7</v>
      </c>
      <c r="L15" s="22" t="s">
        <v>7</v>
      </c>
      <c r="M15" s="22" t="s">
        <v>7</v>
      </c>
      <c r="N15" s="23" t="s">
        <v>7</v>
      </c>
    </row>
    <row r="16" spans="1:14" x14ac:dyDescent="0.25">
      <c r="A16" s="8"/>
      <c r="B16" s="4">
        <f>SUM(B14:B15)</f>
        <v>11</v>
      </c>
      <c r="C16" s="5">
        <f>B16/$B$15</f>
        <v>1.2222222222222223</v>
      </c>
      <c r="D16" s="8" t="s">
        <v>34</v>
      </c>
      <c r="E16" s="1" t="s">
        <v>11</v>
      </c>
      <c r="F16" s="1" t="s">
        <v>12</v>
      </c>
      <c r="G16" s="1" t="s">
        <v>13</v>
      </c>
      <c r="H16" s="1" t="s">
        <v>14</v>
      </c>
      <c r="I16" s="1" t="s">
        <v>15</v>
      </c>
      <c r="J16" s="9" t="s">
        <v>16</v>
      </c>
      <c r="K16" s="24" t="s">
        <v>13</v>
      </c>
      <c r="L16" s="25" t="s">
        <v>14</v>
      </c>
      <c r="M16" s="25" t="s">
        <v>15</v>
      </c>
      <c r="N16" s="26" t="s">
        <v>16</v>
      </c>
    </row>
    <row r="17" spans="1:17" x14ac:dyDescent="0.25">
      <c r="A17" s="8" t="s">
        <v>35</v>
      </c>
      <c r="B17" s="4">
        <v>1</v>
      </c>
      <c r="C17" s="4"/>
      <c r="D17" s="8" t="s">
        <v>36</v>
      </c>
      <c r="E17" s="29">
        <v>0.61</v>
      </c>
      <c r="F17" s="30">
        <v>0.95</v>
      </c>
      <c r="G17" s="29">
        <v>0.62</v>
      </c>
      <c r="H17" s="30">
        <v>0.98</v>
      </c>
      <c r="I17" s="29">
        <v>0.71</v>
      </c>
      <c r="J17" s="31">
        <v>1.1299999999999999</v>
      </c>
      <c r="K17" s="10">
        <f>(G17-E17)/E17</f>
        <v>1.6393442622950834E-2</v>
      </c>
      <c r="L17" s="10">
        <f t="shared" ref="L17:M17" si="10">(H17-F17)/F17</f>
        <v>3.1578947368421081E-2</v>
      </c>
      <c r="M17" s="10">
        <f t="shared" si="10"/>
        <v>0.1451612903225806</v>
      </c>
      <c r="N17" s="10">
        <f>(J17-H17)/H17</f>
        <v>0.15306122448979584</v>
      </c>
    </row>
    <row r="18" spans="1:17" x14ac:dyDescent="0.25">
      <c r="A18" s="8"/>
      <c r="B18" s="4"/>
      <c r="C18" s="4"/>
      <c r="D18" s="8" t="s">
        <v>37</v>
      </c>
      <c r="E18" s="29">
        <v>0.68</v>
      </c>
      <c r="F18" s="57">
        <v>0.55000000000000004</v>
      </c>
      <c r="G18" s="29">
        <v>0.69</v>
      </c>
      <c r="H18" s="29">
        <v>0.56000000000000005</v>
      </c>
      <c r="I18" s="29">
        <v>0.78</v>
      </c>
      <c r="J18" s="33">
        <v>0.64</v>
      </c>
      <c r="K18" s="10">
        <f>(G18-E18)/E18</f>
        <v>1.4705882352941025E-2</v>
      </c>
      <c r="L18" s="10">
        <f t="shared" ref="L18:N21" si="11">(H18-F18)/F18</f>
        <v>1.8181818181818195E-2</v>
      </c>
      <c r="M18" s="10">
        <f t="shared" si="11"/>
        <v>0.13043478260869579</v>
      </c>
      <c r="N18" s="10">
        <f t="shared" si="11"/>
        <v>0.14285714285714277</v>
      </c>
    </row>
    <row r="19" spans="1:17" x14ac:dyDescent="0.25">
      <c r="A19" s="8" t="s">
        <v>38</v>
      </c>
      <c r="B19" s="4">
        <v>3</v>
      </c>
      <c r="C19" s="5">
        <f>B19/5</f>
        <v>0.6</v>
      </c>
      <c r="D19" s="8" t="s">
        <v>39</v>
      </c>
      <c r="E19" s="30">
        <v>0.84</v>
      </c>
      <c r="F19" s="30">
        <v>0.86</v>
      </c>
      <c r="G19" s="30">
        <v>0.86</v>
      </c>
      <c r="H19" s="30">
        <v>0.89</v>
      </c>
      <c r="I19" s="30">
        <v>0.99</v>
      </c>
      <c r="J19" s="31">
        <v>1.02</v>
      </c>
      <c r="K19" s="10">
        <f t="shared" ref="K19:K21" si="12">(G19-E19)/E19</f>
        <v>2.3809523809523832E-2</v>
      </c>
      <c r="L19" s="10">
        <f t="shared" si="11"/>
        <v>3.4883720930232592E-2</v>
      </c>
      <c r="M19" s="10">
        <f t="shared" si="11"/>
        <v>0.15116279069767444</v>
      </c>
      <c r="N19" s="10">
        <f t="shared" si="11"/>
        <v>0.14606741573033707</v>
      </c>
    </row>
    <row r="20" spans="1:17" x14ac:dyDescent="0.25">
      <c r="A20" s="8" t="s">
        <v>40</v>
      </c>
      <c r="B20" s="4">
        <v>2</v>
      </c>
      <c r="C20" s="5">
        <f t="shared" ref="C20:C22" si="13">B20/5</f>
        <v>0.4</v>
      </c>
      <c r="D20" s="8" t="s">
        <v>41</v>
      </c>
      <c r="E20" s="30">
        <v>0.98</v>
      </c>
      <c r="F20" s="30">
        <v>0.83</v>
      </c>
      <c r="G20" s="30">
        <v>1</v>
      </c>
      <c r="H20" s="30">
        <v>0.85</v>
      </c>
      <c r="I20" s="30">
        <v>1.1499999999999999</v>
      </c>
      <c r="J20" s="31">
        <v>0.98</v>
      </c>
      <c r="K20" s="10">
        <f t="shared" si="12"/>
        <v>2.0408163265306142E-2</v>
      </c>
      <c r="L20" s="10">
        <f t="shared" si="11"/>
        <v>2.4096385542168697E-2</v>
      </c>
      <c r="M20" s="10">
        <f t="shared" si="11"/>
        <v>0.14999999999999991</v>
      </c>
      <c r="N20" s="10">
        <f t="shared" si="11"/>
        <v>0.15294117647058825</v>
      </c>
    </row>
    <row r="21" spans="1:17" ht="15.75" thickBot="1" x14ac:dyDescent="0.3">
      <c r="A21" s="8" t="s">
        <v>42</v>
      </c>
      <c r="B21" s="4">
        <v>2</v>
      </c>
      <c r="C21" s="5">
        <f t="shared" si="13"/>
        <v>0.4</v>
      </c>
      <c r="D21" s="34" t="s">
        <v>43</v>
      </c>
      <c r="E21" s="35">
        <v>0.33</v>
      </c>
      <c r="F21" s="35">
        <v>0.35</v>
      </c>
      <c r="G21" s="35">
        <v>0.34</v>
      </c>
      <c r="H21" s="35">
        <v>0.36</v>
      </c>
      <c r="I21" s="35">
        <v>0.37</v>
      </c>
      <c r="J21" s="36">
        <v>0.4</v>
      </c>
      <c r="K21" s="10">
        <f t="shared" si="12"/>
        <v>3.0303030303030328E-2</v>
      </c>
      <c r="L21" s="10">
        <f t="shared" si="11"/>
        <v>2.8571428571428598E-2</v>
      </c>
      <c r="M21" s="10">
        <f t="shared" si="11"/>
        <v>8.8235294117646967E-2</v>
      </c>
      <c r="N21" s="10">
        <f t="shared" si="11"/>
        <v>0.11111111111111122</v>
      </c>
    </row>
    <row r="22" spans="1:17" ht="15.75" thickTop="1" x14ac:dyDescent="0.25">
      <c r="A22" s="8" t="s">
        <v>44</v>
      </c>
      <c r="B22" s="4">
        <v>3</v>
      </c>
      <c r="C22" s="5">
        <f t="shared" si="13"/>
        <v>0.6</v>
      </c>
      <c r="D22" s="28"/>
      <c r="E22" s="37"/>
      <c r="F22" s="37"/>
      <c r="G22" s="55" t="s">
        <v>25</v>
      </c>
      <c r="H22" s="55" t="s">
        <v>25</v>
      </c>
      <c r="I22" s="55" t="s">
        <v>25</v>
      </c>
      <c r="J22" s="56" t="s">
        <v>25</v>
      </c>
      <c r="K22" s="48" t="s">
        <v>25</v>
      </c>
      <c r="L22" s="22" t="s">
        <v>25</v>
      </c>
      <c r="M22" s="22" t="s">
        <v>25</v>
      </c>
      <c r="N22" s="23" t="s">
        <v>25</v>
      </c>
    </row>
    <row r="23" spans="1:17" x14ac:dyDescent="0.25">
      <c r="A23" s="7" t="s">
        <v>45</v>
      </c>
      <c r="B23" s="4">
        <v>1</v>
      </c>
      <c r="C23" s="4"/>
      <c r="D23" s="8" t="s">
        <v>34</v>
      </c>
      <c r="E23" s="1" t="s">
        <v>11</v>
      </c>
      <c r="F23" s="1" t="s">
        <v>12</v>
      </c>
      <c r="G23" s="22" t="s">
        <v>13</v>
      </c>
      <c r="H23" s="22" t="s">
        <v>14</v>
      </c>
      <c r="I23" s="22" t="s">
        <v>15</v>
      </c>
      <c r="J23" s="23" t="s">
        <v>16</v>
      </c>
      <c r="K23" s="48" t="s">
        <v>13</v>
      </c>
      <c r="L23" s="22" t="s">
        <v>14</v>
      </c>
      <c r="M23" s="22" t="s">
        <v>15</v>
      </c>
      <c r="N23" s="23" t="s">
        <v>16</v>
      </c>
    </row>
    <row r="24" spans="1:17" x14ac:dyDescent="0.25">
      <c r="A24" s="8" t="s">
        <v>46</v>
      </c>
      <c r="B24" s="6">
        <v>75</v>
      </c>
      <c r="C24" s="4" t="s">
        <v>47</v>
      </c>
      <c r="D24" s="8" t="s">
        <v>36</v>
      </c>
      <c r="E24" s="29"/>
      <c r="F24" s="30"/>
      <c r="G24" s="29">
        <v>0.63</v>
      </c>
      <c r="H24" s="30">
        <v>0.99</v>
      </c>
      <c r="I24" s="29">
        <v>0.72</v>
      </c>
      <c r="J24" s="31">
        <v>1.1499999999999999</v>
      </c>
      <c r="K24" s="10">
        <f>(G24-E17)/E17</f>
        <v>3.2786885245901669E-2</v>
      </c>
      <c r="L24" s="10">
        <f t="shared" ref="L24:N28" si="14">(H24-F17)/F17</f>
        <v>4.2105263157894778E-2</v>
      </c>
      <c r="M24" s="10">
        <f t="shared" si="14"/>
        <v>0.16129032258064513</v>
      </c>
      <c r="N24" s="10">
        <f t="shared" si="14"/>
        <v>0.17346938775510198</v>
      </c>
      <c r="O24" s="38"/>
      <c r="P24" s="38"/>
      <c r="Q24" s="38"/>
    </row>
    <row r="25" spans="1:17" x14ac:dyDescent="0.25">
      <c r="A25" s="8" t="s">
        <v>48</v>
      </c>
      <c r="B25" s="6">
        <v>75</v>
      </c>
      <c r="C25" s="4" t="s">
        <v>49</v>
      </c>
      <c r="D25" s="8" t="s">
        <v>37</v>
      </c>
      <c r="E25" s="29"/>
      <c r="F25" s="32"/>
      <c r="G25" s="29">
        <v>0.7</v>
      </c>
      <c r="H25" s="29">
        <v>0.56999999999999995</v>
      </c>
      <c r="I25" s="29">
        <v>0.79</v>
      </c>
      <c r="J25" s="33">
        <v>0.65</v>
      </c>
      <c r="K25" s="10">
        <f t="shared" ref="K25:K28" si="15">(G25-E18)/E18</f>
        <v>2.9411764705882214E-2</v>
      </c>
      <c r="L25" s="10">
        <f t="shared" si="14"/>
        <v>3.6363636363636188E-2</v>
      </c>
      <c r="M25" s="10">
        <f t="shared" si="14"/>
        <v>0.1449275362318842</v>
      </c>
      <c r="N25" s="10">
        <f t="shared" si="14"/>
        <v>0.16071428571428564</v>
      </c>
      <c r="O25" s="38"/>
      <c r="P25" s="38"/>
      <c r="Q25" s="38"/>
    </row>
    <row r="26" spans="1:17" x14ac:dyDescent="0.25">
      <c r="A26" s="7"/>
      <c r="B26" s="2"/>
      <c r="C26" s="4"/>
      <c r="D26" s="8" t="s">
        <v>39</v>
      </c>
      <c r="E26" s="30"/>
      <c r="F26" s="30"/>
      <c r="G26" s="30">
        <v>0.88</v>
      </c>
      <c r="H26" s="30">
        <v>0.9</v>
      </c>
      <c r="I26" s="30">
        <v>1.01</v>
      </c>
      <c r="J26" s="31">
        <v>1.03</v>
      </c>
      <c r="K26" s="10">
        <f t="shared" si="15"/>
        <v>4.7619047619047665E-2</v>
      </c>
      <c r="L26" s="10">
        <f t="shared" si="14"/>
        <v>4.6511627906976785E-2</v>
      </c>
      <c r="M26" s="10">
        <f t="shared" si="14"/>
        <v>0.17441860465116282</v>
      </c>
      <c r="N26" s="10">
        <f t="shared" si="14"/>
        <v>0.15730337078651688</v>
      </c>
      <c r="O26" s="38"/>
      <c r="P26" s="38"/>
      <c r="Q26" s="38"/>
    </row>
    <row r="27" spans="1:17" x14ac:dyDescent="0.25">
      <c r="A27" s="8" t="s">
        <v>50</v>
      </c>
      <c r="B27" s="4">
        <v>3</v>
      </c>
      <c r="C27" s="4"/>
      <c r="D27" s="8" t="s">
        <v>41</v>
      </c>
      <c r="E27" s="30"/>
      <c r="F27" s="30"/>
      <c r="G27" s="30">
        <v>1.04</v>
      </c>
      <c r="H27" s="30">
        <v>0.87</v>
      </c>
      <c r="I27" s="30">
        <v>1.19</v>
      </c>
      <c r="J27" s="31">
        <v>1</v>
      </c>
      <c r="K27" s="10">
        <f t="shared" si="15"/>
        <v>6.1224489795918421E-2</v>
      </c>
      <c r="L27" s="10">
        <f t="shared" si="14"/>
        <v>4.8192771084337394E-2</v>
      </c>
      <c r="M27" s="10">
        <f t="shared" si="14"/>
        <v>0.18999999999999995</v>
      </c>
      <c r="N27" s="10">
        <f t="shared" si="14"/>
        <v>0.17647058823529416</v>
      </c>
      <c r="O27" s="38"/>
      <c r="P27" s="38"/>
      <c r="Q27" s="38"/>
    </row>
    <row r="28" spans="1:17" ht="15.75" thickBot="1" x14ac:dyDescent="0.3">
      <c r="A28" s="8" t="s">
        <v>51</v>
      </c>
      <c r="B28" s="4">
        <v>4</v>
      </c>
      <c r="C28" s="4"/>
      <c r="D28" s="34" t="s">
        <v>43</v>
      </c>
      <c r="E28" s="35"/>
      <c r="F28" s="35"/>
      <c r="G28" s="35">
        <v>0.38</v>
      </c>
      <c r="H28" s="35">
        <v>0.34</v>
      </c>
      <c r="I28" s="35">
        <v>0.43</v>
      </c>
      <c r="J28" s="36">
        <v>0.4</v>
      </c>
      <c r="K28" s="10">
        <f t="shared" si="15"/>
        <v>0.15151515151515146</v>
      </c>
      <c r="L28" s="10">
        <f t="shared" si="14"/>
        <v>-2.8571428571428439E-2</v>
      </c>
      <c r="M28" s="10">
        <f t="shared" si="14"/>
        <v>0.26470588235294107</v>
      </c>
      <c r="N28" s="10">
        <f t="shared" si="14"/>
        <v>0.11111111111111122</v>
      </c>
      <c r="O28" s="38"/>
      <c r="P28" s="38"/>
      <c r="Q28" s="38"/>
    </row>
    <row r="29" spans="1:17" ht="15.75" thickTop="1" x14ac:dyDescent="0.25">
      <c r="A29" s="8" t="s">
        <v>52</v>
      </c>
      <c r="B29" s="4">
        <v>2</v>
      </c>
      <c r="C29" s="4"/>
      <c r="D29" s="125" t="s">
        <v>53</v>
      </c>
      <c r="E29" s="126"/>
      <c r="F29" s="127"/>
      <c r="G29" s="116" t="s">
        <v>54</v>
      </c>
      <c r="H29" s="114"/>
      <c r="I29" s="114"/>
      <c r="J29" s="115"/>
      <c r="K29" s="117" t="s">
        <v>55</v>
      </c>
      <c r="L29" s="117"/>
      <c r="M29" s="117"/>
      <c r="N29" s="118"/>
    </row>
    <row r="30" spans="1:17" x14ac:dyDescent="0.25">
      <c r="A30" s="8" t="s">
        <v>56</v>
      </c>
      <c r="B30" s="4">
        <v>0</v>
      </c>
      <c r="C30" s="4"/>
      <c r="D30" s="128"/>
      <c r="E30" s="129"/>
      <c r="F30" s="130"/>
      <c r="G30" s="48" t="s">
        <v>57</v>
      </c>
      <c r="H30" s="22" t="s">
        <v>57</v>
      </c>
      <c r="I30" s="22" t="s">
        <v>57</v>
      </c>
      <c r="J30" s="23" t="s">
        <v>57</v>
      </c>
      <c r="K30" s="85" t="s">
        <v>58</v>
      </c>
      <c r="L30" s="86" t="s">
        <v>58</v>
      </c>
      <c r="M30" s="86" t="s">
        <v>58</v>
      </c>
      <c r="N30" s="87" t="s">
        <v>58</v>
      </c>
    </row>
    <row r="31" spans="1:17" x14ac:dyDescent="0.25">
      <c r="A31" s="119" t="s">
        <v>59</v>
      </c>
      <c r="B31" s="120"/>
      <c r="C31" s="121"/>
      <c r="D31" s="128"/>
      <c r="E31" s="129"/>
      <c r="F31" s="130"/>
      <c r="G31" s="48" t="s">
        <v>13</v>
      </c>
      <c r="H31" s="22" t="s">
        <v>14</v>
      </c>
      <c r="I31" s="22" t="s">
        <v>15</v>
      </c>
      <c r="J31" s="23" t="s">
        <v>16</v>
      </c>
      <c r="K31" s="86" t="s">
        <v>13</v>
      </c>
      <c r="L31" s="86" t="s">
        <v>14</v>
      </c>
      <c r="M31" s="86" t="s">
        <v>15</v>
      </c>
      <c r="N31" s="87" t="s">
        <v>16</v>
      </c>
    </row>
    <row r="32" spans="1:17" x14ac:dyDescent="0.25">
      <c r="A32" s="119"/>
      <c r="B32" s="120"/>
      <c r="C32" s="121"/>
      <c r="D32" s="128"/>
      <c r="E32" s="129"/>
      <c r="F32" s="130"/>
      <c r="G32" s="16">
        <f>G24/G17-100%</f>
        <v>1.6129032258064502E-2</v>
      </c>
      <c r="H32" s="17">
        <f t="shared" ref="H32:J32" si="16">H24/H17-100%</f>
        <v>1.0204081632652962E-2</v>
      </c>
      <c r="I32" s="17">
        <f t="shared" si="16"/>
        <v>1.4084507042253502E-2</v>
      </c>
      <c r="J32" s="18">
        <f t="shared" si="16"/>
        <v>1.7699115044247815E-2</v>
      </c>
      <c r="K32" s="88">
        <f>K24/K17</f>
        <v>2</v>
      </c>
      <c r="L32" s="89">
        <f t="shared" ref="L32:N32" si="17">L24/L17</f>
        <v>1.3333333333333335</v>
      </c>
      <c r="M32" s="89">
        <f t="shared" si="17"/>
        <v>1.1111111111111112</v>
      </c>
      <c r="N32" s="90">
        <f t="shared" si="17"/>
        <v>1.1333333333333335</v>
      </c>
    </row>
    <row r="33" spans="1:14" x14ac:dyDescent="0.25">
      <c r="A33" s="119"/>
      <c r="B33" s="120"/>
      <c r="C33" s="121"/>
      <c r="D33" s="128"/>
      <c r="E33" s="129"/>
      <c r="F33" s="130"/>
      <c r="G33" s="16">
        <f t="shared" ref="G33:J33" si="18">G25/G18-100%</f>
        <v>1.449275362318847E-2</v>
      </c>
      <c r="H33" s="17">
        <f t="shared" si="18"/>
        <v>1.7857142857142572E-2</v>
      </c>
      <c r="I33" s="17">
        <f t="shared" si="18"/>
        <v>1.2820512820512775E-2</v>
      </c>
      <c r="J33" s="18">
        <f t="shared" si="18"/>
        <v>1.5625E-2</v>
      </c>
      <c r="K33" s="88">
        <f t="shared" ref="K33:N36" si="19">K25/K18</f>
        <v>2.0000000000000111</v>
      </c>
      <c r="L33" s="89">
        <f t="shared" si="19"/>
        <v>1.9999999999999889</v>
      </c>
      <c r="M33" s="89">
        <f t="shared" si="19"/>
        <v>1.1111111111111112</v>
      </c>
      <c r="N33" s="90">
        <f t="shared" si="19"/>
        <v>1.1250000000000002</v>
      </c>
    </row>
    <row r="34" spans="1:14" x14ac:dyDescent="0.25">
      <c r="A34" s="119"/>
      <c r="B34" s="120"/>
      <c r="C34" s="121"/>
      <c r="D34" s="128"/>
      <c r="E34" s="129"/>
      <c r="F34" s="130"/>
      <c r="G34" s="16">
        <f t="shared" ref="G34:J34" si="20">G26/G19-100%</f>
        <v>2.3255813953488413E-2</v>
      </c>
      <c r="H34" s="17">
        <f t="shared" si="20"/>
        <v>1.1235955056179803E-2</v>
      </c>
      <c r="I34" s="17">
        <f t="shared" si="20"/>
        <v>2.020202020202011E-2</v>
      </c>
      <c r="J34" s="18">
        <f t="shared" si="20"/>
        <v>9.8039215686274161E-3</v>
      </c>
      <c r="K34" s="88">
        <f t="shared" si="19"/>
        <v>2</v>
      </c>
      <c r="L34" s="89">
        <f t="shared" si="19"/>
        <v>1.3333333333333333</v>
      </c>
      <c r="M34" s="89">
        <f t="shared" si="19"/>
        <v>1.153846153846154</v>
      </c>
      <c r="N34" s="90">
        <f t="shared" si="19"/>
        <v>1.0769230769230771</v>
      </c>
    </row>
    <row r="35" spans="1:14" x14ac:dyDescent="0.25">
      <c r="A35" s="119"/>
      <c r="B35" s="120"/>
      <c r="C35" s="121"/>
      <c r="D35" s="128"/>
      <c r="E35" s="129"/>
      <c r="F35" s="130"/>
      <c r="G35" s="16">
        <f t="shared" ref="G35:J35" si="21">G27/G20-100%</f>
        <v>4.0000000000000036E-2</v>
      </c>
      <c r="H35" s="17">
        <f t="shared" si="21"/>
        <v>2.3529411764705799E-2</v>
      </c>
      <c r="I35" s="17">
        <f t="shared" si="21"/>
        <v>3.4782608695652195E-2</v>
      </c>
      <c r="J35" s="18">
        <f t="shared" si="21"/>
        <v>2.0408163265306145E-2</v>
      </c>
      <c r="K35" s="88">
        <f t="shared" si="19"/>
        <v>3</v>
      </c>
      <c r="L35" s="89">
        <f t="shared" si="19"/>
        <v>2</v>
      </c>
      <c r="M35" s="89">
        <f t="shared" si="19"/>
        <v>1.2666666666666671</v>
      </c>
      <c r="N35" s="90">
        <f t="shared" si="19"/>
        <v>1.153846153846154</v>
      </c>
    </row>
    <row r="36" spans="1:14" ht="15.75" thickBot="1" x14ac:dyDescent="0.3">
      <c r="A36" s="119"/>
      <c r="B36" s="120"/>
      <c r="C36" s="121"/>
      <c r="D36" s="131"/>
      <c r="E36" s="132"/>
      <c r="F36" s="133"/>
      <c r="G36" s="19">
        <f t="shared" ref="G36:J36" si="22">G28/G21-100%</f>
        <v>0.11764705882352944</v>
      </c>
      <c r="H36" s="20">
        <f t="shared" si="22"/>
        <v>-5.5555555555555469E-2</v>
      </c>
      <c r="I36" s="20">
        <f t="shared" si="22"/>
        <v>0.16216216216216206</v>
      </c>
      <c r="J36" s="21">
        <f t="shared" si="22"/>
        <v>0</v>
      </c>
      <c r="K36" s="91">
        <f t="shared" si="19"/>
        <v>4.9999999999999938</v>
      </c>
      <c r="L36" s="92">
        <f>L28/L21</f>
        <v>-0.99999999999999445</v>
      </c>
      <c r="M36" s="93">
        <f t="shared" si="19"/>
        <v>3.0000000000000018</v>
      </c>
      <c r="N36" s="94">
        <f t="shared" si="19"/>
        <v>1</v>
      </c>
    </row>
    <row r="37" spans="1:14" ht="15.75" thickTop="1" x14ac:dyDescent="0.25">
      <c r="A37" s="119"/>
      <c r="B37" s="120"/>
      <c r="C37" s="121"/>
      <c r="D37" s="125" t="s">
        <v>60</v>
      </c>
      <c r="E37" s="126"/>
      <c r="F37" s="126"/>
      <c r="G37" s="126"/>
      <c r="H37" s="126"/>
      <c r="I37" s="126"/>
      <c r="J37" s="127"/>
      <c r="K37" s="116" t="s">
        <v>61</v>
      </c>
      <c r="L37" s="114"/>
      <c r="M37" s="114"/>
      <c r="N37" s="115"/>
    </row>
    <row r="38" spans="1:14" x14ac:dyDescent="0.25">
      <c r="A38" s="119"/>
      <c r="B38" s="120"/>
      <c r="C38" s="121"/>
      <c r="D38" s="128"/>
      <c r="E38" s="129"/>
      <c r="F38" s="129"/>
      <c r="G38" s="129"/>
      <c r="H38" s="129"/>
      <c r="I38" s="129"/>
      <c r="J38" s="130"/>
      <c r="K38" s="48" t="s">
        <v>57</v>
      </c>
      <c r="L38" s="48" t="s">
        <v>57</v>
      </c>
      <c r="M38" s="48" t="s">
        <v>57</v>
      </c>
      <c r="N38" s="27" t="s">
        <v>57</v>
      </c>
    </row>
    <row r="39" spans="1:14" x14ac:dyDescent="0.25">
      <c r="A39" s="119"/>
      <c r="B39" s="120"/>
      <c r="C39" s="121"/>
      <c r="D39" s="128"/>
      <c r="E39" s="129"/>
      <c r="F39" s="129"/>
      <c r="G39" s="129"/>
      <c r="H39" s="129"/>
      <c r="I39" s="129"/>
      <c r="J39" s="130"/>
      <c r="K39" s="48" t="s">
        <v>13</v>
      </c>
      <c r="L39" s="22" t="s">
        <v>14</v>
      </c>
      <c r="M39" s="22" t="s">
        <v>15</v>
      </c>
      <c r="N39" s="23" t="s">
        <v>16</v>
      </c>
    </row>
    <row r="40" spans="1:14" ht="15.75" thickBot="1" x14ac:dyDescent="0.3">
      <c r="A40" s="122"/>
      <c r="B40" s="123"/>
      <c r="C40" s="124"/>
      <c r="D40" s="131"/>
      <c r="E40" s="132"/>
      <c r="F40" s="132"/>
      <c r="G40" s="132"/>
      <c r="H40" s="132"/>
      <c r="I40" s="132"/>
      <c r="J40" s="133"/>
      <c r="K40" s="10">
        <f>K24-K17</f>
        <v>1.6393442622950834E-2</v>
      </c>
      <c r="L40" s="11">
        <f t="shared" ref="L40:N40" si="23">L24-L17</f>
        <v>1.0526315789473696E-2</v>
      </c>
      <c r="M40" s="11">
        <f t="shared" si="23"/>
        <v>1.612903225806453E-2</v>
      </c>
      <c r="N40" s="12">
        <f t="shared" si="23"/>
        <v>2.0408163265306145E-2</v>
      </c>
    </row>
    <row r="41" spans="1:14" ht="16.5" thickTop="1" thickBot="1" x14ac:dyDescent="0.3">
      <c r="A41" s="28"/>
      <c r="B41" s="37"/>
      <c r="C41" s="109">
        <v>2024</v>
      </c>
      <c r="D41" s="110"/>
      <c r="E41" s="110"/>
      <c r="F41" s="110"/>
      <c r="G41" s="110">
        <v>2034</v>
      </c>
      <c r="H41" s="110"/>
      <c r="I41" s="110"/>
      <c r="J41" s="111"/>
      <c r="K41" s="10">
        <f t="shared" ref="K41:N41" si="24">K25-K18</f>
        <v>1.4705882352941188E-2</v>
      </c>
      <c r="L41" s="11">
        <f t="shared" si="24"/>
        <v>1.8181818181817994E-2</v>
      </c>
      <c r="M41" s="11">
        <f t="shared" si="24"/>
        <v>1.4492753623188415E-2</v>
      </c>
      <c r="N41" s="12">
        <f t="shared" si="24"/>
        <v>1.7857142857142877E-2</v>
      </c>
    </row>
    <row r="42" spans="1:14" ht="15.75" thickTop="1" x14ac:dyDescent="0.25">
      <c r="A42" s="112" t="s">
        <v>62</v>
      </c>
      <c r="B42" s="22"/>
      <c r="C42" s="45" t="s">
        <v>7</v>
      </c>
      <c r="D42" s="22" t="s">
        <v>25</v>
      </c>
      <c r="E42" s="22" t="s">
        <v>63</v>
      </c>
      <c r="F42" s="22" t="s">
        <v>64</v>
      </c>
      <c r="G42" s="22" t="s">
        <v>7</v>
      </c>
      <c r="H42" s="22" t="s">
        <v>25</v>
      </c>
      <c r="I42" s="22" t="s">
        <v>63</v>
      </c>
      <c r="J42" s="23" t="s">
        <v>64</v>
      </c>
      <c r="K42" s="10">
        <f>K26-K19</f>
        <v>2.3809523809523832E-2</v>
      </c>
      <c r="L42" s="11">
        <f t="shared" ref="L42:N42" si="25">L26-L19</f>
        <v>1.1627906976744193E-2</v>
      </c>
      <c r="M42" s="11">
        <f t="shared" si="25"/>
        <v>2.3255813953488386E-2</v>
      </c>
      <c r="N42" s="12">
        <f t="shared" si="25"/>
        <v>1.1235955056179803E-2</v>
      </c>
    </row>
    <row r="43" spans="1:14" x14ac:dyDescent="0.25">
      <c r="A43" s="112"/>
      <c r="B43" s="22" t="s">
        <v>65</v>
      </c>
      <c r="C43" s="46" t="s">
        <v>66</v>
      </c>
      <c r="D43" s="39" t="s">
        <v>67</v>
      </c>
      <c r="E43" s="58" t="s">
        <v>68</v>
      </c>
      <c r="F43" s="40" t="s">
        <v>69</v>
      </c>
      <c r="G43" s="39" t="s">
        <v>70</v>
      </c>
      <c r="H43" s="39" t="s">
        <v>70</v>
      </c>
      <c r="I43" s="39" t="s">
        <v>70</v>
      </c>
      <c r="J43" s="41" t="s">
        <v>69</v>
      </c>
      <c r="K43" s="10">
        <f t="shared" ref="K43:N43" si="26">K27-K20</f>
        <v>4.0816326530612276E-2</v>
      </c>
      <c r="L43" s="11">
        <f t="shared" si="26"/>
        <v>2.4096385542168697E-2</v>
      </c>
      <c r="M43" s="11">
        <f t="shared" si="26"/>
        <v>4.0000000000000036E-2</v>
      </c>
      <c r="N43" s="12">
        <f t="shared" si="26"/>
        <v>2.352941176470591E-2</v>
      </c>
    </row>
    <row r="44" spans="1:14" ht="15.75" thickBot="1" x14ac:dyDescent="0.3">
      <c r="A44" s="113"/>
      <c r="B44" s="42" t="s">
        <v>71</v>
      </c>
      <c r="C44" s="47" t="s">
        <v>70</v>
      </c>
      <c r="D44" s="43" t="s">
        <v>70</v>
      </c>
      <c r="E44" s="43" t="s">
        <v>70</v>
      </c>
      <c r="F44" s="44" t="s">
        <v>69</v>
      </c>
      <c r="G44" s="43" t="s">
        <v>66</v>
      </c>
      <c r="H44" s="43" t="s">
        <v>66</v>
      </c>
      <c r="I44" s="43" t="s">
        <v>66</v>
      </c>
      <c r="J44" s="59" t="s">
        <v>68</v>
      </c>
      <c r="K44" s="13">
        <f>K28-K21</f>
        <v>0.12121212121212113</v>
      </c>
      <c r="L44" s="14">
        <f t="shared" ref="L44:N44" si="27">L28-L21</f>
        <v>-5.7142857142857037E-2</v>
      </c>
      <c r="M44" s="14">
        <f t="shared" si="27"/>
        <v>0.1764705882352941</v>
      </c>
      <c r="N44" s="15">
        <f t="shared" si="27"/>
        <v>0</v>
      </c>
    </row>
    <row r="45" spans="1:14" ht="15.75" thickTop="1" x14ac:dyDescent="0.25">
      <c r="A45" s="101" t="s">
        <v>72</v>
      </c>
      <c r="B45" s="102"/>
      <c r="C45" s="103"/>
    </row>
    <row r="46" spans="1:14" x14ac:dyDescent="0.25">
      <c r="A46" s="77" t="s">
        <v>73</v>
      </c>
      <c r="B46" s="78" t="s">
        <v>74</v>
      </c>
      <c r="C46" s="79" t="s">
        <v>75</v>
      </c>
    </row>
    <row r="47" spans="1:14" x14ac:dyDescent="0.25">
      <c r="A47" s="77" t="s">
        <v>76</v>
      </c>
      <c r="B47" s="78">
        <v>1100</v>
      </c>
      <c r="C47" s="80">
        <v>1100</v>
      </c>
    </row>
    <row r="48" spans="1:14" x14ac:dyDescent="0.25">
      <c r="A48" s="77" t="s">
        <v>77</v>
      </c>
      <c r="B48" s="78">
        <f>B47*1.015</f>
        <v>1116.5</v>
      </c>
      <c r="C48" s="80">
        <f>C47*1.0265</f>
        <v>1129.1499999999999</v>
      </c>
    </row>
    <row r="49" spans="1:3" x14ac:dyDescent="0.25">
      <c r="A49" s="77" t="s">
        <v>78</v>
      </c>
      <c r="B49" s="78">
        <f t="shared" ref="B49:B72" si="28">B48*1.015</f>
        <v>1133.2474999999999</v>
      </c>
      <c r="C49" s="80">
        <f t="shared" ref="C49:C71" si="29">C48*1.0265</f>
        <v>1159.0724749999997</v>
      </c>
    </row>
    <row r="50" spans="1:3" x14ac:dyDescent="0.25">
      <c r="A50" s="77" t="s">
        <v>79</v>
      </c>
      <c r="B50" s="78">
        <f t="shared" si="28"/>
        <v>1150.2462124999997</v>
      </c>
      <c r="C50" s="80">
        <f t="shared" si="29"/>
        <v>1189.7878955874996</v>
      </c>
    </row>
    <row r="51" spans="1:3" x14ac:dyDescent="0.25">
      <c r="A51" s="77" t="s">
        <v>80</v>
      </c>
      <c r="B51" s="78">
        <f t="shared" si="28"/>
        <v>1167.4999056874997</v>
      </c>
      <c r="C51" s="80">
        <f t="shared" si="29"/>
        <v>1221.3172748205684</v>
      </c>
    </row>
    <row r="52" spans="1:3" x14ac:dyDescent="0.25">
      <c r="A52" s="77" t="s">
        <v>81</v>
      </c>
      <c r="B52" s="78">
        <f t="shared" si="28"/>
        <v>1185.0124042728121</v>
      </c>
      <c r="C52" s="80">
        <f t="shared" si="29"/>
        <v>1253.6821826033133</v>
      </c>
    </row>
    <row r="53" spans="1:3" x14ac:dyDescent="0.25">
      <c r="A53" s="77" t="s">
        <v>82</v>
      </c>
      <c r="B53" s="78">
        <f t="shared" si="28"/>
        <v>1202.7875903369043</v>
      </c>
      <c r="C53" s="80">
        <f t="shared" si="29"/>
        <v>1286.904760442301</v>
      </c>
    </row>
    <row r="54" spans="1:3" x14ac:dyDescent="0.25">
      <c r="A54" s="77" t="s">
        <v>83</v>
      </c>
      <c r="B54" s="78">
        <f t="shared" si="28"/>
        <v>1220.8294041919578</v>
      </c>
      <c r="C54" s="80">
        <f t="shared" si="29"/>
        <v>1321.0077365940219</v>
      </c>
    </row>
    <row r="55" spans="1:3" x14ac:dyDescent="0.25">
      <c r="A55" s="77" t="s">
        <v>84</v>
      </c>
      <c r="B55" s="78">
        <f t="shared" si="28"/>
        <v>1239.1418452548371</v>
      </c>
      <c r="C55" s="80">
        <f t="shared" si="29"/>
        <v>1356.0144416137634</v>
      </c>
    </row>
    <row r="56" spans="1:3" x14ac:dyDescent="0.25">
      <c r="A56" s="77" t="s">
        <v>85</v>
      </c>
      <c r="B56" s="78">
        <f t="shared" si="28"/>
        <v>1257.7289729336596</v>
      </c>
      <c r="C56" s="80">
        <f t="shared" si="29"/>
        <v>1391.9488243165281</v>
      </c>
    </row>
    <row r="57" spans="1:3" x14ac:dyDescent="0.25">
      <c r="A57" s="77" t="s">
        <v>86</v>
      </c>
      <c r="B57" s="78">
        <f t="shared" si="28"/>
        <v>1276.5949075276644</v>
      </c>
      <c r="C57" s="80">
        <f t="shared" si="29"/>
        <v>1428.835468160916</v>
      </c>
    </row>
    <row r="58" spans="1:3" x14ac:dyDescent="0.25">
      <c r="A58" s="77" t="s">
        <v>87</v>
      </c>
      <c r="B58" s="78">
        <f t="shared" si="28"/>
        <v>1295.7438311405792</v>
      </c>
      <c r="C58" s="80">
        <f t="shared" si="29"/>
        <v>1466.6996080671802</v>
      </c>
    </row>
    <row r="59" spans="1:3" x14ac:dyDescent="0.25">
      <c r="A59" s="77" t="s">
        <v>88</v>
      </c>
      <c r="B59" s="78">
        <f t="shared" si="28"/>
        <v>1315.1799886076878</v>
      </c>
      <c r="C59" s="80">
        <f t="shared" si="29"/>
        <v>1505.5671476809605</v>
      </c>
    </row>
    <row r="60" spans="1:3" x14ac:dyDescent="0.25">
      <c r="A60" s="77" t="s">
        <v>89</v>
      </c>
      <c r="B60" s="78">
        <f t="shared" si="28"/>
        <v>1334.907688436803</v>
      </c>
      <c r="C60" s="80">
        <f t="shared" si="29"/>
        <v>1545.464677094506</v>
      </c>
    </row>
    <row r="61" spans="1:3" x14ac:dyDescent="0.25">
      <c r="A61" s="77" t="s">
        <v>90</v>
      </c>
      <c r="B61" s="78">
        <f t="shared" si="28"/>
        <v>1354.9313037633549</v>
      </c>
      <c r="C61" s="80">
        <f t="shared" si="29"/>
        <v>1586.4194910375104</v>
      </c>
    </row>
    <row r="62" spans="1:3" x14ac:dyDescent="0.25">
      <c r="A62" s="77" t="s">
        <v>91</v>
      </c>
      <c r="B62" s="78">
        <f t="shared" si="28"/>
        <v>1375.2552733198052</v>
      </c>
      <c r="C62" s="79">
        <f t="shared" si="29"/>
        <v>1628.4596075500044</v>
      </c>
    </row>
    <row r="63" spans="1:3" x14ac:dyDescent="0.25">
      <c r="A63" s="77" t="s">
        <v>92</v>
      </c>
      <c r="B63" s="78">
        <f t="shared" si="28"/>
        <v>1395.8841024196022</v>
      </c>
      <c r="C63" s="79">
        <f t="shared" si="29"/>
        <v>1671.6137871500796</v>
      </c>
    </row>
    <row r="64" spans="1:3" x14ac:dyDescent="0.25">
      <c r="A64" s="77" t="s">
        <v>93</v>
      </c>
      <c r="B64" s="78">
        <f t="shared" si="28"/>
        <v>1416.822363955896</v>
      </c>
      <c r="C64" s="79">
        <f t="shared" si="29"/>
        <v>1715.9115525095567</v>
      </c>
    </row>
    <row r="65" spans="1:3" x14ac:dyDescent="0.25">
      <c r="A65" s="77" t="s">
        <v>94</v>
      </c>
      <c r="B65" s="78">
        <f t="shared" si="28"/>
        <v>1438.0746994152344</v>
      </c>
      <c r="C65" s="79">
        <f t="shared" si="29"/>
        <v>1761.3832086510599</v>
      </c>
    </row>
    <row r="66" spans="1:3" x14ac:dyDescent="0.25">
      <c r="A66" s="77" t="s">
        <v>95</v>
      </c>
      <c r="B66" s="78">
        <f t="shared" si="28"/>
        <v>1459.6458199064627</v>
      </c>
      <c r="C66" s="79">
        <f t="shared" si="29"/>
        <v>1808.0598636803129</v>
      </c>
    </row>
    <row r="67" spans="1:3" x14ac:dyDescent="0.25">
      <c r="A67" s="77" t="s">
        <v>96</v>
      </c>
      <c r="B67" s="78">
        <f t="shared" si="28"/>
        <v>1481.5405072050596</v>
      </c>
      <c r="C67" s="79">
        <f t="shared" si="29"/>
        <v>1855.9734500678412</v>
      </c>
    </row>
    <row r="68" spans="1:3" x14ac:dyDescent="0.25">
      <c r="A68" s="77" t="s">
        <v>97</v>
      </c>
      <c r="B68" s="78">
        <f t="shared" si="28"/>
        <v>1503.7636148131353</v>
      </c>
      <c r="C68" s="79">
        <f t="shared" si="29"/>
        <v>1905.156746494639</v>
      </c>
    </row>
    <row r="69" spans="1:3" x14ac:dyDescent="0.25">
      <c r="A69" s="77" t="s">
        <v>98</v>
      </c>
      <c r="B69" s="78">
        <f t="shared" si="28"/>
        <v>1526.3200690353322</v>
      </c>
      <c r="C69" s="79">
        <f t="shared" si="29"/>
        <v>1955.6434002767469</v>
      </c>
    </row>
    <row r="70" spans="1:3" x14ac:dyDescent="0.25">
      <c r="A70" s="77" t="s">
        <v>99</v>
      </c>
      <c r="B70" s="78">
        <f t="shared" si="28"/>
        <v>1549.2148700708619</v>
      </c>
      <c r="C70" s="79">
        <f t="shared" si="29"/>
        <v>2007.4679503840807</v>
      </c>
    </row>
    <row r="71" spans="1:3" x14ac:dyDescent="0.25">
      <c r="A71" s="77" t="s">
        <v>100</v>
      </c>
      <c r="B71" s="78">
        <f t="shared" si="28"/>
        <v>1572.4530931219247</v>
      </c>
      <c r="C71" s="79">
        <f t="shared" si="29"/>
        <v>2060.6658510692587</v>
      </c>
    </row>
    <row r="72" spans="1:3" x14ac:dyDescent="0.25">
      <c r="A72" s="77" t="s">
        <v>101</v>
      </c>
      <c r="B72" s="78">
        <f t="shared" si="28"/>
        <v>1596.0398895187534</v>
      </c>
      <c r="C72" s="79">
        <f>C71*1.0265</f>
        <v>2115.2734961225938</v>
      </c>
    </row>
    <row r="73" spans="1:3" x14ac:dyDescent="0.25">
      <c r="A73" s="84" t="s">
        <v>102</v>
      </c>
      <c r="B73" s="81">
        <f>B72/B47-1</f>
        <v>0.45094535410795755</v>
      </c>
      <c r="C73" s="82">
        <f>C72/C47-1</f>
        <v>0.92297590556599429</v>
      </c>
    </row>
    <row r="74" spans="1:3" ht="15.75" thickBot="1" x14ac:dyDescent="0.3">
      <c r="A74" s="99" t="s">
        <v>103</v>
      </c>
      <c r="B74" s="100"/>
      <c r="C74" s="83">
        <f>C73/B73</f>
        <v>2.0467577660086755</v>
      </c>
    </row>
    <row r="75" spans="1:3" ht="15.75" thickTop="1" x14ac:dyDescent="0.25"/>
  </sheetData>
  <mergeCells count="18">
    <mergeCell ref="D37:J40"/>
    <mergeCell ref="D29:F36"/>
    <mergeCell ref="A74:B74"/>
    <mergeCell ref="A45:C45"/>
    <mergeCell ref="K1:N1"/>
    <mergeCell ref="K2:N2"/>
    <mergeCell ref="C41:F41"/>
    <mergeCell ref="G41:J41"/>
    <mergeCell ref="A42:A44"/>
    <mergeCell ref="D1:J1"/>
    <mergeCell ref="E14:J14"/>
    <mergeCell ref="K14:N14"/>
    <mergeCell ref="K29:N29"/>
    <mergeCell ref="G29:J29"/>
    <mergeCell ref="K37:N37"/>
    <mergeCell ref="E2:F2"/>
    <mergeCell ref="K8:N8"/>
    <mergeCell ref="A31:C40"/>
  </mergeCells>
  <conditionalFormatting sqref="G32:J36">
    <cfRule type="cellIs" dxfId="8" priority="5" operator="greaterThan">
      <formula>0.0199</formula>
    </cfRule>
  </conditionalFormatting>
  <conditionalFormatting sqref="K40:N44">
    <cfRule type="cellIs" dxfId="7" priority="3" operator="greaterThan">
      <formula>0.019999</formula>
    </cfRule>
  </conditionalFormatting>
  <conditionalFormatting sqref="C47:C72">
    <cfRule type="cellIs" dxfId="6" priority="2" operator="lessThan">
      <formula>$B$27</formula>
    </cfRule>
  </conditionalFormatting>
  <conditionalFormatting sqref="K32:N36">
    <cfRule type="cellIs" dxfId="5" priority="1" operator="greaterThanOrEqual">
      <formula>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5"/>
  <sheetViews>
    <sheetView tabSelected="1" workbookViewId="0">
      <selection activeCell="A5" sqref="A5"/>
    </sheetView>
  </sheetViews>
  <sheetFormatPr defaultRowHeight="15" x14ac:dyDescent="0.25"/>
  <cols>
    <col min="1" max="1" width="42.140625" customWidth="1"/>
    <col min="2" max="2" width="17.140625" customWidth="1"/>
    <col min="3" max="3" width="22.28515625" customWidth="1"/>
    <col min="4" max="4" width="12.28515625" customWidth="1"/>
    <col min="5" max="10" width="12.140625" customWidth="1"/>
    <col min="11" max="14" width="13.85546875" customWidth="1"/>
  </cols>
  <sheetData>
    <row r="1" spans="1:14" ht="16.5" thickTop="1" thickBot="1" x14ac:dyDescent="0.3">
      <c r="A1" s="74" t="s">
        <v>0</v>
      </c>
      <c r="B1" s="60" t="s">
        <v>1</v>
      </c>
      <c r="C1" s="61"/>
      <c r="D1" s="109" t="s">
        <v>2</v>
      </c>
      <c r="E1" s="110"/>
      <c r="F1" s="110"/>
      <c r="G1" s="110"/>
      <c r="H1" s="110"/>
      <c r="I1" s="110"/>
      <c r="J1" s="111"/>
      <c r="K1" s="104" t="s">
        <v>3</v>
      </c>
      <c r="L1" s="105"/>
      <c r="M1" s="105"/>
      <c r="N1" s="106"/>
    </row>
    <row r="2" spans="1:14" ht="15.75" thickTop="1" x14ac:dyDescent="0.25">
      <c r="A2" s="7" t="s">
        <v>4</v>
      </c>
      <c r="B2" s="2" t="s">
        <v>5</v>
      </c>
      <c r="C2" s="2"/>
      <c r="D2" s="28"/>
      <c r="E2" s="114" t="s">
        <v>6</v>
      </c>
      <c r="F2" s="114"/>
      <c r="G2" s="96" t="s">
        <v>7</v>
      </c>
      <c r="H2" s="96" t="s">
        <v>7</v>
      </c>
      <c r="I2" s="96" t="s">
        <v>7</v>
      </c>
      <c r="J2" s="97" t="s">
        <v>7</v>
      </c>
      <c r="K2" s="107" t="s">
        <v>8</v>
      </c>
      <c r="L2" s="107"/>
      <c r="M2" s="107"/>
      <c r="N2" s="108"/>
    </row>
    <row r="3" spans="1:14" x14ac:dyDescent="0.25">
      <c r="A3" s="8" t="s">
        <v>9</v>
      </c>
      <c r="B3" s="4">
        <v>24905</v>
      </c>
      <c r="C3" s="5">
        <f>(B3/$B$6)</f>
        <v>0.48189857007410847</v>
      </c>
      <c r="D3" s="8" t="s">
        <v>10</v>
      </c>
      <c r="E3" s="1" t="s">
        <v>11</v>
      </c>
      <c r="F3" s="1" t="s">
        <v>12</v>
      </c>
      <c r="G3" s="98" t="s">
        <v>13</v>
      </c>
      <c r="H3" s="98" t="s">
        <v>14</v>
      </c>
      <c r="I3" s="98" t="s">
        <v>15</v>
      </c>
      <c r="J3" s="54" t="s">
        <v>16</v>
      </c>
      <c r="K3" s="63" t="s">
        <v>13</v>
      </c>
      <c r="L3" s="63" t="s">
        <v>14</v>
      </c>
      <c r="M3" s="63" t="s">
        <v>15</v>
      </c>
      <c r="N3" s="64" t="s">
        <v>16</v>
      </c>
    </row>
    <row r="4" spans="1:14" x14ac:dyDescent="0.25">
      <c r="A4" s="8" t="s">
        <v>17</v>
      </c>
      <c r="B4" s="4">
        <v>15067</v>
      </c>
      <c r="C4" s="5">
        <f t="shared" ref="C4:C6" si="0">(B4/$B$6)</f>
        <v>0.29153847642266983</v>
      </c>
      <c r="D4" s="8" t="s">
        <v>18</v>
      </c>
      <c r="E4" s="2"/>
      <c r="F4" s="2"/>
      <c r="G4" s="3"/>
      <c r="H4" s="3"/>
      <c r="I4" s="3"/>
      <c r="J4" s="72"/>
      <c r="K4" s="2">
        <f>G4-E4</f>
        <v>0</v>
      </c>
      <c r="L4" s="2">
        <f t="shared" ref="L4:N7" si="1">H4-F4</f>
        <v>0</v>
      </c>
      <c r="M4" s="2">
        <f t="shared" si="1"/>
        <v>0</v>
      </c>
      <c r="N4" s="62">
        <f>J4-H4</f>
        <v>0</v>
      </c>
    </row>
    <row r="5" spans="1:14" x14ac:dyDescent="0.25">
      <c r="A5" s="8" t="s">
        <v>19</v>
      </c>
      <c r="B5" s="4">
        <v>11709</v>
      </c>
      <c r="C5" s="5">
        <f t="shared" si="0"/>
        <v>0.2265629535032217</v>
      </c>
      <c r="D5" s="8" t="s">
        <v>20</v>
      </c>
      <c r="E5" s="2"/>
      <c r="F5" s="2"/>
      <c r="G5" s="3"/>
      <c r="H5" s="3"/>
      <c r="I5" s="3"/>
      <c r="J5" s="72"/>
      <c r="K5" s="2">
        <f t="shared" ref="K5:K7" si="2">G5-E5</f>
        <v>0</v>
      </c>
      <c r="L5" s="2">
        <f t="shared" si="1"/>
        <v>0</v>
      </c>
      <c r="M5" s="2">
        <f t="shared" si="1"/>
        <v>0</v>
      </c>
      <c r="N5" s="62">
        <f t="shared" si="1"/>
        <v>0</v>
      </c>
    </row>
    <row r="6" spans="1:14" x14ac:dyDescent="0.25">
      <c r="A6" s="75">
        <f>(B6/(B4+B5))-100%</f>
        <v>0.93012399163429937</v>
      </c>
      <c r="B6" s="4">
        <f>SUM(B3:B5)</f>
        <v>51681</v>
      </c>
      <c r="C6" s="5">
        <f t="shared" si="0"/>
        <v>1</v>
      </c>
      <c r="D6" s="8" t="s">
        <v>21</v>
      </c>
      <c r="E6" s="2"/>
      <c r="F6" s="2"/>
      <c r="G6" s="3"/>
      <c r="H6" s="3"/>
      <c r="I6" s="3"/>
      <c r="J6" s="72"/>
      <c r="K6" s="2">
        <f t="shared" si="2"/>
        <v>0</v>
      </c>
      <c r="L6" s="2">
        <f t="shared" si="1"/>
        <v>0</v>
      </c>
      <c r="M6" s="2">
        <f t="shared" si="1"/>
        <v>0</v>
      </c>
      <c r="N6" s="62">
        <f t="shared" si="1"/>
        <v>0</v>
      </c>
    </row>
    <row r="7" spans="1:14" ht="15.75" thickBot="1" x14ac:dyDescent="0.3">
      <c r="A7" s="8" t="s">
        <v>22</v>
      </c>
      <c r="B7" s="4">
        <v>181</v>
      </c>
      <c r="C7" s="5">
        <f>B7/$B$9</f>
        <v>0.72399999999999998</v>
      </c>
      <c r="D7" s="8" t="s">
        <v>23</v>
      </c>
      <c r="E7" s="2"/>
      <c r="F7" s="2"/>
      <c r="G7" s="3"/>
      <c r="H7" s="3"/>
      <c r="I7" s="3"/>
      <c r="J7" s="72"/>
      <c r="K7" s="2">
        <f t="shared" si="2"/>
        <v>0</v>
      </c>
      <c r="L7" s="2">
        <f t="shared" si="1"/>
        <v>0</v>
      </c>
      <c r="M7" s="2">
        <f t="shared" si="1"/>
        <v>0</v>
      </c>
      <c r="N7" s="71">
        <f t="shared" si="1"/>
        <v>0</v>
      </c>
    </row>
    <row r="8" spans="1:14" ht="15.75" thickTop="1" x14ac:dyDescent="0.25">
      <c r="A8" s="8" t="s">
        <v>24</v>
      </c>
      <c r="B8" s="4">
        <f>B9-B7</f>
        <v>69</v>
      </c>
      <c r="C8" s="5">
        <f>B8/$B$9</f>
        <v>0.27600000000000002</v>
      </c>
      <c r="D8" s="28"/>
      <c r="E8" s="96" t="s">
        <v>6</v>
      </c>
      <c r="F8" s="96"/>
      <c r="G8" s="96" t="s">
        <v>25</v>
      </c>
      <c r="H8" s="96" t="s">
        <v>25</v>
      </c>
      <c r="I8" s="96" t="s">
        <v>25</v>
      </c>
      <c r="J8" s="97" t="s">
        <v>25</v>
      </c>
      <c r="K8" s="107" t="s">
        <v>26</v>
      </c>
      <c r="L8" s="107"/>
      <c r="M8" s="107"/>
      <c r="N8" s="108"/>
    </row>
    <row r="9" spans="1:14" x14ac:dyDescent="0.25">
      <c r="A9" s="75">
        <f>(B9/B7)-100%</f>
        <v>0.38121546961325969</v>
      </c>
      <c r="B9" s="4">
        <v>250</v>
      </c>
      <c r="C9" s="5">
        <f>B9/$B$9</f>
        <v>1</v>
      </c>
      <c r="D9" s="8" t="s">
        <v>10</v>
      </c>
      <c r="E9" s="1" t="s">
        <v>11</v>
      </c>
      <c r="F9" s="1" t="s">
        <v>12</v>
      </c>
      <c r="G9" s="98" t="s">
        <v>13</v>
      </c>
      <c r="H9" s="98" t="s">
        <v>14</v>
      </c>
      <c r="I9" s="98" t="s">
        <v>15</v>
      </c>
      <c r="J9" s="54" t="s">
        <v>16</v>
      </c>
      <c r="K9" s="63" t="s">
        <v>13</v>
      </c>
      <c r="L9" s="63" t="s">
        <v>14</v>
      </c>
      <c r="M9" s="63" t="s">
        <v>15</v>
      </c>
      <c r="N9" s="64" t="s">
        <v>16</v>
      </c>
    </row>
    <row r="10" spans="1:14" x14ac:dyDescent="0.25">
      <c r="A10" s="8" t="s">
        <v>27</v>
      </c>
      <c r="B10" s="4">
        <v>327</v>
      </c>
      <c r="C10" s="5">
        <f>B10/$B$12</f>
        <v>0.50153374233128833</v>
      </c>
      <c r="D10" s="8" t="s">
        <v>18</v>
      </c>
      <c r="E10" s="2"/>
      <c r="F10" s="2"/>
      <c r="G10" s="3"/>
      <c r="H10" s="3"/>
      <c r="I10" s="3"/>
      <c r="J10" s="72"/>
      <c r="K10" s="65">
        <f>G10-G4</f>
        <v>0</v>
      </c>
      <c r="L10" s="65">
        <f t="shared" ref="L10:N13" si="3">H10-H4</f>
        <v>0</v>
      </c>
      <c r="M10" s="65">
        <f>I10-I4</f>
        <v>0</v>
      </c>
      <c r="N10" s="66">
        <f t="shared" si="3"/>
        <v>0</v>
      </c>
    </row>
    <row r="11" spans="1:14" x14ac:dyDescent="0.25">
      <c r="A11" s="8" t="s">
        <v>28</v>
      </c>
      <c r="B11" s="4">
        <v>325</v>
      </c>
      <c r="C11" s="5">
        <f>B11/$B$12</f>
        <v>0.49846625766871167</v>
      </c>
      <c r="D11" s="8" t="s">
        <v>20</v>
      </c>
      <c r="E11" s="2"/>
      <c r="F11" s="2"/>
      <c r="G11" s="3"/>
      <c r="H11" s="3"/>
      <c r="I11" s="3"/>
      <c r="J11" s="72"/>
      <c r="K11" s="65">
        <f>G11-G5</f>
        <v>0</v>
      </c>
      <c r="L11" s="65">
        <f t="shared" si="3"/>
        <v>0</v>
      </c>
      <c r="M11" s="65">
        <f t="shared" si="3"/>
        <v>0</v>
      </c>
      <c r="N11" s="66">
        <f t="shared" si="3"/>
        <v>0</v>
      </c>
    </row>
    <row r="12" spans="1:14" x14ac:dyDescent="0.25">
      <c r="A12" s="76">
        <f>(B12/B10)-100%</f>
        <v>0.99388379204892963</v>
      </c>
      <c r="B12" s="4">
        <f>SUM(B10:B11)</f>
        <v>652</v>
      </c>
      <c r="C12" s="5">
        <f>B12/$B$12</f>
        <v>1</v>
      </c>
      <c r="D12" s="8" t="s">
        <v>21</v>
      </c>
      <c r="E12" s="2"/>
      <c r="F12" s="2"/>
      <c r="G12" s="3"/>
      <c r="H12" s="3"/>
      <c r="I12" s="3"/>
      <c r="J12" s="72"/>
      <c r="K12" s="67">
        <f>G12-G6</f>
        <v>0</v>
      </c>
      <c r="L12" s="67">
        <f t="shared" si="3"/>
        <v>0</v>
      </c>
      <c r="M12" s="67">
        <f t="shared" si="3"/>
        <v>0</v>
      </c>
      <c r="N12" s="68">
        <f t="shared" si="3"/>
        <v>0</v>
      </c>
    </row>
    <row r="13" spans="1:14" ht="15.75" thickBot="1" x14ac:dyDescent="0.3">
      <c r="A13" s="8" t="s">
        <v>29</v>
      </c>
      <c r="B13" s="4">
        <v>118</v>
      </c>
      <c r="C13" s="5">
        <f>B13/(B13+B12)</f>
        <v>0.15324675324675324</v>
      </c>
      <c r="D13" s="8" t="s">
        <v>23</v>
      </c>
      <c r="E13" s="2"/>
      <c r="F13" s="2"/>
      <c r="G13" s="3"/>
      <c r="H13" s="3"/>
      <c r="I13" s="3"/>
      <c r="J13" s="73"/>
      <c r="K13" s="69">
        <f>G13-G7</f>
        <v>0</v>
      </c>
      <c r="L13" s="69">
        <f t="shared" si="3"/>
        <v>0</v>
      </c>
      <c r="M13" s="69">
        <f t="shared" si="3"/>
        <v>0</v>
      </c>
      <c r="N13" s="70">
        <f t="shared" si="3"/>
        <v>0</v>
      </c>
    </row>
    <row r="14" spans="1:14" ht="15.75" thickTop="1" x14ac:dyDescent="0.25">
      <c r="A14" s="8" t="s">
        <v>30</v>
      </c>
      <c r="B14" s="4">
        <v>2</v>
      </c>
      <c r="C14" s="5">
        <f>B14/$B$15</f>
        <v>0.22222222222222221</v>
      </c>
      <c r="D14" s="28"/>
      <c r="E14" s="114" t="s">
        <v>31</v>
      </c>
      <c r="F14" s="114"/>
      <c r="G14" s="114"/>
      <c r="H14" s="114"/>
      <c r="I14" s="114"/>
      <c r="J14" s="115"/>
      <c r="K14" s="116" t="s">
        <v>32</v>
      </c>
      <c r="L14" s="114"/>
      <c r="M14" s="114"/>
      <c r="N14" s="115"/>
    </row>
    <row r="15" spans="1:14" x14ac:dyDescent="0.25">
      <c r="A15" s="8" t="s">
        <v>33</v>
      </c>
      <c r="B15" s="4">
        <v>9</v>
      </c>
      <c r="C15" s="5">
        <f>B15/$B$15</f>
        <v>1</v>
      </c>
      <c r="D15" s="8"/>
      <c r="E15" s="1"/>
      <c r="F15" s="1"/>
      <c r="G15" s="98" t="s">
        <v>7</v>
      </c>
      <c r="H15" s="98" t="s">
        <v>7</v>
      </c>
      <c r="I15" s="98" t="s">
        <v>7</v>
      </c>
      <c r="J15" s="54" t="s">
        <v>7</v>
      </c>
      <c r="K15" s="95" t="s">
        <v>7</v>
      </c>
      <c r="L15" s="22" t="s">
        <v>7</v>
      </c>
      <c r="M15" s="22" t="s">
        <v>7</v>
      </c>
      <c r="N15" s="23" t="s">
        <v>7</v>
      </c>
    </row>
    <row r="16" spans="1:14" x14ac:dyDescent="0.25">
      <c r="A16" s="8"/>
      <c r="B16" s="4">
        <f>SUM(B14:B15)</f>
        <v>11</v>
      </c>
      <c r="C16" s="5">
        <f>B16/$B$15</f>
        <v>1.2222222222222223</v>
      </c>
      <c r="D16" s="8" t="s">
        <v>34</v>
      </c>
      <c r="E16" s="1" t="s">
        <v>109</v>
      </c>
      <c r="F16" s="1" t="s">
        <v>110</v>
      </c>
      <c r="G16" s="1" t="s">
        <v>111</v>
      </c>
      <c r="H16" s="1" t="s">
        <v>112</v>
      </c>
      <c r="I16" s="1" t="s">
        <v>113</v>
      </c>
      <c r="J16" s="9" t="s">
        <v>114</v>
      </c>
      <c r="K16" s="24" t="s">
        <v>13</v>
      </c>
      <c r="L16" s="25" t="s">
        <v>14</v>
      </c>
      <c r="M16" s="25" t="s">
        <v>15</v>
      </c>
      <c r="N16" s="26" t="s">
        <v>16</v>
      </c>
    </row>
    <row r="17" spans="1:17" x14ac:dyDescent="0.25">
      <c r="A17" s="8" t="s">
        <v>35</v>
      </c>
      <c r="B17" s="4">
        <v>1</v>
      </c>
      <c r="C17" s="4"/>
      <c r="D17" s="8" t="s">
        <v>104</v>
      </c>
      <c r="E17" s="29">
        <v>0.74</v>
      </c>
      <c r="F17" s="30">
        <v>0.71</v>
      </c>
      <c r="G17" s="29">
        <v>0.81</v>
      </c>
      <c r="H17" s="30">
        <v>0.8</v>
      </c>
      <c r="I17" s="30">
        <v>0.85</v>
      </c>
      <c r="J17" s="31">
        <v>0.88</v>
      </c>
      <c r="K17" s="10">
        <f>(G17-E17)/E17</f>
        <v>9.4594594594594683E-2</v>
      </c>
      <c r="L17" s="10">
        <f t="shared" ref="L17:N21" si="4">(H17-F17)/F17</f>
        <v>0.1267605633802818</v>
      </c>
      <c r="M17" s="10">
        <f t="shared" si="4"/>
        <v>4.9382716049382616E-2</v>
      </c>
      <c r="N17" s="10">
        <f>(J17-H17)/H17</f>
        <v>9.999999999999995E-2</v>
      </c>
    </row>
    <row r="18" spans="1:17" x14ac:dyDescent="0.25">
      <c r="A18" s="8"/>
      <c r="B18" s="4"/>
      <c r="C18" s="4"/>
      <c r="D18" s="8" t="s">
        <v>105</v>
      </c>
      <c r="E18" s="29">
        <v>0.66</v>
      </c>
      <c r="F18" s="57">
        <v>0.56000000000000005</v>
      </c>
      <c r="G18" s="29">
        <v>0.68</v>
      </c>
      <c r="H18" s="29">
        <v>0.6</v>
      </c>
      <c r="I18" s="29">
        <v>0.73</v>
      </c>
      <c r="J18" s="33">
        <v>0.71</v>
      </c>
      <c r="K18" s="10">
        <f>(G18-E18)/E18</f>
        <v>3.0303030303030328E-2</v>
      </c>
      <c r="L18" s="10">
        <f t="shared" si="4"/>
        <v>7.1428571428571286E-2</v>
      </c>
      <c r="M18" s="10">
        <f t="shared" si="4"/>
        <v>7.3529411764705774E-2</v>
      </c>
      <c r="N18" s="10">
        <f t="shared" si="4"/>
        <v>0.18333333333333332</v>
      </c>
    </row>
    <row r="19" spans="1:17" x14ac:dyDescent="0.25">
      <c r="A19" s="8" t="s">
        <v>38</v>
      </c>
      <c r="B19" s="4">
        <v>3</v>
      </c>
      <c r="C19" s="5">
        <f>B19/5</f>
        <v>0.6</v>
      </c>
      <c r="D19" s="8" t="s">
        <v>106</v>
      </c>
      <c r="E19" s="30">
        <v>0.54</v>
      </c>
      <c r="F19" s="30">
        <v>0.61</v>
      </c>
      <c r="G19" s="30">
        <v>0.55000000000000004</v>
      </c>
      <c r="H19" s="30">
        <v>0.66</v>
      </c>
      <c r="I19" s="30">
        <v>0.7</v>
      </c>
      <c r="J19" s="31">
        <v>0.82</v>
      </c>
      <c r="K19" s="10">
        <f t="shared" ref="K19:K21" si="5">(G19-E19)/E19</f>
        <v>1.8518518518518535E-2</v>
      </c>
      <c r="L19" s="10">
        <f t="shared" si="4"/>
        <v>8.1967213114754175E-2</v>
      </c>
      <c r="M19" s="10">
        <f t="shared" si="4"/>
        <v>0.27272727272727254</v>
      </c>
      <c r="N19" s="10">
        <f t="shared" si="4"/>
        <v>0.24242424242424229</v>
      </c>
    </row>
    <row r="20" spans="1:17" x14ac:dyDescent="0.25">
      <c r="A20" s="8" t="s">
        <v>40</v>
      </c>
      <c r="B20" s="4">
        <v>2</v>
      </c>
      <c r="C20" s="5">
        <f t="shared" ref="C20:C22" si="6">B20/5</f>
        <v>0.4</v>
      </c>
      <c r="D20" s="8" t="s">
        <v>107</v>
      </c>
      <c r="E20" s="30">
        <v>0.56999999999999995</v>
      </c>
      <c r="F20" s="30">
        <v>0.7</v>
      </c>
      <c r="G20" s="30">
        <v>0.57999999999999996</v>
      </c>
      <c r="H20" s="30">
        <v>0.71</v>
      </c>
      <c r="I20" s="30">
        <v>0.64</v>
      </c>
      <c r="J20" s="31">
        <v>0.78</v>
      </c>
      <c r="K20" s="10">
        <f t="shared" si="5"/>
        <v>1.7543859649122823E-2</v>
      </c>
      <c r="L20" s="10">
        <f t="shared" si="4"/>
        <v>1.4285714285714299E-2</v>
      </c>
      <c r="M20" s="10">
        <f t="shared" si="4"/>
        <v>0.10344827586206906</v>
      </c>
      <c r="N20" s="10">
        <f t="shared" si="4"/>
        <v>9.8591549295774739E-2</v>
      </c>
    </row>
    <row r="21" spans="1:17" ht="15.75" thickBot="1" x14ac:dyDescent="0.3">
      <c r="A21" s="8" t="s">
        <v>42</v>
      </c>
      <c r="B21" s="4">
        <v>2</v>
      </c>
      <c r="C21" s="5">
        <f t="shared" si="6"/>
        <v>0.4</v>
      </c>
      <c r="D21" s="34" t="s">
        <v>108</v>
      </c>
      <c r="E21" s="35">
        <v>0.76</v>
      </c>
      <c r="F21" s="35">
        <v>0.82</v>
      </c>
      <c r="G21" s="35">
        <v>0.81</v>
      </c>
      <c r="H21" s="35">
        <v>0.84</v>
      </c>
      <c r="I21" s="35">
        <v>1</v>
      </c>
      <c r="J21" s="36">
        <v>1.1499999999999999</v>
      </c>
      <c r="K21" s="10">
        <f t="shared" si="5"/>
        <v>6.5789473684210578E-2</v>
      </c>
      <c r="L21" s="10">
        <f t="shared" si="4"/>
        <v>2.4390243902439046E-2</v>
      </c>
      <c r="M21" s="10">
        <f t="shared" si="4"/>
        <v>0.23456790123456783</v>
      </c>
      <c r="N21" s="10">
        <f t="shared" si="4"/>
        <v>0.36904761904761901</v>
      </c>
    </row>
    <row r="22" spans="1:17" ht="15.75" thickTop="1" x14ac:dyDescent="0.25">
      <c r="A22" s="8" t="s">
        <v>44</v>
      </c>
      <c r="B22" s="4">
        <v>3</v>
      </c>
      <c r="C22" s="5">
        <f t="shared" si="6"/>
        <v>0.6</v>
      </c>
      <c r="D22" s="28"/>
      <c r="E22" s="37"/>
      <c r="F22" s="37"/>
      <c r="G22" s="55" t="s">
        <v>25</v>
      </c>
      <c r="H22" s="55" t="s">
        <v>25</v>
      </c>
      <c r="I22" s="55" t="s">
        <v>25</v>
      </c>
      <c r="J22" s="56" t="s">
        <v>25</v>
      </c>
      <c r="K22" s="95" t="s">
        <v>25</v>
      </c>
      <c r="L22" s="22" t="s">
        <v>25</v>
      </c>
      <c r="M22" s="22" t="s">
        <v>25</v>
      </c>
      <c r="N22" s="23" t="s">
        <v>25</v>
      </c>
    </row>
    <row r="23" spans="1:17" x14ac:dyDescent="0.25">
      <c r="A23" s="7" t="s">
        <v>45</v>
      </c>
      <c r="B23" s="4">
        <v>1</v>
      </c>
      <c r="C23" s="4"/>
      <c r="D23" s="8" t="s">
        <v>34</v>
      </c>
      <c r="E23" s="1"/>
      <c r="F23" s="1"/>
      <c r="G23" s="1" t="s">
        <v>111</v>
      </c>
      <c r="H23" s="1" t="s">
        <v>112</v>
      </c>
      <c r="I23" s="1" t="s">
        <v>113</v>
      </c>
      <c r="J23" s="9" t="s">
        <v>114</v>
      </c>
      <c r="K23" s="95" t="s">
        <v>13</v>
      </c>
      <c r="L23" s="22" t="s">
        <v>14</v>
      </c>
      <c r="M23" s="22" t="s">
        <v>15</v>
      </c>
      <c r="N23" s="23" t="s">
        <v>16</v>
      </c>
    </row>
    <row r="24" spans="1:17" x14ac:dyDescent="0.25">
      <c r="A24" s="8" t="s">
        <v>46</v>
      </c>
      <c r="B24" s="6">
        <v>75</v>
      </c>
      <c r="C24" s="4" t="s">
        <v>47</v>
      </c>
      <c r="D24" s="8" t="s">
        <v>36</v>
      </c>
      <c r="E24" s="29"/>
      <c r="F24" s="29"/>
      <c r="G24" s="29">
        <v>0.81</v>
      </c>
      <c r="H24" s="29">
        <v>0.8</v>
      </c>
      <c r="I24" s="29">
        <v>0.85</v>
      </c>
      <c r="J24" s="29">
        <v>0.9</v>
      </c>
      <c r="K24" s="10">
        <f>(G24-E17)/E17</f>
        <v>9.4594594594594683E-2</v>
      </c>
      <c r="L24" s="10">
        <f t="shared" ref="L24:N28" si="7">(H24-F17)/F17</f>
        <v>0.1267605633802818</v>
      </c>
      <c r="M24" s="10">
        <f t="shared" si="7"/>
        <v>4.9382716049382616E-2</v>
      </c>
      <c r="N24" s="10">
        <f t="shared" si="7"/>
        <v>0.12499999999999997</v>
      </c>
      <c r="O24" s="38"/>
      <c r="P24" s="38"/>
      <c r="Q24" s="38"/>
    </row>
    <row r="25" spans="1:17" x14ac:dyDescent="0.25">
      <c r="A25" s="8" t="s">
        <v>48</v>
      </c>
      <c r="B25" s="6">
        <v>75</v>
      </c>
      <c r="C25" s="4" t="s">
        <v>49</v>
      </c>
      <c r="D25" s="8" t="s">
        <v>37</v>
      </c>
      <c r="E25" s="29"/>
      <c r="F25" s="29"/>
      <c r="G25" s="29">
        <v>0.68</v>
      </c>
      <c r="H25" s="29">
        <v>0.61</v>
      </c>
      <c r="I25" s="29">
        <v>0.73</v>
      </c>
      <c r="J25" s="29">
        <v>0.7</v>
      </c>
      <c r="K25" s="10">
        <f t="shared" ref="K25:K28" si="8">(G25-E18)/E18</f>
        <v>3.0303030303030328E-2</v>
      </c>
      <c r="L25" s="10">
        <f t="shared" si="7"/>
        <v>8.9285714285714163E-2</v>
      </c>
      <c r="M25" s="10">
        <f t="shared" si="7"/>
        <v>7.3529411764705774E-2</v>
      </c>
      <c r="N25" s="10">
        <f t="shared" si="7"/>
        <v>0.16666666666666663</v>
      </c>
      <c r="O25" s="38"/>
      <c r="P25" s="38"/>
      <c r="Q25" s="38"/>
    </row>
    <row r="26" spans="1:17" x14ac:dyDescent="0.25">
      <c r="A26" s="7"/>
      <c r="B26" s="2"/>
      <c r="C26" s="4"/>
      <c r="D26" s="8" t="s">
        <v>39</v>
      </c>
      <c r="E26" s="29"/>
      <c r="F26" s="29"/>
      <c r="G26" s="29">
        <v>0.55000000000000004</v>
      </c>
      <c r="H26" s="29">
        <v>0.69</v>
      </c>
      <c r="I26" s="29">
        <v>0.71</v>
      </c>
      <c r="J26" s="29">
        <v>0.83</v>
      </c>
      <c r="K26" s="10">
        <f t="shared" si="8"/>
        <v>1.8518518518518535E-2</v>
      </c>
      <c r="L26" s="10">
        <f t="shared" si="7"/>
        <v>0.13114754098360648</v>
      </c>
      <c r="M26" s="10">
        <f t="shared" si="7"/>
        <v>0.29090909090909073</v>
      </c>
      <c r="N26" s="10">
        <f t="shared" si="7"/>
        <v>0.25757575757575746</v>
      </c>
      <c r="O26" s="38"/>
      <c r="P26" s="38"/>
      <c r="Q26" s="38"/>
    </row>
    <row r="27" spans="1:17" x14ac:dyDescent="0.25">
      <c r="A27" s="8" t="s">
        <v>50</v>
      </c>
      <c r="B27" s="4">
        <v>3</v>
      </c>
      <c r="C27" s="4"/>
      <c r="D27" s="8" t="s">
        <v>41</v>
      </c>
      <c r="E27" s="29"/>
      <c r="F27" s="29"/>
      <c r="G27" s="29">
        <v>0.59</v>
      </c>
      <c r="H27" s="29">
        <v>0.67</v>
      </c>
      <c r="I27" s="29">
        <v>0.64</v>
      </c>
      <c r="J27" s="29">
        <v>0.79</v>
      </c>
      <c r="K27" s="10">
        <f t="shared" si="8"/>
        <v>3.5087719298245647E-2</v>
      </c>
      <c r="L27" s="10">
        <f t="shared" si="7"/>
        <v>-4.285714285714274E-2</v>
      </c>
      <c r="M27" s="10">
        <f t="shared" si="7"/>
        <v>0.10344827586206906</v>
      </c>
      <c r="N27" s="10">
        <f t="shared" si="7"/>
        <v>0.11267605633802827</v>
      </c>
      <c r="O27" s="38"/>
      <c r="P27" s="38"/>
      <c r="Q27" s="38"/>
    </row>
    <row r="28" spans="1:17" ht="15.75" thickBot="1" x14ac:dyDescent="0.3">
      <c r="A28" s="8" t="s">
        <v>51</v>
      </c>
      <c r="B28" s="4">
        <v>4</v>
      </c>
      <c r="C28" s="4"/>
      <c r="D28" s="34" t="s">
        <v>43</v>
      </c>
      <c r="E28" s="29"/>
      <c r="F28" s="29"/>
      <c r="G28" s="29">
        <v>0.81</v>
      </c>
      <c r="H28" s="29">
        <v>0.86</v>
      </c>
      <c r="I28" s="29">
        <v>1.01</v>
      </c>
      <c r="J28" s="29">
        <v>1.1599999999999999</v>
      </c>
      <c r="K28" s="10">
        <f t="shared" si="8"/>
        <v>6.5789473684210578E-2</v>
      </c>
      <c r="L28" s="10">
        <f t="shared" si="7"/>
        <v>4.8780487804878092E-2</v>
      </c>
      <c r="M28" s="10">
        <f t="shared" si="7"/>
        <v>0.24691358024691351</v>
      </c>
      <c r="N28" s="10">
        <f t="shared" si="7"/>
        <v>0.38095238095238093</v>
      </c>
      <c r="O28" s="38"/>
      <c r="P28" s="38"/>
      <c r="Q28" s="38"/>
    </row>
    <row r="29" spans="1:17" ht="15.75" thickTop="1" x14ac:dyDescent="0.25">
      <c r="A29" s="8" t="s">
        <v>52</v>
      </c>
      <c r="B29" s="4">
        <v>2</v>
      </c>
      <c r="C29" s="4"/>
      <c r="D29" s="125" t="s">
        <v>53</v>
      </c>
      <c r="E29" s="126"/>
      <c r="F29" s="127"/>
      <c r="G29" s="116" t="s">
        <v>54</v>
      </c>
      <c r="H29" s="114"/>
      <c r="I29" s="114"/>
      <c r="J29" s="115"/>
      <c r="K29" s="117" t="s">
        <v>55</v>
      </c>
      <c r="L29" s="117"/>
      <c r="M29" s="117"/>
      <c r="N29" s="118"/>
    </row>
    <row r="30" spans="1:17" x14ac:dyDescent="0.25">
      <c r="A30" s="8" t="s">
        <v>56</v>
      </c>
      <c r="B30" s="4">
        <v>0</v>
      </c>
      <c r="C30" s="4"/>
      <c r="D30" s="128"/>
      <c r="E30" s="129"/>
      <c r="F30" s="130"/>
      <c r="G30" s="95" t="s">
        <v>57</v>
      </c>
      <c r="H30" s="22" t="s">
        <v>57</v>
      </c>
      <c r="I30" s="22" t="s">
        <v>57</v>
      </c>
      <c r="J30" s="23" t="s">
        <v>57</v>
      </c>
      <c r="K30" s="85" t="s">
        <v>58</v>
      </c>
      <c r="L30" s="86" t="s">
        <v>58</v>
      </c>
      <c r="M30" s="86" t="s">
        <v>58</v>
      </c>
      <c r="N30" s="87" t="s">
        <v>58</v>
      </c>
    </row>
    <row r="31" spans="1:17" x14ac:dyDescent="0.25">
      <c r="A31" s="119" t="s">
        <v>59</v>
      </c>
      <c r="B31" s="120"/>
      <c r="C31" s="121"/>
      <c r="D31" s="128"/>
      <c r="E31" s="129"/>
      <c r="F31" s="130"/>
      <c r="G31" s="95" t="s">
        <v>13</v>
      </c>
      <c r="H31" s="22" t="s">
        <v>14</v>
      </c>
      <c r="I31" s="22" t="s">
        <v>15</v>
      </c>
      <c r="J31" s="23" t="s">
        <v>16</v>
      </c>
      <c r="K31" s="86" t="s">
        <v>13</v>
      </c>
      <c r="L31" s="86" t="s">
        <v>14</v>
      </c>
      <c r="M31" s="86" t="s">
        <v>15</v>
      </c>
      <c r="N31" s="87" t="s">
        <v>16</v>
      </c>
    </row>
    <row r="32" spans="1:17" x14ac:dyDescent="0.25">
      <c r="A32" s="119"/>
      <c r="B32" s="120"/>
      <c r="C32" s="121"/>
      <c r="D32" s="128"/>
      <c r="E32" s="129"/>
      <c r="F32" s="130"/>
      <c r="G32" s="16">
        <f>G24/G17-100%</f>
        <v>0</v>
      </c>
      <c r="H32" s="17">
        <f t="shared" ref="H32:J32" si="9">H24/H17-100%</f>
        <v>0</v>
      </c>
      <c r="I32" s="17">
        <f t="shared" si="9"/>
        <v>0</v>
      </c>
      <c r="J32" s="18">
        <f t="shared" si="9"/>
        <v>2.2727272727272707E-2</v>
      </c>
      <c r="K32" s="89">
        <f>K24/K17</f>
        <v>1</v>
      </c>
      <c r="L32" s="89">
        <f>L24/L17</f>
        <v>1</v>
      </c>
      <c r="M32" s="89">
        <f t="shared" ref="L32:N32" si="10">M24/M17</f>
        <v>1</v>
      </c>
      <c r="N32" s="90">
        <f t="shared" si="10"/>
        <v>1.2500000000000004</v>
      </c>
    </row>
    <row r="33" spans="1:14" x14ac:dyDescent="0.25">
      <c r="A33" s="119"/>
      <c r="B33" s="120"/>
      <c r="C33" s="121"/>
      <c r="D33" s="128"/>
      <c r="E33" s="129"/>
      <c r="F33" s="130"/>
      <c r="G33" s="16">
        <f t="shared" ref="G33:J36" si="11">G25/G18-100%</f>
        <v>0</v>
      </c>
      <c r="H33" s="17">
        <f t="shared" si="11"/>
        <v>1.6666666666666607E-2</v>
      </c>
      <c r="I33" s="17">
        <f t="shared" si="11"/>
        <v>0</v>
      </c>
      <c r="J33" s="18">
        <f t="shared" si="11"/>
        <v>-1.4084507042253502E-2</v>
      </c>
      <c r="K33" s="89">
        <f>K25/K18</f>
        <v>1</v>
      </c>
      <c r="L33" s="89">
        <f>L25/L18</f>
        <v>1.2500000000000009</v>
      </c>
      <c r="M33" s="89">
        <f t="shared" ref="K33:N36" si="12">M25/M18</f>
        <v>1</v>
      </c>
      <c r="N33" s="90">
        <f t="shared" si="12"/>
        <v>0.90909090909090895</v>
      </c>
    </row>
    <row r="34" spans="1:14" x14ac:dyDescent="0.25">
      <c r="A34" s="119"/>
      <c r="B34" s="120"/>
      <c r="C34" s="121"/>
      <c r="D34" s="128"/>
      <c r="E34" s="129"/>
      <c r="F34" s="130"/>
      <c r="G34" s="16">
        <f t="shared" si="11"/>
        <v>0</v>
      </c>
      <c r="H34" s="17">
        <f t="shared" si="11"/>
        <v>4.5454545454545414E-2</v>
      </c>
      <c r="I34" s="17">
        <f t="shared" si="11"/>
        <v>1.4285714285714235E-2</v>
      </c>
      <c r="J34" s="18">
        <f t="shared" si="11"/>
        <v>1.2195121951219523E-2</v>
      </c>
      <c r="K34" s="89">
        <f>K26/K19</f>
        <v>1</v>
      </c>
      <c r="L34" s="89">
        <f t="shared" si="12"/>
        <v>1.5999999999999976</v>
      </c>
      <c r="M34" s="89">
        <f t="shared" si="12"/>
        <v>1.0666666666666667</v>
      </c>
      <c r="N34" s="90">
        <f t="shared" si="12"/>
        <v>1.0625</v>
      </c>
    </row>
    <row r="35" spans="1:14" x14ac:dyDescent="0.25">
      <c r="A35" s="119"/>
      <c r="B35" s="120"/>
      <c r="C35" s="121"/>
      <c r="D35" s="128"/>
      <c r="E35" s="129"/>
      <c r="F35" s="130"/>
      <c r="G35" s="16">
        <f t="shared" si="11"/>
        <v>1.7241379310344751E-2</v>
      </c>
      <c r="H35" s="17">
        <f t="shared" si="11"/>
        <v>-5.6338028169014009E-2</v>
      </c>
      <c r="I35" s="17">
        <f t="shared" si="11"/>
        <v>0</v>
      </c>
      <c r="J35" s="18">
        <f t="shared" si="11"/>
        <v>1.2820512820512775E-2</v>
      </c>
      <c r="K35" s="89">
        <f>K27/K20</f>
        <v>2</v>
      </c>
      <c r="L35" s="89">
        <f t="shared" si="12"/>
        <v>-2.9999999999999889</v>
      </c>
      <c r="M35" s="89">
        <f t="shared" si="12"/>
        <v>1</v>
      </c>
      <c r="N35" s="90">
        <f t="shared" si="12"/>
        <v>1.1428571428571428</v>
      </c>
    </row>
    <row r="36" spans="1:14" ht="15.75" thickBot="1" x14ac:dyDescent="0.3">
      <c r="A36" s="119"/>
      <c r="B36" s="120"/>
      <c r="C36" s="121"/>
      <c r="D36" s="131"/>
      <c r="E36" s="132"/>
      <c r="F36" s="133"/>
      <c r="G36" s="19">
        <f t="shared" si="11"/>
        <v>0</v>
      </c>
      <c r="H36" s="20">
        <f t="shared" si="11"/>
        <v>2.3809523809523725E-2</v>
      </c>
      <c r="I36" s="20">
        <f t="shared" si="11"/>
        <v>1.0000000000000009E-2</v>
      </c>
      <c r="J36" s="21">
        <f t="shared" si="11"/>
        <v>8.6956521739129933E-3</v>
      </c>
      <c r="K36" s="93">
        <f>K28/K21</f>
        <v>1</v>
      </c>
      <c r="L36" s="93">
        <f>L28/L21</f>
        <v>2</v>
      </c>
      <c r="M36" s="93">
        <f t="shared" si="12"/>
        <v>1.0526315789473684</v>
      </c>
      <c r="N36" s="94">
        <f t="shared" si="12"/>
        <v>1.032258064516129</v>
      </c>
    </row>
    <row r="37" spans="1:14" ht="15.75" thickTop="1" x14ac:dyDescent="0.25">
      <c r="A37" s="119"/>
      <c r="B37" s="120"/>
      <c r="C37" s="121"/>
      <c r="D37" s="125" t="s">
        <v>60</v>
      </c>
      <c r="E37" s="126"/>
      <c r="F37" s="126"/>
      <c r="G37" s="126"/>
      <c r="H37" s="126"/>
      <c r="I37" s="126"/>
      <c r="J37" s="127"/>
      <c r="K37" s="116" t="s">
        <v>61</v>
      </c>
      <c r="L37" s="114"/>
      <c r="M37" s="114"/>
      <c r="N37" s="115"/>
    </row>
    <row r="38" spans="1:14" x14ac:dyDescent="0.25">
      <c r="A38" s="119"/>
      <c r="B38" s="120"/>
      <c r="C38" s="121"/>
      <c r="D38" s="128"/>
      <c r="E38" s="129"/>
      <c r="F38" s="129"/>
      <c r="G38" s="129"/>
      <c r="H38" s="129"/>
      <c r="I38" s="129"/>
      <c r="J38" s="130"/>
      <c r="K38" s="95" t="s">
        <v>57</v>
      </c>
      <c r="L38" s="95" t="s">
        <v>57</v>
      </c>
      <c r="M38" s="95" t="s">
        <v>57</v>
      </c>
      <c r="N38" s="27" t="s">
        <v>57</v>
      </c>
    </row>
    <row r="39" spans="1:14" x14ac:dyDescent="0.25">
      <c r="A39" s="119"/>
      <c r="B39" s="120"/>
      <c r="C39" s="121"/>
      <c r="D39" s="128"/>
      <c r="E39" s="129"/>
      <c r="F39" s="129"/>
      <c r="G39" s="129"/>
      <c r="H39" s="129"/>
      <c r="I39" s="129"/>
      <c r="J39" s="130"/>
      <c r="K39" s="95" t="s">
        <v>13</v>
      </c>
      <c r="L39" s="22" t="s">
        <v>14</v>
      </c>
      <c r="M39" s="22" t="s">
        <v>15</v>
      </c>
      <c r="N39" s="23" t="s">
        <v>16</v>
      </c>
    </row>
    <row r="40" spans="1:14" ht="15.75" thickBot="1" x14ac:dyDescent="0.3">
      <c r="A40" s="122"/>
      <c r="B40" s="123"/>
      <c r="C40" s="124"/>
      <c r="D40" s="131"/>
      <c r="E40" s="132"/>
      <c r="F40" s="132"/>
      <c r="G40" s="132"/>
      <c r="H40" s="132"/>
      <c r="I40" s="132"/>
      <c r="J40" s="133"/>
      <c r="K40" s="10">
        <f>K24-K17</f>
        <v>0</v>
      </c>
      <c r="L40" s="11">
        <f t="shared" ref="L40:N40" si="13">L24-L17</f>
        <v>0</v>
      </c>
      <c r="M40" s="11">
        <f t="shared" si="13"/>
        <v>0</v>
      </c>
      <c r="N40" s="12">
        <f t="shared" si="13"/>
        <v>2.5000000000000022E-2</v>
      </c>
    </row>
    <row r="41" spans="1:14" ht="16.5" thickTop="1" thickBot="1" x14ac:dyDescent="0.3">
      <c r="A41" s="28"/>
      <c r="B41" s="37"/>
      <c r="C41" s="109">
        <v>2024</v>
      </c>
      <c r="D41" s="110"/>
      <c r="E41" s="110"/>
      <c r="F41" s="110"/>
      <c r="G41" s="110">
        <v>2034</v>
      </c>
      <c r="H41" s="110"/>
      <c r="I41" s="110"/>
      <c r="J41" s="111"/>
      <c r="K41" s="10">
        <f t="shared" ref="K41:N42" si="14">K25-K18</f>
        <v>0</v>
      </c>
      <c r="L41" s="11">
        <f t="shared" si="14"/>
        <v>1.7857142857142877E-2</v>
      </c>
      <c r="M41" s="11">
        <f t="shared" si="14"/>
        <v>0</v>
      </c>
      <c r="N41" s="12">
        <f t="shared" si="14"/>
        <v>-1.6666666666666691E-2</v>
      </c>
    </row>
    <row r="42" spans="1:14" ht="15.75" thickTop="1" x14ac:dyDescent="0.25">
      <c r="A42" s="112" t="s">
        <v>62</v>
      </c>
      <c r="B42" s="22"/>
      <c r="C42" s="45" t="s">
        <v>7</v>
      </c>
      <c r="D42" s="22" t="s">
        <v>25</v>
      </c>
      <c r="E42" s="22" t="s">
        <v>63</v>
      </c>
      <c r="F42" s="22" t="s">
        <v>64</v>
      </c>
      <c r="G42" s="22" t="s">
        <v>7</v>
      </c>
      <c r="H42" s="22" t="s">
        <v>25</v>
      </c>
      <c r="I42" s="22" t="s">
        <v>63</v>
      </c>
      <c r="J42" s="23" t="s">
        <v>64</v>
      </c>
      <c r="K42" s="10">
        <f>K26-K19</f>
        <v>0</v>
      </c>
      <c r="L42" s="11">
        <f t="shared" si="14"/>
        <v>4.9180327868852305E-2</v>
      </c>
      <c r="M42" s="11">
        <f t="shared" si="14"/>
        <v>1.8181818181818188E-2</v>
      </c>
      <c r="N42" s="12">
        <f t="shared" si="14"/>
        <v>1.5151515151515166E-2</v>
      </c>
    </row>
    <row r="43" spans="1:14" x14ac:dyDescent="0.25">
      <c r="A43" s="112"/>
      <c r="B43" s="22" t="s">
        <v>65</v>
      </c>
      <c r="C43" s="46" t="s">
        <v>66</v>
      </c>
      <c r="D43" s="39" t="s">
        <v>67</v>
      </c>
      <c r="E43" s="58" t="s">
        <v>68</v>
      </c>
      <c r="F43" s="40" t="s">
        <v>69</v>
      </c>
      <c r="G43" s="39" t="s">
        <v>70</v>
      </c>
      <c r="H43" s="39" t="s">
        <v>70</v>
      </c>
      <c r="I43" s="39" t="s">
        <v>70</v>
      </c>
      <c r="J43" s="41" t="s">
        <v>69</v>
      </c>
      <c r="K43" s="10">
        <f t="shared" ref="K43:N44" si="15">K27-K20</f>
        <v>1.7543859649122823E-2</v>
      </c>
      <c r="L43" s="11">
        <f t="shared" si="15"/>
        <v>-5.7142857142857037E-2</v>
      </c>
      <c r="M43" s="11">
        <f t="shared" si="15"/>
        <v>0</v>
      </c>
      <c r="N43" s="12">
        <f t="shared" si="15"/>
        <v>1.408450704225353E-2</v>
      </c>
    </row>
    <row r="44" spans="1:14" ht="15.75" thickBot="1" x14ac:dyDescent="0.3">
      <c r="A44" s="113"/>
      <c r="B44" s="42" t="s">
        <v>71</v>
      </c>
      <c r="C44" s="47" t="s">
        <v>70</v>
      </c>
      <c r="D44" s="43" t="s">
        <v>70</v>
      </c>
      <c r="E44" s="43" t="s">
        <v>70</v>
      </c>
      <c r="F44" s="44" t="s">
        <v>69</v>
      </c>
      <c r="G44" s="43" t="s">
        <v>66</v>
      </c>
      <c r="H44" s="43" t="s">
        <v>66</v>
      </c>
      <c r="I44" s="43" t="s">
        <v>66</v>
      </c>
      <c r="J44" s="59" t="s">
        <v>68</v>
      </c>
      <c r="K44" s="13">
        <f>K28-K21</f>
        <v>0</v>
      </c>
      <c r="L44" s="14">
        <f t="shared" si="15"/>
        <v>2.4390243902439046E-2</v>
      </c>
      <c r="M44" s="14">
        <f t="shared" si="15"/>
        <v>1.2345679012345678E-2</v>
      </c>
      <c r="N44" s="15">
        <f t="shared" si="15"/>
        <v>1.1904761904761918E-2</v>
      </c>
    </row>
    <row r="45" spans="1:14" ht="15.75" thickTop="1" x14ac:dyDescent="0.25">
      <c r="A45" s="101" t="s">
        <v>72</v>
      </c>
      <c r="B45" s="102"/>
      <c r="C45" s="103"/>
    </row>
    <row r="46" spans="1:14" x14ac:dyDescent="0.25">
      <c r="A46" s="77" t="s">
        <v>73</v>
      </c>
      <c r="B46" s="78" t="s">
        <v>74</v>
      </c>
      <c r="C46" s="79" t="s">
        <v>75</v>
      </c>
    </row>
    <row r="47" spans="1:14" x14ac:dyDescent="0.25">
      <c r="A47" s="77" t="s">
        <v>76</v>
      </c>
      <c r="B47" s="78">
        <v>1100</v>
      </c>
      <c r="C47" s="80">
        <v>1100</v>
      </c>
    </row>
    <row r="48" spans="1:14" x14ac:dyDescent="0.25">
      <c r="A48" s="77" t="s">
        <v>77</v>
      </c>
      <c r="B48" s="78">
        <f>B47*1.015</f>
        <v>1116.5</v>
      </c>
      <c r="C48" s="80">
        <f>C47*1.0265</f>
        <v>1129.1499999999999</v>
      </c>
    </row>
    <row r="49" spans="1:3" x14ac:dyDescent="0.25">
      <c r="A49" s="77" t="s">
        <v>78</v>
      </c>
      <c r="B49" s="78">
        <f t="shared" ref="B49:B72" si="16">B48*1.015</f>
        <v>1133.2474999999999</v>
      </c>
      <c r="C49" s="80">
        <f t="shared" ref="C49:C71" si="17">C48*1.0265</f>
        <v>1159.0724749999997</v>
      </c>
    </row>
    <row r="50" spans="1:3" x14ac:dyDescent="0.25">
      <c r="A50" s="77" t="s">
        <v>79</v>
      </c>
      <c r="B50" s="78">
        <f t="shared" si="16"/>
        <v>1150.2462124999997</v>
      </c>
      <c r="C50" s="80">
        <f t="shared" si="17"/>
        <v>1189.7878955874996</v>
      </c>
    </row>
    <row r="51" spans="1:3" x14ac:dyDescent="0.25">
      <c r="A51" s="77" t="s">
        <v>80</v>
      </c>
      <c r="B51" s="78">
        <f t="shared" si="16"/>
        <v>1167.4999056874997</v>
      </c>
      <c r="C51" s="80">
        <f t="shared" si="17"/>
        <v>1221.3172748205684</v>
      </c>
    </row>
    <row r="52" spans="1:3" x14ac:dyDescent="0.25">
      <c r="A52" s="77" t="s">
        <v>81</v>
      </c>
      <c r="B52" s="78">
        <f t="shared" si="16"/>
        <v>1185.0124042728121</v>
      </c>
      <c r="C52" s="80">
        <f t="shared" si="17"/>
        <v>1253.6821826033133</v>
      </c>
    </row>
    <row r="53" spans="1:3" x14ac:dyDescent="0.25">
      <c r="A53" s="77" t="s">
        <v>82</v>
      </c>
      <c r="B53" s="78">
        <f t="shared" si="16"/>
        <v>1202.7875903369043</v>
      </c>
      <c r="C53" s="80">
        <f t="shared" si="17"/>
        <v>1286.904760442301</v>
      </c>
    </row>
    <row r="54" spans="1:3" x14ac:dyDescent="0.25">
      <c r="A54" s="77" t="s">
        <v>83</v>
      </c>
      <c r="B54" s="78">
        <f t="shared" si="16"/>
        <v>1220.8294041919578</v>
      </c>
      <c r="C54" s="80">
        <f t="shared" si="17"/>
        <v>1321.0077365940219</v>
      </c>
    </row>
    <row r="55" spans="1:3" x14ac:dyDescent="0.25">
      <c r="A55" s="77" t="s">
        <v>84</v>
      </c>
      <c r="B55" s="78">
        <f t="shared" si="16"/>
        <v>1239.1418452548371</v>
      </c>
      <c r="C55" s="80">
        <f t="shared" si="17"/>
        <v>1356.0144416137634</v>
      </c>
    </row>
    <row r="56" spans="1:3" x14ac:dyDescent="0.25">
      <c r="A56" s="77" t="s">
        <v>85</v>
      </c>
      <c r="B56" s="78">
        <f t="shared" si="16"/>
        <v>1257.7289729336596</v>
      </c>
      <c r="C56" s="80">
        <f t="shared" si="17"/>
        <v>1391.9488243165281</v>
      </c>
    </row>
    <row r="57" spans="1:3" x14ac:dyDescent="0.25">
      <c r="A57" s="77" t="s">
        <v>86</v>
      </c>
      <c r="B57" s="78">
        <f t="shared" si="16"/>
        <v>1276.5949075276644</v>
      </c>
      <c r="C57" s="80">
        <f t="shared" si="17"/>
        <v>1428.835468160916</v>
      </c>
    </row>
    <row r="58" spans="1:3" x14ac:dyDescent="0.25">
      <c r="A58" s="77" t="s">
        <v>87</v>
      </c>
      <c r="B58" s="78">
        <f t="shared" si="16"/>
        <v>1295.7438311405792</v>
      </c>
      <c r="C58" s="80">
        <f t="shared" si="17"/>
        <v>1466.6996080671802</v>
      </c>
    </row>
    <row r="59" spans="1:3" x14ac:dyDescent="0.25">
      <c r="A59" s="77" t="s">
        <v>88</v>
      </c>
      <c r="B59" s="78">
        <f t="shared" si="16"/>
        <v>1315.1799886076878</v>
      </c>
      <c r="C59" s="80">
        <f t="shared" si="17"/>
        <v>1505.5671476809605</v>
      </c>
    </row>
    <row r="60" spans="1:3" x14ac:dyDescent="0.25">
      <c r="A60" s="77" t="s">
        <v>89</v>
      </c>
      <c r="B60" s="78">
        <f t="shared" si="16"/>
        <v>1334.907688436803</v>
      </c>
      <c r="C60" s="80">
        <f t="shared" si="17"/>
        <v>1545.464677094506</v>
      </c>
    </row>
    <row r="61" spans="1:3" x14ac:dyDescent="0.25">
      <c r="A61" s="77" t="s">
        <v>90</v>
      </c>
      <c r="B61" s="78">
        <f t="shared" si="16"/>
        <v>1354.9313037633549</v>
      </c>
      <c r="C61" s="80">
        <f t="shared" si="17"/>
        <v>1586.4194910375104</v>
      </c>
    </row>
    <row r="62" spans="1:3" x14ac:dyDescent="0.25">
      <c r="A62" s="77" t="s">
        <v>91</v>
      </c>
      <c r="B62" s="78">
        <f t="shared" si="16"/>
        <v>1375.2552733198052</v>
      </c>
      <c r="C62" s="79">
        <f t="shared" si="17"/>
        <v>1628.4596075500044</v>
      </c>
    </row>
    <row r="63" spans="1:3" x14ac:dyDescent="0.25">
      <c r="A63" s="77" t="s">
        <v>92</v>
      </c>
      <c r="B63" s="78">
        <f t="shared" si="16"/>
        <v>1395.8841024196022</v>
      </c>
      <c r="C63" s="79">
        <f t="shared" si="17"/>
        <v>1671.6137871500796</v>
      </c>
    </row>
    <row r="64" spans="1:3" x14ac:dyDescent="0.25">
      <c r="A64" s="77" t="s">
        <v>93</v>
      </c>
      <c r="B64" s="78">
        <f t="shared" si="16"/>
        <v>1416.822363955896</v>
      </c>
      <c r="C64" s="79">
        <f t="shared" si="17"/>
        <v>1715.9115525095567</v>
      </c>
    </row>
    <row r="65" spans="1:3" x14ac:dyDescent="0.25">
      <c r="A65" s="77" t="s">
        <v>94</v>
      </c>
      <c r="B65" s="78">
        <f t="shared" si="16"/>
        <v>1438.0746994152344</v>
      </c>
      <c r="C65" s="79">
        <f t="shared" si="17"/>
        <v>1761.3832086510599</v>
      </c>
    </row>
    <row r="66" spans="1:3" x14ac:dyDescent="0.25">
      <c r="A66" s="77" t="s">
        <v>95</v>
      </c>
      <c r="B66" s="78">
        <f t="shared" si="16"/>
        <v>1459.6458199064627</v>
      </c>
      <c r="C66" s="79">
        <f t="shared" si="17"/>
        <v>1808.0598636803129</v>
      </c>
    </row>
    <row r="67" spans="1:3" x14ac:dyDescent="0.25">
      <c r="A67" s="77" t="s">
        <v>96</v>
      </c>
      <c r="B67" s="78">
        <f t="shared" si="16"/>
        <v>1481.5405072050596</v>
      </c>
      <c r="C67" s="79">
        <f t="shared" si="17"/>
        <v>1855.9734500678412</v>
      </c>
    </row>
    <row r="68" spans="1:3" x14ac:dyDescent="0.25">
      <c r="A68" s="77" t="s">
        <v>97</v>
      </c>
      <c r="B68" s="78">
        <f t="shared" si="16"/>
        <v>1503.7636148131353</v>
      </c>
      <c r="C68" s="79">
        <f t="shared" si="17"/>
        <v>1905.156746494639</v>
      </c>
    </row>
    <row r="69" spans="1:3" x14ac:dyDescent="0.25">
      <c r="A69" s="77" t="s">
        <v>98</v>
      </c>
      <c r="B69" s="78">
        <f t="shared" si="16"/>
        <v>1526.3200690353322</v>
      </c>
      <c r="C69" s="79">
        <f t="shared" si="17"/>
        <v>1955.6434002767469</v>
      </c>
    </row>
    <row r="70" spans="1:3" x14ac:dyDescent="0.25">
      <c r="A70" s="77" t="s">
        <v>99</v>
      </c>
      <c r="B70" s="78">
        <f t="shared" si="16"/>
        <v>1549.2148700708619</v>
      </c>
      <c r="C70" s="79">
        <f t="shared" si="17"/>
        <v>2007.4679503840807</v>
      </c>
    </row>
    <row r="71" spans="1:3" x14ac:dyDescent="0.25">
      <c r="A71" s="77" t="s">
        <v>100</v>
      </c>
      <c r="B71" s="78">
        <f t="shared" si="16"/>
        <v>1572.4530931219247</v>
      </c>
      <c r="C71" s="79">
        <f t="shared" si="17"/>
        <v>2060.6658510692587</v>
      </c>
    </row>
    <row r="72" spans="1:3" x14ac:dyDescent="0.25">
      <c r="A72" s="77" t="s">
        <v>101</v>
      </c>
      <c r="B72" s="78">
        <f t="shared" si="16"/>
        <v>1596.0398895187534</v>
      </c>
      <c r="C72" s="79">
        <f>C71*1.0265</f>
        <v>2115.2734961225938</v>
      </c>
    </row>
    <row r="73" spans="1:3" x14ac:dyDescent="0.25">
      <c r="A73" s="84" t="s">
        <v>102</v>
      </c>
      <c r="B73" s="81">
        <f>B72/B47-1</f>
        <v>0.45094535410795755</v>
      </c>
      <c r="C73" s="82">
        <f>C72/C47-1</f>
        <v>0.92297590556599429</v>
      </c>
    </row>
    <row r="74" spans="1:3" ht="15.75" thickBot="1" x14ac:dyDescent="0.3">
      <c r="A74" s="99" t="s">
        <v>103</v>
      </c>
      <c r="B74" s="100"/>
      <c r="C74" s="83">
        <f>C73/B73</f>
        <v>2.0467577660086755</v>
      </c>
    </row>
    <row r="75" spans="1:3" ht="15.75" thickTop="1" x14ac:dyDescent="0.25"/>
  </sheetData>
  <mergeCells count="18">
    <mergeCell ref="C41:F41"/>
    <mergeCell ref="G41:J41"/>
    <mergeCell ref="A42:A44"/>
    <mergeCell ref="A45:C45"/>
    <mergeCell ref="A74:B74"/>
    <mergeCell ref="D29:F36"/>
    <mergeCell ref="G29:J29"/>
    <mergeCell ref="K29:N29"/>
    <mergeCell ref="A31:C40"/>
    <mergeCell ref="D37:J40"/>
    <mergeCell ref="K37:N37"/>
    <mergeCell ref="D1:J1"/>
    <mergeCell ref="K1:N1"/>
    <mergeCell ref="E2:F2"/>
    <mergeCell ref="K2:N2"/>
    <mergeCell ref="K8:N8"/>
    <mergeCell ref="E14:J14"/>
    <mergeCell ref="K14:N14"/>
  </mergeCells>
  <conditionalFormatting sqref="G32:J36">
    <cfRule type="cellIs" dxfId="3" priority="4" operator="greaterThan">
      <formula>0.0199</formula>
    </cfRule>
  </conditionalFormatting>
  <conditionalFormatting sqref="K40:N44">
    <cfRule type="cellIs" dxfId="2" priority="3" operator="greaterThan">
      <formula>0.019999</formula>
    </cfRule>
  </conditionalFormatting>
  <conditionalFormatting sqref="C47:C72">
    <cfRule type="cellIs" dxfId="1" priority="2" operator="lessThan">
      <formula>$B$27</formula>
    </cfRule>
  </conditionalFormatting>
  <conditionalFormatting sqref="K32:N36">
    <cfRule type="cellIs" dxfId="0" priority="1" operator="greaterThanOrEqual">
      <formula>2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sqref="A1:C29"/>
    </sheetView>
  </sheetViews>
  <sheetFormatPr defaultColWidth="28.42578125" defaultRowHeight="15" x14ac:dyDescent="0.25"/>
  <sheetData>
    <row r="1" spans="1:3" x14ac:dyDescent="0.25">
      <c r="A1" s="2" t="s">
        <v>73</v>
      </c>
      <c r="B1" s="4" t="s">
        <v>74</v>
      </c>
      <c r="C1" s="4" t="s">
        <v>75</v>
      </c>
    </row>
    <row r="2" spans="1:3" x14ac:dyDescent="0.25">
      <c r="A2" s="2" t="s">
        <v>76</v>
      </c>
      <c r="B2" s="4">
        <v>1100</v>
      </c>
      <c r="C2" s="4">
        <v>1100</v>
      </c>
    </row>
    <row r="3" spans="1:3" x14ac:dyDescent="0.25">
      <c r="A3" s="2" t="s">
        <v>77</v>
      </c>
      <c r="B3" s="4">
        <f>B2*1.015</f>
        <v>1116.5</v>
      </c>
      <c r="C3" s="4">
        <f>C2*1.0265</f>
        <v>1129.1499999999999</v>
      </c>
    </row>
    <row r="4" spans="1:3" x14ac:dyDescent="0.25">
      <c r="A4" s="2" t="s">
        <v>78</v>
      </c>
      <c r="B4" s="4">
        <f t="shared" ref="B4:B26" si="0">B3*1.015</f>
        <v>1133.2474999999999</v>
      </c>
      <c r="C4" s="4">
        <f t="shared" ref="C4:C26" si="1">C3*1.0265</f>
        <v>1159.0724749999997</v>
      </c>
    </row>
    <row r="5" spans="1:3" x14ac:dyDescent="0.25">
      <c r="A5" s="2" t="s">
        <v>79</v>
      </c>
      <c r="B5" s="4">
        <f t="shared" si="0"/>
        <v>1150.2462124999997</v>
      </c>
      <c r="C5" s="4">
        <f t="shared" si="1"/>
        <v>1189.7878955874996</v>
      </c>
    </row>
    <row r="6" spans="1:3" x14ac:dyDescent="0.25">
      <c r="A6" s="2" t="s">
        <v>80</v>
      </c>
      <c r="B6" s="4">
        <f t="shared" si="0"/>
        <v>1167.4999056874997</v>
      </c>
      <c r="C6" s="4">
        <f t="shared" si="1"/>
        <v>1221.3172748205684</v>
      </c>
    </row>
    <row r="7" spans="1:3" x14ac:dyDescent="0.25">
      <c r="A7" s="2" t="s">
        <v>81</v>
      </c>
      <c r="B7" s="4">
        <f t="shared" si="0"/>
        <v>1185.0124042728121</v>
      </c>
      <c r="C7" s="4">
        <f t="shared" si="1"/>
        <v>1253.6821826033133</v>
      </c>
    </row>
    <row r="8" spans="1:3" x14ac:dyDescent="0.25">
      <c r="A8" s="2" t="s">
        <v>82</v>
      </c>
      <c r="B8" s="4">
        <f t="shared" si="0"/>
        <v>1202.7875903369043</v>
      </c>
      <c r="C8" s="4">
        <f t="shared" si="1"/>
        <v>1286.904760442301</v>
      </c>
    </row>
    <row r="9" spans="1:3" x14ac:dyDescent="0.25">
      <c r="A9" s="2" t="s">
        <v>83</v>
      </c>
      <c r="B9" s="4">
        <f t="shared" si="0"/>
        <v>1220.8294041919578</v>
      </c>
      <c r="C9" s="4">
        <f t="shared" si="1"/>
        <v>1321.0077365940219</v>
      </c>
    </row>
    <row r="10" spans="1:3" x14ac:dyDescent="0.25">
      <c r="A10" s="2" t="s">
        <v>84</v>
      </c>
      <c r="B10" s="4">
        <f t="shared" si="0"/>
        <v>1239.1418452548371</v>
      </c>
      <c r="C10" s="4">
        <f t="shared" si="1"/>
        <v>1356.0144416137634</v>
      </c>
    </row>
    <row r="11" spans="1:3" x14ac:dyDescent="0.25">
      <c r="A11" s="2" t="s">
        <v>85</v>
      </c>
      <c r="B11" s="4">
        <f t="shared" si="0"/>
        <v>1257.7289729336596</v>
      </c>
      <c r="C11" s="4">
        <f t="shared" si="1"/>
        <v>1391.9488243165281</v>
      </c>
    </row>
    <row r="12" spans="1:3" x14ac:dyDescent="0.25">
      <c r="A12" s="2" t="s">
        <v>86</v>
      </c>
      <c r="B12" s="4">
        <f t="shared" si="0"/>
        <v>1276.5949075276644</v>
      </c>
      <c r="C12" s="4">
        <f t="shared" si="1"/>
        <v>1428.835468160916</v>
      </c>
    </row>
    <row r="13" spans="1:3" x14ac:dyDescent="0.25">
      <c r="A13" s="2" t="s">
        <v>87</v>
      </c>
      <c r="B13" s="4">
        <f t="shared" si="0"/>
        <v>1295.7438311405792</v>
      </c>
      <c r="C13" s="4">
        <f t="shared" si="1"/>
        <v>1466.6996080671802</v>
      </c>
    </row>
    <row r="14" spans="1:3" x14ac:dyDescent="0.25">
      <c r="A14" s="2" t="s">
        <v>88</v>
      </c>
      <c r="B14" s="4">
        <f t="shared" si="0"/>
        <v>1315.1799886076878</v>
      </c>
      <c r="C14" s="4">
        <f t="shared" si="1"/>
        <v>1505.5671476809605</v>
      </c>
    </row>
    <row r="15" spans="1:3" x14ac:dyDescent="0.25">
      <c r="A15" s="2" t="s">
        <v>89</v>
      </c>
      <c r="B15" s="4">
        <f t="shared" si="0"/>
        <v>1334.907688436803</v>
      </c>
      <c r="C15" s="4">
        <f t="shared" si="1"/>
        <v>1545.464677094506</v>
      </c>
    </row>
    <row r="16" spans="1:3" x14ac:dyDescent="0.25">
      <c r="A16" s="2" t="s">
        <v>90</v>
      </c>
      <c r="B16" s="4">
        <f t="shared" si="0"/>
        <v>1354.9313037633549</v>
      </c>
      <c r="C16" s="4">
        <f t="shared" si="1"/>
        <v>1586.4194910375104</v>
      </c>
    </row>
    <row r="17" spans="1:3" x14ac:dyDescent="0.25">
      <c r="A17" s="2" t="s">
        <v>91</v>
      </c>
      <c r="B17" s="4">
        <f t="shared" si="0"/>
        <v>1375.2552733198052</v>
      </c>
      <c r="C17" s="4">
        <f t="shared" si="1"/>
        <v>1628.4596075500044</v>
      </c>
    </row>
    <row r="18" spans="1:3" x14ac:dyDescent="0.25">
      <c r="A18" s="2" t="s">
        <v>92</v>
      </c>
      <c r="B18" s="4">
        <f t="shared" si="0"/>
        <v>1395.8841024196022</v>
      </c>
      <c r="C18" s="4">
        <f t="shared" si="1"/>
        <v>1671.6137871500796</v>
      </c>
    </row>
    <row r="19" spans="1:3" x14ac:dyDescent="0.25">
      <c r="A19" s="2" t="s">
        <v>93</v>
      </c>
      <c r="B19" s="4">
        <f t="shared" si="0"/>
        <v>1416.822363955896</v>
      </c>
      <c r="C19" s="4">
        <f t="shared" si="1"/>
        <v>1715.9115525095567</v>
      </c>
    </row>
    <row r="20" spans="1:3" x14ac:dyDescent="0.25">
      <c r="A20" s="2" t="s">
        <v>94</v>
      </c>
      <c r="B20" s="4">
        <f t="shared" si="0"/>
        <v>1438.0746994152344</v>
      </c>
      <c r="C20" s="4">
        <f t="shared" si="1"/>
        <v>1761.3832086510599</v>
      </c>
    </row>
    <row r="21" spans="1:3" x14ac:dyDescent="0.25">
      <c r="A21" s="2" t="s">
        <v>95</v>
      </c>
      <c r="B21" s="4">
        <f t="shared" si="0"/>
        <v>1459.6458199064627</v>
      </c>
      <c r="C21" s="4">
        <f t="shared" si="1"/>
        <v>1808.0598636803129</v>
      </c>
    </row>
    <row r="22" spans="1:3" x14ac:dyDescent="0.25">
      <c r="A22" s="2" t="s">
        <v>96</v>
      </c>
      <c r="B22" s="4">
        <f t="shared" si="0"/>
        <v>1481.5405072050596</v>
      </c>
      <c r="C22" s="4">
        <f t="shared" si="1"/>
        <v>1855.9734500678412</v>
      </c>
    </row>
    <row r="23" spans="1:3" x14ac:dyDescent="0.25">
      <c r="A23" s="2" t="s">
        <v>97</v>
      </c>
      <c r="B23" s="4">
        <f t="shared" si="0"/>
        <v>1503.7636148131353</v>
      </c>
      <c r="C23" s="4">
        <f t="shared" si="1"/>
        <v>1905.156746494639</v>
      </c>
    </row>
    <row r="24" spans="1:3" x14ac:dyDescent="0.25">
      <c r="A24" s="2" t="s">
        <v>98</v>
      </c>
      <c r="B24" s="4">
        <f t="shared" si="0"/>
        <v>1526.3200690353322</v>
      </c>
      <c r="C24" s="4">
        <f t="shared" si="1"/>
        <v>1955.6434002767469</v>
      </c>
    </row>
    <row r="25" spans="1:3" x14ac:dyDescent="0.25">
      <c r="A25" s="2" t="s">
        <v>99</v>
      </c>
      <c r="B25" s="4">
        <f t="shared" si="0"/>
        <v>1549.2148700708619</v>
      </c>
      <c r="C25" s="4">
        <f t="shared" si="1"/>
        <v>2007.4679503840807</v>
      </c>
    </row>
    <row r="26" spans="1:3" x14ac:dyDescent="0.25">
      <c r="A26" s="2" t="s">
        <v>100</v>
      </c>
      <c r="B26" s="4">
        <f t="shared" si="0"/>
        <v>1572.4530931219247</v>
      </c>
      <c r="C26" s="4">
        <f t="shared" si="1"/>
        <v>2060.6658510692587</v>
      </c>
    </row>
    <row r="27" spans="1:3" x14ac:dyDescent="0.25">
      <c r="A27" s="2" t="s">
        <v>101</v>
      </c>
      <c r="B27" s="4">
        <f t="shared" ref="B27" si="2">B26*1.015</f>
        <v>1596.0398895187534</v>
      </c>
      <c r="C27" s="4">
        <f>C26*1.0265</f>
        <v>2115.2734961225938</v>
      </c>
    </row>
    <row r="28" spans="1:3" x14ac:dyDescent="0.25">
      <c r="A28" s="1" t="s">
        <v>102</v>
      </c>
      <c r="B28" s="22">
        <f>B27/B2-1</f>
        <v>0.45094535410795755</v>
      </c>
      <c r="C28" s="52">
        <f>C27/C2-1</f>
        <v>0.92297590556599429</v>
      </c>
    </row>
    <row r="29" spans="1:3" x14ac:dyDescent="0.25">
      <c r="A29" s="134" t="s">
        <v>103</v>
      </c>
      <c r="B29" s="134"/>
      <c r="C29" s="53">
        <f>C28/B28</f>
        <v>2.0467577660086755</v>
      </c>
    </row>
  </sheetData>
  <mergeCells count="1">
    <mergeCell ref="A29:B29"/>
  </mergeCells>
  <conditionalFormatting sqref="C2:C27">
    <cfRule type="cellIs" dxfId="4" priority="1" operator="lessThan">
      <formula>$B$27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Plan3</vt:lpstr>
      <vt:lpstr>Plan2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Fagner Sutel de Moura</dc:creator>
  <cp:keywords/>
  <dc:description/>
  <cp:lastModifiedBy>Fagner Sutel de Moura</cp:lastModifiedBy>
  <cp:revision/>
  <dcterms:created xsi:type="dcterms:W3CDTF">2022-08-03T17:03:03Z</dcterms:created>
  <dcterms:modified xsi:type="dcterms:W3CDTF">2022-12-06T19:24:55Z</dcterms:modified>
  <cp:category/>
  <cp:contentStatus/>
</cp:coreProperties>
</file>