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ty\OneDrive\Документы\Лабы\2.2.6\"/>
    </mc:Choice>
  </mc:AlternateContent>
  <xr:revisionPtr revIDLastSave="0" documentId="13_ncr:1_{090D49D6-C21E-4087-82F2-50362377AE02}" xr6:coauthVersionLast="47" xr6:coauthVersionMax="47" xr10:uidLastSave="{00000000-0000-0000-0000-000000000000}"/>
  <bookViews>
    <workbookView xWindow="-110" yWindow="-110" windowWidth="19420" windowHeight="10420" xr2:uid="{1AC9E783-0A6A-4BF0-B89D-09407428556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8" i="1" l="1"/>
  <c r="B57" i="1"/>
  <c r="C55" i="1"/>
  <c r="D55" i="1"/>
  <c r="E55" i="1"/>
  <c r="F55" i="1"/>
  <c r="G55" i="1"/>
  <c r="B55" i="1"/>
  <c r="S51" i="1"/>
  <c r="C51" i="1"/>
  <c r="E51" i="1"/>
  <c r="F51" i="1"/>
  <c r="G51" i="1"/>
  <c r="H51" i="1"/>
  <c r="I51" i="1"/>
  <c r="N51" i="1"/>
  <c r="O51" i="1"/>
  <c r="P51" i="1"/>
  <c r="Q51" i="1"/>
  <c r="K50" i="1"/>
  <c r="L50" i="1"/>
  <c r="M50" i="1"/>
  <c r="N50" i="1"/>
  <c r="O50" i="1"/>
  <c r="P50" i="1"/>
  <c r="Q50" i="1"/>
  <c r="F50" i="1"/>
  <c r="G50" i="1"/>
  <c r="H50" i="1"/>
  <c r="I50" i="1"/>
  <c r="E18" i="1"/>
  <c r="D18" i="1"/>
  <c r="C7" i="1"/>
  <c r="J16" i="1"/>
  <c r="J17" i="1" s="1"/>
  <c r="U6" i="1"/>
  <c r="U7" i="1" s="1"/>
  <c r="L6" i="1"/>
  <c r="C5" i="1"/>
  <c r="C6" i="1" s="1"/>
  <c r="B5" i="1"/>
  <c r="B30" i="1" s="1"/>
  <c r="B53" i="1" s="1"/>
  <c r="M5" i="1"/>
  <c r="M8" i="1" s="1"/>
  <c r="L5" i="1"/>
  <c r="L8" i="1" s="1"/>
  <c r="U15" i="1"/>
  <c r="U16" i="1" s="1"/>
  <c r="U17" i="1" s="1"/>
  <c r="T15" i="1"/>
  <c r="T51" i="1" s="1"/>
  <c r="L15" i="1"/>
  <c r="L18" i="1" s="1"/>
  <c r="S15" i="1"/>
  <c r="S18" i="1" s="1"/>
  <c r="R15" i="1"/>
  <c r="R16" i="1" s="1"/>
  <c r="J15" i="1"/>
  <c r="J18" i="1" s="1"/>
  <c r="M15" i="1"/>
  <c r="M16" i="1" s="1"/>
  <c r="M17" i="1" s="1"/>
  <c r="D15" i="1"/>
  <c r="D16" i="1" s="1"/>
  <c r="K15" i="1"/>
  <c r="K51" i="1" s="1"/>
  <c r="B15" i="1"/>
  <c r="B16" i="1" s="1"/>
  <c r="E15" i="1"/>
  <c r="E16" i="1" s="1"/>
  <c r="E17" i="1" s="1"/>
  <c r="D5" i="1"/>
  <c r="D8" i="1" s="1"/>
  <c r="C15" i="1"/>
  <c r="C16" i="1" s="1"/>
  <c r="C17" i="1" s="1"/>
  <c r="U5" i="1"/>
  <c r="U8" i="1" s="1"/>
  <c r="T5" i="1"/>
  <c r="T8" i="1" s="1"/>
  <c r="S5" i="1"/>
  <c r="S8" i="1" s="1"/>
  <c r="R5" i="1"/>
  <c r="R6" i="1" s="1"/>
  <c r="J5" i="1"/>
  <c r="D30" i="1" s="1"/>
  <c r="C53" i="1" s="1"/>
  <c r="K5" i="1"/>
  <c r="K6" i="1" s="1"/>
  <c r="E5" i="1"/>
  <c r="E8" i="1" s="1"/>
  <c r="R11" i="1"/>
  <c r="J11" i="1"/>
  <c r="B11" i="1"/>
  <c r="R1" i="1"/>
  <c r="J1" i="1"/>
  <c r="B1" i="1"/>
  <c r="U51" i="1" l="1"/>
  <c r="K18" i="1"/>
  <c r="U9" i="1"/>
  <c r="F30" i="1"/>
  <c r="D53" i="1" s="1"/>
  <c r="T16" i="1"/>
  <c r="T18" i="1"/>
  <c r="U50" i="1"/>
  <c r="J51" i="1"/>
  <c r="R50" i="1"/>
  <c r="U18" i="1"/>
  <c r="T50" i="1"/>
  <c r="M51" i="1"/>
  <c r="L9" i="1"/>
  <c r="D19" i="1"/>
  <c r="D51" i="1"/>
  <c r="S50" i="1"/>
  <c r="L51" i="1"/>
  <c r="J6" i="1"/>
  <c r="J50" i="1"/>
  <c r="C48" i="1" s="1"/>
  <c r="B50" i="1"/>
  <c r="S6" i="1"/>
  <c r="S7" i="1" s="1"/>
  <c r="R8" i="1"/>
  <c r="R9" i="1" s="1"/>
  <c r="B51" i="1"/>
  <c r="E48" i="1" s="1"/>
  <c r="R51" i="1"/>
  <c r="G48" i="1" s="1"/>
  <c r="U10" i="1"/>
  <c r="D33" i="1"/>
  <c r="B19" i="1"/>
  <c r="R7" i="1"/>
  <c r="J19" i="1"/>
  <c r="K9" i="1"/>
  <c r="K7" i="1"/>
  <c r="C10" i="1"/>
  <c r="T6" i="1"/>
  <c r="M6" i="1"/>
  <c r="D6" i="1"/>
  <c r="J7" i="1"/>
  <c r="J8" i="1"/>
  <c r="B8" i="1"/>
  <c r="B31" i="1" s="1"/>
  <c r="B54" i="1" s="1"/>
  <c r="M18" i="1"/>
  <c r="M19" i="1" s="1"/>
  <c r="M20" i="1" s="1"/>
  <c r="E19" i="1"/>
  <c r="E20" i="1" s="1"/>
  <c r="U19" i="1"/>
  <c r="U20" i="1" s="1"/>
  <c r="K8" i="1"/>
  <c r="B18" i="1"/>
  <c r="R18" i="1"/>
  <c r="L16" i="1"/>
  <c r="L19" i="1" s="1"/>
  <c r="K34" i="1" s="1"/>
  <c r="L7" i="1"/>
  <c r="E33" i="1"/>
  <c r="C18" i="1"/>
  <c r="C19" i="1" s="1"/>
  <c r="C20" i="1" s="1"/>
  <c r="S9" i="1"/>
  <c r="S10" i="1" s="1"/>
  <c r="E50" i="1"/>
  <c r="C8" i="1"/>
  <c r="C9" i="1" s="1"/>
  <c r="D50" i="1"/>
  <c r="L30" i="1"/>
  <c r="G53" i="1" s="1"/>
  <c r="C50" i="1"/>
  <c r="E6" i="1"/>
  <c r="J30" i="1"/>
  <c r="F53" i="1" s="1"/>
  <c r="B6" i="1"/>
  <c r="R17" i="1"/>
  <c r="S16" i="1"/>
  <c r="K33" i="1"/>
  <c r="K16" i="1"/>
  <c r="K19" i="1" s="1"/>
  <c r="H30" i="1"/>
  <c r="E53" i="1" s="1"/>
  <c r="B17" i="1"/>
  <c r="H33" i="1"/>
  <c r="D17" i="1"/>
  <c r="I33" i="1"/>
  <c r="T19" i="1" l="1"/>
  <c r="F31" i="1"/>
  <c r="D54" i="1"/>
  <c r="T17" i="1"/>
  <c r="L31" i="1"/>
  <c r="G54" i="1" s="1"/>
  <c r="J31" i="1"/>
  <c r="F54" i="1" s="1"/>
  <c r="D48" i="1"/>
  <c r="F48" i="1"/>
  <c r="M33" i="1"/>
  <c r="F33" i="1"/>
  <c r="J34" i="1"/>
  <c r="I35" i="1"/>
  <c r="D20" i="1"/>
  <c r="I36" i="1" s="1"/>
  <c r="J9" i="1"/>
  <c r="D34" i="1" s="1"/>
  <c r="D31" i="1"/>
  <c r="C54" i="1" s="1"/>
  <c r="R10" i="1"/>
  <c r="F36" i="1" s="1"/>
  <c r="F35" i="1"/>
  <c r="H35" i="1"/>
  <c r="B20" i="1"/>
  <c r="H36" i="1" s="1"/>
  <c r="D35" i="1"/>
  <c r="J10" i="1"/>
  <c r="K10" i="1"/>
  <c r="J20" i="1"/>
  <c r="H34" i="1"/>
  <c r="S17" i="1"/>
  <c r="S19" i="1"/>
  <c r="L10" i="1"/>
  <c r="B33" i="1"/>
  <c r="B7" i="1"/>
  <c r="B9" i="1"/>
  <c r="B34" i="1" s="1"/>
  <c r="H31" i="1"/>
  <c r="E54" i="1" s="1"/>
  <c r="D7" i="1"/>
  <c r="D9" i="1"/>
  <c r="C33" i="1"/>
  <c r="L17" i="1"/>
  <c r="B48" i="1"/>
  <c r="M7" i="1"/>
  <c r="M10" i="1" s="1"/>
  <c r="M9" i="1"/>
  <c r="E34" i="1" s="1"/>
  <c r="M34" i="1"/>
  <c r="I34" i="1"/>
  <c r="M35" i="1"/>
  <c r="T20" i="1"/>
  <c r="M36" i="1" s="1"/>
  <c r="R19" i="1"/>
  <c r="L34" i="1" s="1"/>
  <c r="F34" i="1"/>
  <c r="E9" i="1"/>
  <c r="E7" i="1"/>
  <c r="T7" i="1"/>
  <c r="G33" i="1"/>
  <c r="T9" i="1"/>
  <c r="G34" i="1" s="1"/>
  <c r="L33" i="1"/>
  <c r="K17" i="1"/>
  <c r="J33" i="1"/>
  <c r="C35" i="1" l="1"/>
  <c r="D10" i="1"/>
  <c r="S20" i="1"/>
  <c r="C34" i="1"/>
  <c r="T10" i="1"/>
  <c r="G36" i="1" s="1"/>
  <c r="G35" i="1"/>
  <c r="E10" i="1"/>
  <c r="B35" i="1"/>
  <c r="B10" i="1"/>
  <c r="B36" i="1" s="1"/>
  <c r="J35" i="1"/>
  <c r="K20" i="1"/>
  <c r="J36" i="1" s="1"/>
  <c r="D36" i="1"/>
  <c r="K35" i="1"/>
  <c r="L20" i="1"/>
  <c r="K36" i="1" s="1"/>
  <c r="E36" i="1"/>
  <c r="L35" i="1"/>
  <c r="E35" i="1"/>
  <c r="R20" i="1"/>
  <c r="L36" i="1" s="1"/>
  <c r="C36" i="1" l="1"/>
</calcChain>
</file>

<file path=xl/sharedStrings.xml><?xml version="1.0" encoding="utf-8"?>
<sst xmlns="http://schemas.openxmlformats.org/spreadsheetml/2006/main" count="91" uniqueCount="27">
  <si>
    <t>T,  K</t>
  </si>
  <si>
    <t>1 стекло</t>
  </si>
  <si>
    <t>2 стекло</t>
  </si>
  <si>
    <t>1 сталь</t>
  </si>
  <si>
    <t>2 сталь</t>
  </si>
  <si>
    <t>шарики</t>
  </si>
  <si>
    <t>t, с</t>
  </si>
  <si>
    <t>d, мм</t>
  </si>
  <si>
    <t>L, см</t>
  </si>
  <si>
    <t>T, К</t>
  </si>
  <si>
    <t>$20,0 \pm 0,1$</t>
  </si>
  <si>
    <t>$\eta, \text{Па} \cdot \text{с}$</t>
  </si>
  <si>
    <t>cтекло</t>
  </si>
  <si>
    <t>сталь</t>
  </si>
  <si>
    <t>стекло</t>
  </si>
  <si>
    <t>$\rho_0, \text{ г/см}^3$</t>
  </si>
  <si>
    <t>$\rho_\text{стали}, \text{ г/см}^3$</t>
  </si>
  <si>
    <t>$\rho_\text{стекла}, \text{ г/см}^3$</t>
  </si>
  <si>
    <t>$S, \cdot 10^{-2}\text{ мм}$</t>
  </si>
  <si>
    <t>$\tau, \cdot 10^{-3}\text{ с}$</t>
  </si>
  <si>
    <t>$\sigma_\eta, \text{Па} \cdot \text{с}$</t>
  </si>
  <si>
    <t>$\sigma_\tau, \cdot 10^{-3}\text{ с}$</t>
  </si>
  <si>
    <t>$\sigma_S, \cdot 10^{-2}\text{ мм}$</t>
  </si>
  <si>
    <t>$Re$</t>
  </si>
  <si>
    <t>T, K</t>
  </si>
  <si>
    <t>ln n</t>
  </si>
  <si>
    <t>1/T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</si>
</sst>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2" fontId="0" fillId="0" borderId="0" xfId="1" applyNumberFormat="1" applyFont="1"/>
    <xf numFmtId="2" fontId="0" fillId="0" borderId="0" xfId="0" applyNumberFormat="1" applyAlignment="1">
      <alignment horizontal="center"/>
    </xf>
    <xf numFmtId="1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7F50-C2C9-44DF-AE9A-A32DD73A3E2F}">
  <dimension ref="A1:U62"/>
  <sheetViews>
    <sheetView tabSelected="1" topLeftCell="A46" workbookViewId="0">
      <selection activeCell="A60" sqref="A60:G62"/>
    </sheetView>
  </sheetViews>
  <sheetFormatPr defaultRowHeight="14.5" x14ac:dyDescent="0.35"/>
  <cols>
    <col min="2" max="2" width="8.7265625" customWidth="1"/>
  </cols>
  <sheetData>
    <row r="1" spans="1:21" x14ac:dyDescent="0.35">
      <c r="A1" t="s">
        <v>0</v>
      </c>
      <c r="B1" s="1">
        <f>25+273</f>
        <v>298</v>
      </c>
      <c r="C1" s="1"/>
      <c r="D1" s="1"/>
      <c r="E1" s="1"/>
      <c r="I1" t="s">
        <v>0</v>
      </c>
      <c r="J1" s="1">
        <f>31+273</f>
        <v>304</v>
      </c>
      <c r="K1" s="1"/>
      <c r="L1" s="1"/>
      <c r="M1" s="1"/>
      <c r="Q1" t="s">
        <v>0</v>
      </c>
      <c r="R1" s="1">
        <f>35+273</f>
        <v>308</v>
      </c>
      <c r="S1" s="1"/>
      <c r="T1" s="1"/>
      <c r="U1" s="1"/>
    </row>
    <row r="2" spans="1:21" x14ac:dyDescent="0.35">
      <c r="A2" t="s">
        <v>5</v>
      </c>
      <c r="B2" t="s">
        <v>1</v>
      </c>
      <c r="C2" t="s">
        <v>2</v>
      </c>
      <c r="D2" t="s">
        <v>3</v>
      </c>
      <c r="E2" t="s">
        <v>4</v>
      </c>
      <c r="I2" t="s">
        <v>5</v>
      </c>
      <c r="J2" t="s">
        <v>1</v>
      </c>
      <c r="K2" t="s">
        <v>2</v>
      </c>
      <c r="L2" t="s">
        <v>3</v>
      </c>
      <c r="M2" t="s">
        <v>4</v>
      </c>
      <c r="Q2" t="s">
        <v>5</v>
      </c>
      <c r="R2" t="s">
        <v>1</v>
      </c>
      <c r="S2" t="s">
        <v>2</v>
      </c>
      <c r="T2" t="s">
        <v>3</v>
      </c>
      <c r="U2" t="s">
        <v>4</v>
      </c>
    </row>
    <row r="3" spans="1:21" x14ac:dyDescent="0.35">
      <c r="A3" t="s">
        <v>7</v>
      </c>
      <c r="B3">
        <v>2.06</v>
      </c>
      <c r="C3">
        <v>2.04</v>
      </c>
      <c r="D3" s="2">
        <v>0.8</v>
      </c>
      <c r="E3" s="2">
        <v>0.8</v>
      </c>
      <c r="I3" t="s">
        <v>7</v>
      </c>
      <c r="J3">
        <v>2.02</v>
      </c>
      <c r="K3" s="2">
        <v>2.1</v>
      </c>
      <c r="L3">
        <v>0.82</v>
      </c>
      <c r="M3">
        <v>0.94</v>
      </c>
      <c r="Q3" t="s">
        <v>7</v>
      </c>
      <c r="R3">
        <v>2.06</v>
      </c>
      <c r="S3">
        <v>2.08</v>
      </c>
      <c r="T3" s="2">
        <v>1.2</v>
      </c>
      <c r="U3" s="2">
        <v>0.8</v>
      </c>
    </row>
    <row r="4" spans="1:21" x14ac:dyDescent="0.35">
      <c r="A4" t="s">
        <v>6</v>
      </c>
      <c r="B4">
        <v>47.03</v>
      </c>
      <c r="C4">
        <v>47.22</v>
      </c>
      <c r="D4" s="2">
        <v>50.5</v>
      </c>
      <c r="E4" s="2">
        <v>50.9</v>
      </c>
      <c r="I4" t="s">
        <v>6</v>
      </c>
      <c r="J4">
        <v>29.79</v>
      </c>
      <c r="K4">
        <v>29.39</v>
      </c>
      <c r="L4" s="2">
        <v>31</v>
      </c>
      <c r="M4">
        <v>32.520000000000003</v>
      </c>
      <c r="Q4" t="s">
        <v>6</v>
      </c>
      <c r="R4">
        <v>23.81</v>
      </c>
      <c r="S4">
        <v>23.06</v>
      </c>
      <c r="T4">
        <v>26.36</v>
      </c>
      <c r="U4">
        <v>36.32</v>
      </c>
    </row>
    <row r="5" spans="1:21" x14ac:dyDescent="0.35">
      <c r="B5">
        <f>(2/9)*9.8*((B3*10^(-3)/2)^2)*(2520-1258)/(0.2/B4)</f>
        <v>0.68563400565022237</v>
      </c>
      <c r="C5">
        <f>(2/9)*9.8*((C3*10^(-3)/2)^2)*(2520-1258)/(0.2/C4)</f>
        <v>0.67510177123200021</v>
      </c>
      <c r="D5">
        <f>(2/9)*9.8*(D3*10^(-3)/2)^2*(7800-1258)/(0.2/D4)</f>
        <v>0.57557969777777784</v>
      </c>
      <c r="E5">
        <f>(2/9)*9.8*(E3*10^(-3)/2)^2*(7800-1258)/(0.2/E4)</f>
        <v>0.58013874488888884</v>
      </c>
      <c r="J5">
        <f>(2/9)*9.8*(J3*10^(-3)/2)^2*(2520-1256)/(0.2/J4)</f>
        <v>0.41825764803200011</v>
      </c>
      <c r="K5">
        <f>(2/9)*9.8*(K3*10^(-3)/2)^2*(2520-1256)/(0.2/K4)</f>
        <v>0.4459732648000001</v>
      </c>
      <c r="L5">
        <f>(2/9)*9.8*(L3*10^(-3)/2)^2*(7800-1256)/(0.2/L4)</f>
        <v>0.37132677368888894</v>
      </c>
      <c r="M5">
        <f>(2/9)*9.8*(M3*10^(-3)/2)^2*(7800-1256)/(0.2/M4)</f>
        <v>0.51188583249066677</v>
      </c>
      <c r="R5">
        <f>(2/9)*9.8*(R3*10^(-3)/2)^2*(2520-1254)/(0.2/R4)</f>
        <v>0.34821791977466676</v>
      </c>
      <c r="S5">
        <f>(2/9)*9.8*(S3*10^(-3)/2)^2*(2520-1254)/(0.2/S4)</f>
        <v>0.34382959325866674</v>
      </c>
      <c r="T5">
        <f>(2/9)*9.8*(L3*10^(-3)/2)^2*(7800-1254)/(0.2/L4)</f>
        <v>0.37144025986666673</v>
      </c>
      <c r="U5">
        <f>(2/9)*9.8*(L3*10^(-3)/2)^2*(7800-1254)/(0.2/L4)</f>
        <v>0.37144025986666673</v>
      </c>
    </row>
    <row r="6" spans="1:21" x14ac:dyDescent="0.35">
      <c r="B6">
        <f>(2/9)*((B3*10^(-3)/2)^2)*2520/B5</f>
        <v>8.6650311259952814E-4</v>
      </c>
      <c r="C6">
        <f t="shared" ref="C6:E6" si="0">(2/9)*((C3*10^(-3)/2)^2)*2520/C5</f>
        <v>8.6301654776695894E-4</v>
      </c>
      <c r="D6">
        <f>(2/9)*((D3*10^(-3)/2)^2)*7800/D5</f>
        <v>4.8183307090933443E-4</v>
      </c>
      <c r="E6">
        <f>(2/9)*((E3*10^(-3)/2)^2)*7800/E5</f>
        <v>4.7804656347586236E-4</v>
      </c>
      <c r="J6">
        <f>(2/9)*((J3*10^(-3)/2)^2)*2520/J5</f>
        <v>1.3657992930622856E-3</v>
      </c>
      <c r="K6">
        <f>(2/9)*((K3*10^(-3)/2)^2)*2520/K5</f>
        <v>1.3843879190311497E-3</v>
      </c>
      <c r="L6">
        <f>(2/9)*((L3*10^(-3)/2)^2)*7800/L5</f>
        <v>7.8468172504430429E-4</v>
      </c>
      <c r="M6">
        <f>(2/9)*((M3*10^(-3)/2)^2)*7800/M5</f>
        <v>7.4800533445182739E-4</v>
      </c>
      <c r="R6">
        <f>(2/9)*((R3*10^(-3)/2)^2)*2520/R5</f>
        <v>1.7061270149004602E-3</v>
      </c>
      <c r="S6">
        <f>(2/9)*((S3*10^(-3)/2)^2)*2520/S5</f>
        <v>1.7616168354197723E-3</v>
      </c>
      <c r="T6">
        <f>(2/9)*((T3*10^(-3)/2)^2)*7800/T5</f>
        <v>1.6799471339590186E-3</v>
      </c>
      <c r="U6">
        <f>(2/9)*((U3*10^(-3)/2)^2)*7800/U5</f>
        <v>7.4664317064845279E-4</v>
      </c>
    </row>
    <row r="7" spans="1:21" x14ac:dyDescent="0.35">
      <c r="B7">
        <f>((0.2)/B4)*B6*10^3</f>
        <v>3.6848952268744555E-3</v>
      </c>
      <c r="C7">
        <f>((0.2)/C4)*C6*10^3</f>
        <v>3.6553009223505252E-3</v>
      </c>
      <c r="D7">
        <f t="shared" ref="D7:E7" si="1">((0.2)/D4)*D6*10^3</f>
        <v>1.9082497857795424E-3</v>
      </c>
      <c r="E7">
        <f t="shared" si="1"/>
        <v>1.8783754949935655E-3</v>
      </c>
      <c r="J7">
        <f>((0.2)/J4)*J6*10^3</f>
        <v>9.1695152270042674E-3</v>
      </c>
      <c r="K7">
        <f t="shared" ref="K7:M7" si="2">((0.2)/K4)*K6*10^3</f>
        <v>9.4208092482555277E-3</v>
      </c>
      <c r="L7">
        <f t="shared" si="2"/>
        <v>5.0624627422213176E-3</v>
      </c>
      <c r="M7">
        <f t="shared" si="2"/>
        <v>4.6002788096668355E-3</v>
      </c>
      <c r="R7">
        <f>((0.2)/R4)*R6*10^3</f>
        <v>1.4331180301557835E-2</v>
      </c>
      <c r="S7">
        <f t="shared" ref="S7:U7" si="3">((0.2)/S4)*S6*10^3</f>
        <v>1.5278550177101237E-2</v>
      </c>
      <c r="T7">
        <f>((0.2)/T4)*T6*10^3</f>
        <v>1.2746184627913647E-2</v>
      </c>
      <c r="U7">
        <f t="shared" si="3"/>
        <v>4.1114712040113046E-3</v>
      </c>
    </row>
    <row r="8" spans="1:21" x14ac:dyDescent="0.35">
      <c r="B8">
        <f>B5*SQRT(2*(0.1/B3)^2+(0.2/B4)^2+(0.1/20)^2)</f>
        <v>4.7284217150932631E-2</v>
      </c>
      <c r="C8">
        <f>C5*SQRT(2*(0.1/C3)^2+(0.2/C4)^2+(0.1/20)^2)</f>
        <v>4.7009500382324564E-2</v>
      </c>
      <c r="D8">
        <f>D5*SQRT(2*(0.3/D3)^2+(0.2/D4)^2+(0.1/20)^2)</f>
        <v>0.3052693078107892</v>
      </c>
      <c r="E8">
        <f>E5*SQRT(2*(0.3/E3)^2+(0.2/E4)^2+(0.1/20)^2)</f>
        <v>0.30768714822986404</v>
      </c>
      <c r="J8">
        <f>J5*SQRT(2*(0.1/J3)^2+(0.2/J4)^2+(0.1/20)^2)</f>
        <v>2.9491030616601382E-2</v>
      </c>
      <c r="K8">
        <f t="shared" ref="K8:M8" si="4">K5*SQRT(2*(0.1/K3)^2+(0.2/K4)^2+(0.1/20)^2)</f>
        <v>3.0268596465100241E-2</v>
      </c>
      <c r="L8">
        <f>L5*SQRT(2*(0.3/L3)^2+(0.2/L4)^2+(0.1/20)^2)</f>
        <v>0.19214659825904551</v>
      </c>
      <c r="M8">
        <f>M5*SQRT(2*(0.3/M3)^2+(0.2/M4)^2+(0.1/20)^2)</f>
        <v>0.23107260739271096</v>
      </c>
      <c r="R8">
        <f>R5*SQRT(2*(0.1/R3)^2+(0.2/R4)^2+(0.1/20)^2)</f>
        <v>2.4146688817811755E-2</v>
      </c>
      <c r="S8">
        <f t="shared" ref="S8:U8" si="5">S5*SQRT(2*(0.1/S3)^2+(0.2/S4)^2+(0.1/20)^2)</f>
        <v>2.3629380700015558E-2</v>
      </c>
      <c r="T8">
        <f>T5*SQRT(2*(0.3/T3)^2+(0.2/T4)^2+(0.1/20)^2)</f>
        <v>0.13136732791404027</v>
      </c>
      <c r="U8">
        <f>U5*SQRT(2*(0.3/U3)^2+(0.2/U4)^2+(0.1/20)^2)</f>
        <v>0.19700531783284186</v>
      </c>
    </row>
    <row r="9" spans="1:21" x14ac:dyDescent="0.35">
      <c r="B9">
        <f>B6*SQRT(2*(0.1/B3)^2+(B8/B5)^2)*10^(3)</f>
        <v>8.431856143394327E-2</v>
      </c>
      <c r="C9">
        <f t="shared" ref="C9:E9" si="6">C6*SQRT(2*(0.1/C3)^2+(C8/C5)^2)*10^(3)</f>
        <v>8.4798247685588621E-2</v>
      </c>
      <c r="D9">
        <f>D6*SQRT(2*(0.3/D3)^2+(D8/D5)^2)*10^(3)</f>
        <v>0.36138787178014187</v>
      </c>
      <c r="E9">
        <f>E6*SQRT(2*(0.3/E3)^2+(E8/E5)^2)*10^(3)</f>
        <v>0.35854781025151289</v>
      </c>
      <c r="J9">
        <f>J6*SQRT(2*(0.1/J3)^2+(J8/J5)^2)*10^(3)</f>
        <v>0.13571010750194307</v>
      </c>
      <c r="K9">
        <f t="shared" ref="K9:M9" si="7">K6*SQRT(2*(0.1/K3)^2+(K8/K5)^2)*10^(3)</f>
        <v>0.13236372669684232</v>
      </c>
      <c r="L9">
        <f>L6*SQRT(2*(0.3/L3)^2+(L8/L5)^2)*10^(3)</f>
        <v>0.57419308204085451</v>
      </c>
      <c r="M9">
        <f>M6*SQRT(2*(0.3/M3)^2+(M8/M5)^2)*10^(3)</f>
        <v>0.47748702256357539</v>
      </c>
      <c r="R9">
        <f>R6*SQRT(2*(0.1/R3)^2+(R8/R5)^2)*10^(3)</f>
        <v>0.16648090059568299</v>
      </c>
      <c r="S9">
        <f t="shared" ref="S9:U9" si="8">S6*SQRT(2*(0.1/S3)^2+(S8/S5)^2)*10^(3)</f>
        <v>0.17030182844105224</v>
      </c>
      <c r="T9">
        <f>T6*SQRT(2*(0.3/T3)^2+(T8/T5)^2)*10^(3)</f>
        <v>0.84011226274002893</v>
      </c>
      <c r="U9">
        <f>U6*SQRT(2*(0.3/U3)^2+(U8/U5)^2)*10^(3)</f>
        <v>0.5600099148687494</v>
      </c>
    </row>
    <row r="10" spans="1:21" x14ac:dyDescent="0.35">
      <c r="B10">
        <f>B7*SQRT((0.1/20)^2+(B9*10^(-3)/B6)^2+(0.2/B4)^2)*10^2</f>
        <v>3.593883507010847E-2</v>
      </c>
      <c r="C10">
        <f t="shared" ref="C10" si="9">C7*SQRT((0.1/20)^2+(C9*10^(-3)/C6)^2+(0.2/C4)^2)*10^2</f>
        <v>3.5996023108715774E-2</v>
      </c>
      <c r="D10">
        <f>D7*SQRT((0.1/20)^2+(D9*10^(-3)/D6)^2+(0.2/D4)^2)*10^2</f>
        <v>0.14312908511117234</v>
      </c>
      <c r="E10">
        <f>E7*SQRT((0.1/20)^2+(E9*10^(-3)/E6)^2+(0.2/E4)^2)*10^2</f>
        <v>0.14088828975752934</v>
      </c>
      <c r="J10">
        <f>J7*SQRT((0.1/20)^2+(J9*10^(-3)/J6)^2+(0.2/J4)^2)*10^2</f>
        <v>9.143393967450443E-2</v>
      </c>
      <c r="K10">
        <f t="shared" ref="K10:M10" si="10">K7*SQRT((0.1/20)^2+(K9*10^(-3)/K6)^2+(0.2/K4)^2)*10^2</f>
        <v>9.0424614765404865E-2</v>
      </c>
      <c r="L10">
        <f t="shared" si="10"/>
        <v>0.37047019488448057</v>
      </c>
      <c r="M10">
        <f t="shared" si="10"/>
        <v>0.29368009151900215</v>
      </c>
      <c r="R10">
        <f>R7*SQRT((0.1/20)^2+(R9*10^(-3)/R6)^2+(0.2/R4)^2)*10^2</f>
        <v>0.14054112522313819</v>
      </c>
      <c r="S10">
        <f t="shared" ref="S10:U10" si="11">S7*SQRT((0.1/20)^2+(S9*10^(-3)/S6)^2+(0.2/S4)^2)*10^2</f>
        <v>0.14849308451702273</v>
      </c>
      <c r="T10">
        <f t="shared" si="11"/>
        <v>0.6375196780021064</v>
      </c>
      <c r="U10">
        <f t="shared" si="11"/>
        <v>0.3083906665182703</v>
      </c>
    </row>
    <row r="11" spans="1:21" x14ac:dyDescent="0.35">
      <c r="A11" t="s">
        <v>0</v>
      </c>
      <c r="B11" s="1">
        <f>40+273</f>
        <v>313</v>
      </c>
      <c r="C11" s="1"/>
      <c r="D11" s="1"/>
      <c r="E11" s="1"/>
      <c r="I11" t="s">
        <v>0</v>
      </c>
      <c r="J11" s="1">
        <f>45+273</f>
        <v>318</v>
      </c>
      <c r="K11" s="1"/>
      <c r="L11" s="1"/>
      <c r="M11" s="1"/>
      <c r="Q11" t="s">
        <v>0</v>
      </c>
      <c r="R11" s="1">
        <f>50+273</f>
        <v>323</v>
      </c>
      <c r="S11" s="1"/>
      <c r="T11" s="1"/>
      <c r="U11" s="1"/>
    </row>
    <row r="12" spans="1:21" x14ac:dyDescent="0.35">
      <c r="A12" t="s">
        <v>5</v>
      </c>
      <c r="B12" t="s">
        <v>1</v>
      </c>
      <c r="C12" t="s">
        <v>2</v>
      </c>
      <c r="D12" t="s">
        <v>3</v>
      </c>
      <c r="E12" t="s">
        <v>4</v>
      </c>
      <c r="I12" t="s">
        <v>5</v>
      </c>
      <c r="J12" t="s">
        <v>1</v>
      </c>
      <c r="K12" t="s">
        <v>2</v>
      </c>
      <c r="L12" t="s">
        <v>3</v>
      </c>
      <c r="M12" t="s">
        <v>4</v>
      </c>
      <c r="Q12" t="s">
        <v>5</v>
      </c>
      <c r="R12" t="s">
        <v>1</v>
      </c>
      <c r="S12" t="s">
        <v>2</v>
      </c>
      <c r="T12" t="s">
        <v>3</v>
      </c>
      <c r="U12" t="s">
        <v>4</v>
      </c>
    </row>
    <row r="13" spans="1:21" x14ac:dyDescent="0.35">
      <c r="A13" t="s">
        <v>7</v>
      </c>
      <c r="B13">
        <v>2.12</v>
      </c>
      <c r="C13" s="2">
        <v>2.1</v>
      </c>
      <c r="D13">
        <v>0.72</v>
      </c>
      <c r="E13">
        <v>0.84</v>
      </c>
      <c r="I13" t="s">
        <v>7</v>
      </c>
      <c r="J13">
        <v>2.08</v>
      </c>
      <c r="K13" s="2">
        <v>2.1</v>
      </c>
      <c r="L13">
        <v>0.68</v>
      </c>
      <c r="M13">
        <v>0.82</v>
      </c>
      <c r="Q13" t="s">
        <v>7</v>
      </c>
      <c r="R13">
        <v>2.06</v>
      </c>
      <c r="S13">
        <v>2.06</v>
      </c>
      <c r="T13">
        <v>0.76</v>
      </c>
      <c r="U13" s="2">
        <v>0.7</v>
      </c>
    </row>
    <row r="14" spans="1:21" x14ac:dyDescent="0.35">
      <c r="A14" t="s">
        <v>6</v>
      </c>
      <c r="B14">
        <v>17.39</v>
      </c>
      <c r="C14">
        <v>16.32</v>
      </c>
      <c r="D14">
        <v>29.88</v>
      </c>
      <c r="E14">
        <v>17.88</v>
      </c>
      <c r="I14" t="s">
        <v>6</v>
      </c>
      <c r="J14">
        <v>12.08</v>
      </c>
      <c r="K14">
        <v>12.04</v>
      </c>
      <c r="L14">
        <v>24.74</v>
      </c>
      <c r="M14">
        <v>18.39</v>
      </c>
      <c r="Q14" t="s">
        <v>6</v>
      </c>
      <c r="R14" s="4">
        <v>9</v>
      </c>
      <c r="S14">
        <v>8.8800000000000008</v>
      </c>
      <c r="T14">
        <v>12.78</v>
      </c>
      <c r="U14">
        <v>15.52</v>
      </c>
    </row>
    <row r="15" spans="1:21" x14ac:dyDescent="0.35">
      <c r="B15">
        <f>(2/9)*9.8*(B13*10^(-3)/2)^2*(2520-1252)/(0.2/B14)</f>
        <v>0.269782722072889</v>
      </c>
      <c r="C15">
        <f>(2/9)*9.8*(C13*10^(-3)/2)^2*(2520-1252)/(0.2/C14)</f>
        <v>0.2484285888000001</v>
      </c>
      <c r="D15">
        <f>(2/9)*9.8*(D13*10^(-3)/2)^2*(7800-1252)/(0.2/D14)</f>
        <v>0.27610726348799991</v>
      </c>
      <c r="E15">
        <f>(2/9)*9.8*(E13*10^(-3)/2)^2*(7800-1252)/(0.2/E14)</f>
        <v>0.22488388339200002</v>
      </c>
      <c r="J15">
        <f>(2/9)*9.8*(J13*10^(-3)/2)^2*(2520-1250)/(0.2/J14)</f>
        <v>0.18068450076444448</v>
      </c>
      <c r="K15">
        <f>(2/9)*9.8*(K13*10^(-3)/2)^2*(2520-1250)/(0.2/K14)</f>
        <v>0.18356605400000006</v>
      </c>
      <c r="L15">
        <f>(2/9)*9.8*(L13*10^(-3)/2)^2*(7800-1250)/(0.2/L14)</f>
        <v>0.20397756151111113</v>
      </c>
      <c r="M15">
        <f>(2/9)*9.8*(M13*10^(-3)/2)^2*(7800-1250)/(0.2/M14)</f>
        <v>0.22048259356666672</v>
      </c>
      <c r="R15">
        <f>(2/9)*9.8*(R13*10^(-3)/2)^2*(2520-1248)/(0.2/R14)</f>
        <v>0.13224755040000005</v>
      </c>
      <c r="S15">
        <f>(2/9)*9.8*(S13*10^(-3)/2)^2*(2520-1248)/(0.2/S14)</f>
        <v>0.13048424972800005</v>
      </c>
      <c r="T15">
        <f>(2/9)*9.8*(T13*10^(-3)/2)^2*(7800-1248)/(0.2/T14)</f>
        <v>0.13166050060800003</v>
      </c>
      <c r="U15">
        <f>(2/9)*9.8*(U13*10^(-3)/2)^2*(7800-1248)/(0.2/U14)</f>
        <v>0.13563921279999999</v>
      </c>
    </row>
    <row r="16" spans="1:21" x14ac:dyDescent="0.35">
      <c r="B16">
        <f>(2/9)*((B13*10^(-3)/2)^2)*2520/B15</f>
        <v>2.3323065137952044E-3</v>
      </c>
      <c r="C16">
        <f>(2/9)*((C13*10^(-3)/2)^2)*2520/C15</f>
        <v>2.4852212178246686E-3</v>
      </c>
      <c r="D16">
        <f>(2/9)*((D13*10^(-3)/2)^2)*7800/D15</f>
        <v>8.1359685059412853E-4</v>
      </c>
      <c r="E16">
        <f>(2/9)*((E13*10^(-3)/2)^2)*7800/E15</f>
        <v>1.3596350053552886E-3</v>
      </c>
      <c r="J16">
        <f>(2/9)*((J13*10^(-3)/2)^2)*2520/J15</f>
        <v>3.3522299778752812E-3</v>
      </c>
      <c r="K16">
        <f>(2/9)*((K13*10^(-3)/2)^2)*2520/K15</f>
        <v>3.3633669545459631E-3</v>
      </c>
      <c r="L16">
        <f>(2/9)*((L13*10^(-3)/2)^2)*7800/L15</f>
        <v>9.8233027127554197E-4</v>
      </c>
      <c r="M16">
        <f>(2/9)*((M13*10^(-3)/2)^2)*7800/M15</f>
        <v>1.3215253350384397E-3</v>
      </c>
      <c r="R16">
        <f>(2/9)*((R13*10^(-3)/2)^2)*2520/R15</f>
        <v>4.49236298292902E-3</v>
      </c>
      <c r="S16">
        <f>(2/9)*((S13*10^(-3)/2)^2)*2520/S15</f>
        <v>4.5530705908064396E-3</v>
      </c>
      <c r="T16">
        <f>(2/9)*((T13*10^(-3)/2)^2)*7800/T15</f>
        <v>1.9010510531062409E-3</v>
      </c>
      <c r="U16">
        <f>(2/9)*((U13*10^(-3)/2)^2)*7800/U15</f>
        <v>1.5654273491428972E-3</v>
      </c>
    </row>
    <row r="17" spans="1:21" x14ac:dyDescent="0.35">
      <c r="B17">
        <f>((0.2)/B14)*B16*10^3</f>
        <v>2.6823536673895393E-2</v>
      </c>
      <c r="C17">
        <f t="shared" ref="C17:D17" si="12">((0.2)/C14)*C16*10^3</f>
        <v>3.0456142375302312E-2</v>
      </c>
      <c r="D17">
        <f t="shared" si="12"/>
        <v>5.4457620521695359E-3</v>
      </c>
      <c r="E17">
        <f>((0.2)/E14)*E16*10^3</f>
        <v>1.5208445250059157E-2</v>
      </c>
      <c r="J17">
        <f>((0.2)/J14)*J16*10^3</f>
        <v>5.5500496322438433E-2</v>
      </c>
      <c r="K17">
        <f t="shared" ref="K17:M17" si="13">((0.2)/K14)*K16*10^3</f>
        <v>5.5869882965879789E-2</v>
      </c>
      <c r="L17">
        <f t="shared" si="13"/>
        <v>7.9412309723164258E-3</v>
      </c>
      <c r="M17">
        <f t="shared" si="13"/>
        <v>1.4372216803028167E-2</v>
      </c>
      <c r="R17">
        <f>((0.2)/R14)*R16*10^3</f>
        <v>9.9830288509533779E-2</v>
      </c>
      <c r="S17">
        <f t="shared" ref="S17:U17" si="14">((0.2)/S14)*S16*10^3</f>
        <v>0.10254663492807296</v>
      </c>
      <c r="T17">
        <f t="shared" si="14"/>
        <v>2.9750407716842581E-2</v>
      </c>
      <c r="U17">
        <f t="shared" si="14"/>
        <v>2.0173032849779601E-2</v>
      </c>
    </row>
    <row r="18" spans="1:21" x14ac:dyDescent="0.35">
      <c r="B18">
        <f>B15*SQRT(2*(0.1/B13)^2+(0.2/B14)^2+(0.1/20)^2)</f>
        <v>1.8311972093558521E-2</v>
      </c>
      <c r="C18">
        <f t="shared" ref="C18:E18" si="15">C15*SQRT(2*(0.1/C13)^2+(0.2/C14)^2+(0.1/20)^2)</f>
        <v>1.7050112158029485E-2</v>
      </c>
      <c r="D18">
        <f>D15*SQRT(2*(0.3/D13)^2+(0.2/D14)^2+(0.1/20)^2)</f>
        <v>0.16271411804781782</v>
      </c>
      <c r="E18">
        <f>E15*SQRT(2*(0.3/E13)^2+(0.2/E14)^2+(0.1/20)^2)</f>
        <v>0.11361692875745683</v>
      </c>
      <c r="J18">
        <f>J15*SQRT(2*(0.1/J13)^2+(0.2/J14)^2+(0.1/20)^2)</f>
        <v>1.2676137265905951E-2</v>
      </c>
      <c r="K18">
        <f t="shared" ref="K18:M18" si="16">K15*SQRT(2*(0.1/K13)^2+(0.2/K14)^2+(0.1/20)^2)</f>
        <v>1.2765540988246544E-2</v>
      </c>
      <c r="L18">
        <f>L15*SQRT(2*(0.3/L13)^2+(0.2/L14)^2+(0.1/20)^2)</f>
        <v>0.12727998942670299</v>
      </c>
      <c r="M18">
        <f>M15*SQRT(2*(0.3/M13)^2+(0.2/M14)^2+(0.1/20)^2)</f>
        <v>0.11410716056240461</v>
      </c>
      <c r="R18">
        <f>R15*SQRT(2*(0.1/R13)^2+(0.2/R14)^2+(0.1/20)^2)</f>
        <v>9.5656278686807126E-3</v>
      </c>
      <c r="S18">
        <f t="shared" ref="S18:U18" si="17">S15*SQRT(2*(0.1/S13)^2+(0.2/S14)^2+(0.1/20)^2)</f>
        <v>9.4501983202102333E-3</v>
      </c>
      <c r="T18">
        <f>T15*SQRT(2*(0.3/T13)^2+(0.2/T14)^2+(0.1/20)^2)</f>
        <v>7.3530268420707562E-2</v>
      </c>
      <c r="U18">
        <f>U15*SQRT(2*(0.3/U13)^2+(0.2/U14)^2+(0.1/20)^2)</f>
        <v>8.2231154256764777E-2</v>
      </c>
    </row>
    <row r="19" spans="1:21" x14ac:dyDescent="0.35">
      <c r="B19">
        <f>B16*SQRT(2*(0.1/B13)^2+(B18/B15)^2)*10^(3)</f>
        <v>0.22196445100928122</v>
      </c>
      <c r="C19">
        <f t="shared" ref="C19:E19" si="18">C16*SQRT(2*(0.1/C13)^2+(C18/C15)^2)*10^(3)</f>
        <v>0.23896248373958245</v>
      </c>
      <c r="D19">
        <f>D16*SQRT(2*(0.3/D13)^2+(D18/D15)^2)*10^(3)</f>
        <v>0.6780314491219892</v>
      </c>
      <c r="E19">
        <f>E16*SQRT(2*(0.3/E13)^2+(E18/E15)^2)*10^(3)</f>
        <v>0.97131072585857003</v>
      </c>
      <c r="J19">
        <f>J16*SQRT(2*(0.1/J13)^2+(J18/J15)^2)*10^(3)</f>
        <v>0.32750228211903704</v>
      </c>
      <c r="K19">
        <f t="shared" ref="K19:M19" si="19">K16*SQRT(2*(0.1/K13)^2+(K18/K15)^2)*10^(3)</f>
        <v>0.3255911185442012</v>
      </c>
      <c r="L19">
        <f>L16*SQRT(2*(0.3/L13)^2+(L18/L15)^2)*10^(3)</f>
        <v>0.8668122975373882</v>
      </c>
      <c r="M19">
        <f>M16*SQRT(2*(0.3/M13)^2+(M18/M15)^2)*10^(3)</f>
        <v>0.96709913295708561</v>
      </c>
      <c r="R19">
        <f>R16*SQRT(2*(0.1/R13)^2+(R18/R15)^2)*10^(3)</f>
        <v>0.44799438065475999</v>
      </c>
      <c r="S19">
        <f t="shared" ref="S19:U19" si="20">S16*SQRT(2*(0.1/S13)^2+(S18/S15)^2)*10^(3)</f>
        <v>0.45435499808828922</v>
      </c>
      <c r="T19">
        <f>T16*SQRT(2*(0.3/T13)^2+(T18/T15)^2)*10^(3)</f>
        <v>1.5011547093734345</v>
      </c>
      <c r="U19">
        <f>U16*SQRT(2*(0.3/U13)^2+(U18/U15)^2)*10^(3)</f>
        <v>1.3419693328628961</v>
      </c>
    </row>
    <row r="20" spans="1:21" x14ac:dyDescent="0.35">
      <c r="B20">
        <f>B17*SQRT((0.1/20)^2+(B16*10^(-3)/B19)^2+(0.2/B14)^2)*10^2</f>
        <v>3.3638677514261514E-2</v>
      </c>
      <c r="C20">
        <f t="shared" ref="C20:E20" si="21">C17*SQRT((0.1/20)^2+(C16*10^(-3)/C19)^2+(0.2/C14)^2)*10^2</f>
        <v>4.0310718519245052E-2</v>
      </c>
      <c r="D20">
        <f t="shared" si="21"/>
        <v>4.5498077836300761E-3</v>
      </c>
      <c r="E20">
        <f t="shared" si="21"/>
        <v>1.863388283260009E-2</v>
      </c>
      <c r="J20">
        <f>J17*SQRT((0.1/20)^2+(J16*10^(-3)/J19)^2+(0.2/J14)^2)*10^2</f>
        <v>9.5987123910289615E-2</v>
      </c>
      <c r="K20">
        <f t="shared" ref="K20:M20" si="22">K17*SQRT((0.1/20)^2+(K16*10^(-3)/K19)^2+(0.2/K14)^2)*10^2</f>
        <v>9.6920198099890761E-2</v>
      </c>
      <c r="L20">
        <f t="shared" si="22"/>
        <v>7.5484422577695087E-3</v>
      </c>
      <c r="M20">
        <f t="shared" si="22"/>
        <v>1.7203247888990067E-2</v>
      </c>
      <c r="R20">
        <f>R17*SQRT((0.1/20)^2+(R19*10^(-3)/R16)^2+(0.2/R14)^2)*10^2</f>
        <v>1.0211820425887208</v>
      </c>
      <c r="S20">
        <f t="shared" ref="S20:U20" si="23">S17*SQRT((0.1/20)^2+(S19*10^(-3)/S16)^2+(0.2/S14)^2)*10^2</f>
        <v>1.050314210096106</v>
      </c>
      <c r="T20">
        <f t="shared" si="23"/>
        <v>2.3497332858553146</v>
      </c>
      <c r="U20">
        <f t="shared" si="23"/>
        <v>1.7295667169509614</v>
      </c>
    </row>
    <row r="21" spans="1:21" x14ac:dyDescent="0.35">
      <c r="A21" t="s">
        <v>9</v>
      </c>
      <c r="B21">
        <v>298</v>
      </c>
      <c r="C21">
        <v>304</v>
      </c>
      <c r="D21">
        <v>308</v>
      </c>
      <c r="E21">
        <v>313</v>
      </c>
      <c r="F21">
        <v>318</v>
      </c>
      <c r="G21">
        <v>323</v>
      </c>
    </row>
    <row r="22" spans="1:21" x14ac:dyDescent="0.35">
      <c r="A22" t="s">
        <v>15</v>
      </c>
      <c r="B22">
        <v>1.258</v>
      </c>
      <c r="C22">
        <v>1.256</v>
      </c>
      <c r="D22">
        <v>1.254</v>
      </c>
      <c r="E22">
        <v>1.252</v>
      </c>
      <c r="F22" s="3">
        <v>1.25</v>
      </c>
      <c r="G22">
        <v>1.248</v>
      </c>
    </row>
    <row r="23" spans="1:21" x14ac:dyDescent="0.35">
      <c r="A23" t="s">
        <v>8</v>
      </c>
      <c r="B23" s="1" t="s">
        <v>10</v>
      </c>
      <c r="C23" s="1"/>
      <c r="D23" s="1"/>
      <c r="E23" s="1"/>
      <c r="F23" s="1"/>
      <c r="G23" s="1"/>
    </row>
    <row r="24" spans="1:21" x14ac:dyDescent="0.35">
      <c r="A24" t="s">
        <v>17</v>
      </c>
      <c r="B24" s="1">
        <v>2.52</v>
      </c>
      <c r="C24" s="1"/>
      <c r="D24" s="1"/>
      <c r="E24" s="1"/>
      <c r="F24" s="1"/>
      <c r="G24" s="1"/>
    </row>
    <row r="25" spans="1:21" x14ac:dyDescent="0.35">
      <c r="A25" t="s">
        <v>16</v>
      </c>
      <c r="B25" s="5">
        <v>7.8</v>
      </c>
      <c r="C25" s="5"/>
      <c r="D25" s="5"/>
      <c r="E25" s="5"/>
      <c r="F25" s="5"/>
      <c r="G25" s="5"/>
    </row>
    <row r="29" spans="1:21" x14ac:dyDescent="0.35">
      <c r="A29" t="s">
        <v>9</v>
      </c>
      <c r="B29" s="1">
        <v>298</v>
      </c>
      <c r="C29" s="1"/>
      <c r="D29" s="1">
        <v>304</v>
      </c>
      <c r="E29" s="1"/>
      <c r="F29" s="1">
        <v>308</v>
      </c>
      <c r="G29" s="1"/>
      <c r="H29" s="1">
        <v>313</v>
      </c>
      <c r="I29" s="1"/>
      <c r="J29" s="1">
        <v>318</v>
      </c>
      <c r="K29" s="1"/>
      <c r="L29" s="1">
        <v>323</v>
      </c>
      <c r="M29" s="1"/>
    </row>
    <row r="30" spans="1:21" x14ac:dyDescent="0.35">
      <c r="A30" t="s">
        <v>11</v>
      </c>
      <c r="B30" s="5">
        <f>AVERAGE(B5:E5)</f>
        <v>0.62911355488722231</v>
      </c>
      <c r="C30" s="5"/>
      <c r="D30" s="5">
        <f>AVERAGE(J5:M5)</f>
        <v>0.43686087975288901</v>
      </c>
      <c r="E30" s="5"/>
      <c r="F30" s="5">
        <f>AVERAGE(R5:U5)</f>
        <v>0.35873200819166673</v>
      </c>
      <c r="G30" s="5"/>
      <c r="H30" s="5">
        <f>AVERAGE(B15:E15)</f>
        <v>0.25480061443822222</v>
      </c>
      <c r="I30" s="5"/>
      <c r="J30" s="5">
        <f>AVERAGE(J15:M15)</f>
        <v>0.19717767746055559</v>
      </c>
      <c r="K30" s="5"/>
      <c r="L30" s="5">
        <f>AVERAGE(R15:U15)</f>
        <v>0.13250787838400005</v>
      </c>
      <c r="M30" s="5"/>
    </row>
    <row r="31" spans="1:21" x14ac:dyDescent="0.35">
      <c r="A31" t="s">
        <v>20</v>
      </c>
      <c r="B31" s="5">
        <f>AVERAGE(B8:E8)</f>
        <v>0.17681254339347763</v>
      </c>
      <c r="C31" s="5"/>
      <c r="D31" s="5">
        <f>AVERAGE(J8:M8)</f>
        <v>0.12074470818336452</v>
      </c>
      <c r="E31" s="5"/>
      <c r="F31" s="5">
        <f>AVERAGE(R8:U8)</f>
        <v>9.4037178816177361E-2</v>
      </c>
      <c r="G31" s="5"/>
      <c r="H31" s="5">
        <f>AVERAGE(B18:E18)</f>
        <v>7.7923282764215659E-2</v>
      </c>
      <c r="I31" s="5"/>
      <c r="J31" s="5">
        <f>AVERAGE(J18:M18)</f>
        <v>6.6707207060815024E-2</v>
      </c>
      <c r="K31" s="5"/>
      <c r="L31" s="5">
        <f>AVERAGE(R18:U18)</f>
        <v>4.3694312216590821E-2</v>
      </c>
      <c r="M31" s="5"/>
    </row>
    <row r="32" spans="1:21" x14ac:dyDescent="0.35">
      <c r="B32" t="s">
        <v>12</v>
      </c>
      <c r="C32" t="s">
        <v>13</v>
      </c>
      <c r="D32" t="s">
        <v>14</v>
      </c>
      <c r="E32" t="s">
        <v>13</v>
      </c>
      <c r="F32" t="s">
        <v>14</v>
      </c>
      <c r="G32" t="s">
        <v>13</v>
      </c>
      <c r="H32" t="s">
        <v>14</v>
      </c>
      <c r="I32" t="s">
        <v>13</v>
      </c>
      <c r="J32" t="s">
        <v>14</v>
      </c>
      <c r="K32" t="s">
        <v>13</v>
      </c>
      <c r="L32" t="s">
        <v>14</v>
      </c>
      <c r="M32" t="s">
        <v>13</v>
      </c>
    </row>
    <row r="33" spans="1:13" x14ac:dyDescent="0.35">
      <c r="A33" t="s">
        <v>19</v>
      </c>
      <c r="B33" s="2">
        <f>AVERAGE(B6:C6)*10^3</f>
        <v>0.86475983018324354</v>
      </c>
      <c r="C33" s="2">
        <f>AVERAGE(D6:E6)*10^3</f>
        <v>0.47993981719259837</v>
      </c>
      <c r="D33" s="2">
        <f>AVERAGE(J6:K6)*10^3</f>
        <v>1.3750936060467176</v>
      </c>
      <c r="E33" s="2">
        <f>AVERAGE(L6:M6)*10^3</f>
        <v>0.76634352974806574</v>
      </c>
      <c r="F33" s="2">
        <f>AVERAGE(R6:S6)*10^3</f>
        <v>1.7338719251601162</v>
      </c>
      <c r="G33" s="2">
        <f>AVERAGE(T6:U6)*10^3</f>
        <v>1.2132951523037356</v>
      </c>
      <c r="H33" s="2">
        <f>AVERAGE(B16:C16)*10^3</f>
        <v>2.4087638658099362</v>
      </c>
      <c r="I33" s="2">
        <f>AVERAGE(D16:E16)*10^3</f>
        <v>1.0866159279747085</v>
      </c>
      <c r="J33" s="2">
        <f>AVERAGE(J16:K16)*10^3</f>
        <v>3.3577984662106219</v>
      </c>
      <c r="K33" s="2">
        <f>AVERAGE(L16:M16)*10^3</f>
        <v>1.1519278031569908</v>
      </c>
      <c r="L33" s="2">
        <f>AVERAGE(R16:S16)*10^3</f>
        <v>4.52271678686773</v>
      </c>
      <c r="M33" s="2">
        <f>AVERAGE(T16:U16)*10^3</f>
        <v>1.733239201124569</v>
      </c>
    </row>
    <row r="34" spans="1:13" x14ac:dyDescent="0.35">
      <c r="A34" t="s">
        <v>21</v>
      </c>
      <c r="B34" s="2">
        <f>AVERAGE(B9:C9)</f>
        <v>8.4558404559765946E-2</v>
      </c>
      <c r="C34" s="2">
        <f>AVERAGE(D9:E9)/3</f>
        <v>0.11998928033860912</v>
      </c>
      <c r="D34" s="2">
        <f>AVERAGE(J9:K9)</f>
        <v>0.13403691709939269</v>
      </c>
      <c r="E34" s="2">
        <f>AVERAGE(L9:M9)/5</f>
        <v>0.105168010460443</v>
      </c>
      <c r="F34" s="2">
        <f>AVERAGE(R9:S9)</f>
        <v>0.16839136451836761</v>
      </c>
      <c r="G34" s="2">
        <f>AVERAGE(T9:U9)/5</f>
        <v>0.14001221776087786</v>
      </c>
      <c r="H34" s="2">
        <f>AVERAGE(B19:C19)</f>
        <v>0.23046346737443185</v>
      </c>
      <c r="I34" s="2">
        <f>AVERAGE(D19:E19)/5</f>
        <v>0.16493421749805592</v>
      </c>
      <c r="J34" s="2">
        <f>AVERAGE(J19:K19)/1.5</f>
        <v>0.21769780022107943</v>
      </c>
      <c r="K34" s="2">
        <f>AVERAGE(L19:M19)/7</f>
        <v>0.13099367360674813</v>
      </c>
      <c r="L34" s="2">
        <f>AVERAGE(R19:S19)/2</f>
        <v>0.2255873446857623</v>
      </c>
      <c r="M34" s="2">
        <f>AVERAGE(T19:U19)/6</f>
        <v>0.2369270035196942</v>
      </c>
    </row>
    <row r="35" spans="1:13" x14ac:dyDescent="0.35">
      <c r="A35" t="s">
        <v>18</v>
      </c>
      <c r="B35" s="2">
        <f>AVERAGE(B7:C7)*10^2</f>
        <v>0.36700980746124906</v>
      </c>
      <c r="C35" s="2">
        <f>AVERAGE(D7:E7)*10^2</f>
        <v>0.18933126403865541</v>
      </c>
      <c r="D35" s="2">
        <f>AVERAGE(J7:K7)*10^2</f>
        <v>0.9295162237629897</v>
      </c>
      <c r="E35" s="2">
        <f>AVERAGE(L7:M7)*10^2</f>
        <v>0.4831370775944076</v>
      </c>
      <c r="F35" s="2">
        <f>AVERAGE(R7:S7)*10^2</f>
        <v>1.4804865239329537</v>
      </c>
      <c r="G35" s="2">
        <f>AVERAGE(T7:U7)*10^2</f>
        <v>0.84288279159624757</v>
      </c>
      <c r="H35" s="2">
        <f>AVERAGE(B17:C17)*10^2</f>
        <v>2.8639839524598849</v>
      </c>
      <c r="I35" s="2">
        <f>AVERAGE(D17:E17)*10^2</f>
        <v>1.0327103651114347</v>
      </c>
      <c r="J35" s="2">
        <f>AVERAGE(J17:K17)*10^2</f>
        <v>5.5685189644159108</v>
      </c>
      <c r="K35" s="2">
        <f>AVERAGE(L17:M17)*10^2</f>
        <v>1.1156723887672297</v>
      </c>
      <c r="L35" s="2">
        <f>AVERAGE(R17:S17)*10^2</f>
        <v>10.118846171880337</v>
      </c>
      <c r="M35" s="2">
        <f>AVERAGE(T17:U17)*10^2</f>
        <v>2.4961720283311091</v>
      </c>
    </row>
    <row r="36" spans="1:13" x14ac:dyDescent="0.35">
      <c r="A36" t="s">
        <v>22</v>
      </c>
      <c r="B36" s="2">
        <f>AVERAGE(B10:C10)</f>
        <v>3.5967429089412126E-2</v>
      </c>
      <c r="C36" s="2">
        <f>AVERAGE(D10:E10)</f>
        <v>0.14200868743435086</v>
      </c>
      <c r="D36" s="2">
        <f>AVERAGE(J10:K10)</f>
        <v>9.0929277219954641E-2</v>
      </c>
      <c r="E36" s="2">
        <f>AVERAGE(L10:M10)</f>
        <v>0.33207514320174136</v>
      </c>
      <c r="F36" s="2">
        <f>AVERAGE(R10:S10)</f>
        <v>0.14451710487008046</v>
      </c>
      <c r="G36" s="2">
        <f>AVERAGE(T10:U10)</f>
        <v>0.47295517226018835</v>
      </c>
      <c r="H36" s="2">
        <f>AVERAGE(B20:C20)</f>
        <v>3.697469801675328E-2</v>
      </c>
      <c r="I36" s="2">
        <f>AVERAGE(D20:E20)</f>
        <v>1.1591845308115084E-2</v>
      </c>
      <c r="J36" s="2">
        <f>AVERAGE(J20:K20)</f>
        <v>9.6453661005090188E-2</v>
      </c>
      <c r="K36" s="2">
        <f>AVERAGE(L20:M20)</f>
        <v>1.2375845073379788E-2</v>
      </c>
      <c r="L36" s="2">
        <f>AVERAGE(R20:S20)</f>
        <v>1.0357481263424133</v>
      </c>
      <c r="M36" s="2">
        <f>AVERAGE(T20:U20)</f>
        <v>2.039650001403138</v>
      </c>
    </row>
    <row r="38" spans="1:13" x14ac:dyDescent="0.35">
      <c r="A38" t="s">
        <v>9</v>
      </c>
      <c r="B38" s="1">
        <v>318</v>
      </c>
      <c r="C38" s="1"/>
      <c r="D38" s="1">
        <v>323</v>
      </c>
      <c r="E38" s="1"/>
    </row>
    <row r="39" spans="1:13" x14ac:dyDescent="0.35">
      <c r="A39" t="s">
        <v>11</v>
      </c>
      <c r="B39" s="5">
        <v>0.19717767746055559</v>
      </c>
      <c r="C39" s="5"/>
      <c r="D39" s="5">
        <v>0.13250787838400005</v>
      </c>
      <c r="E39" s="5"/>
    </row>
    <row r="40" spans="1:13" x14ac:dyDescent="0.35">
      <c r="A40" t="s">
        <v>20</v>
      </c>
      <c r="B40" s="5">
        <v>6.6707207060815024E-2</v>
      </c>
      <c r="C40" s="5"/>
      <c r="D40" s="5">
        <v>4.3694312216590821E-2</v>
      </c>
      <c r="E40" s="5"/>
    </row>
    <row r="41" spans="1:13" x14ac:dyDescent="0.35">
      <c r="B41" t="s">
        <v>14</v>
      </c>
      <c r="C41" t="s">
        <v>13</v>
      </c>
      <c r="D41" t="s">
        <v>14</v>
      </c>
      <c r="E41" t="s">
        <v>13</v>
      </c>
    </row>
    <row r="42" spans="1:13" x14ac:dyDescent="0.35">
      <c r="A42" t="s">
        <v>19</v>
      </c>
      <c r="B42" s="2">
        <v>3.3577984662106219</v>
      </c>
      <c r="C42" s="2">
        <v>1.1519278031569908</v>
      </c>
      <c r="D42" s="2">
        <v>4.52271678686773</v>
      </c>
      <c r="E42" s="2">
        <v>1.733239201124569</v>
      </c>
    </row>
    <row r="43" spans="1:13" x14ac:dyDescent="0.35">
      <c r="A43" t="s">
        <v>21</v>
      </c>
      <c r="B43" s="2">
        <v>0.21769780022107943</v>
      </c>
      <c r="C43" s="2">
        <v>0.13099367360674813</v>
      </c>
      <c r="D43" s="2">
        <v>0.2255873446857623</v>
      </c>
      <c r="E43" s="2">
        <v>0.2369270035196942</v>
      </c>
    </row>
    <row r="44" spans="1:13" x14ac:dyDescent="0.35">
      <c r="A44" t="s">
        <v>18</v>
      </c>
      <c r="B44" s="2">
        <v>5.5685189644159108</v>
      </c>
      <c r="C44" s="2">
        <v>1.1156723887672297</v>
      </c>
      <c r="D44" s="2">
        <v>10.118846171880337</v>
      </c>
      <c r="E44" s="2">
        <v>2.4961720283311091</v>
      </c>
    </row>
    <row r="45" spans="1:13" x14ac:dyDescent="0.35">
      <c r="A45" t="s">
        <v>22</v>
      </c>
      <c r="B45" s="2">
        <v>9.6453661005090188E-2</v>
      </c>
      <c r="C45" s="2">
        <v>1.2375845073379788E-2</v>
      </c>
      <c r="D45" s="2">
        <v>1.0357481263424133</v>
      </c>
      <c r="E45" s="2">
        <v>2.039650001403138</v>
      </c>
    </row>
    <row r="47" spans="1:13" x14ac:dyDescent="0.35">
      <c r="A47" t="s">
        <v>24</v>
      </c>
      <c r="B47" s="6">
        <v>298</v>
      </c>
      <c r="C47" s="6">
        <v>304</v>
      </c>
      <c r="D47" s="6">
        <v>308</v>
      </c>
      <c r="E47" s="6">
        <v>313</v>
      </c>
      <c r="F47" s="6">
        <v>318</v>
      </c>
      <c r="G47" s="6">
        <v>323</v>
      </c>
    </row>
    <row r="48" spans="1:13" x14ac:dyDescent="0.35">
      <c r="A48" t="s">
        <v>23</v>
      </c>
      <c r="B48" s="3">
        <f>AVERAGE(B50:E50)</f>
        <v>5.739414199675468E-3</v>
      </c>
      <c r="C48" s="3">
        <f>AVERAGE(J50:M50)</f>
        <v>1.4131307021223309E-2</v>
      </c>
      <c r="D48" s="3">
        <f>AVERAGE(R50:U50)</f>
        <v>2.1714809693737791E-2</v>
      </c>
      <c r="E48" s="3">
        <f>AVERAGE(B51:E51)</f>
        <v>3.9626414570759314E-2</v>
      </c>
      <c r="F48" s="3">
        <f>AVERAGE(J51:M51)</f>
        <v>7.0003593337609013E-2</v>
      </c>
      <c r="G48" s="3">
        <f>AVERAGE(R51:U51)</f>
        <v>0.13393579453832574</v>
      </c>
    </row>
    <row r="50" spans="1:21" x14ac:dyDescent="0.35">
      <c r="B50">
        <f>(0.2/B4)*(B3*10^(-3)/2)*1258/B5</f>
        <v>8.0367513790014986E-3</v>
      </c>
      <c r="C50">
        <f t="shared" ref="C50:Q50" si="24">(0.2/C4)*(C3*10^(-3)/2)*1258/C5</f>
        <v>8.050365126605322E-3</v>
      </c>
      <c r="D50">
        <f t="shared" si="24"/>
        <v>3.4623724478519201E-3</v>
      </c>
      <c r="E50">
        <f t="shared" si="24"/>
        <v>3.4081678452431334E-3</v>
      </c>
      <c r="F50" t="e">
        <f t="shared" si="24"/>
        <v>#DIV/0!</v>
      </c>
      <c r="G50" t="e">
        <f t="shared" si="24"/>
        <v>#DIV/0!</v>
      </c>
      <c r="H50" t="e">
        <f t="shared" si="24"/>
        <v>#DIV/0!</v>
      </c>
      <c r="I50" t="e">
        <f t="shared" si="24"/>
        <v>#VALUE!</v>
      </c>
      <c r="J50">
        <f>(0.2/J4)*(J3*10^(-3)/2)*1256/J5</f>
        <v>2.0362289825172138E-2</v>
      </c>
      <c r="K50">
        <f t="shared" ref="K50:M50" si="25">(0.2/K4)*(K3*10^(-3)/2)*1256/K5</f>
        <v>2.0123361251375753E-2</v>
      </c>
      <c r="L50">
        <f t="shared" si="25"/>
        <v>8.9471667976969618E-3</v>
      </c>
      <c r="M50">
        <f t="shared" si="25"/>
        <v>7.0924102106483785E-3</v>
      </c>
      <c r="N50" t="e">
        <f t="shared" si="24"/>
        <v>#DIV/0!</v>
      </c>
      <c r="O50" t="e">
        <f t="shared" si="24"/>
        <v>#DIV/0!</v>
      </c>
      <c r="P50" t="e">
        <f t="shared" si="24"/>
        <v>#DIV/0!</v>
      </c>
      <c r="Q50" t="e">
        <f t="shared" si="24"/>
        <v>#VALUE!</v>
      </c>
      <c r="R50">
        <f>(0.2/R4)*(R3*10^(-3)/2)*1254/R5</f>
        <v>3.1156900308865334E-2</v>
      </c>
      <c r="S50">
        <f t="shared" ref="S50:U50" si="26">(0.2/S4)*(S3*10^(-3)/2)*1254/S5</f>
        <v>3.2897153025557957E-2</v>
      </c>
      <c r="T50">
        <f t="shared" si="26"/>
        <v>1.5368957234042033E-2</v>
      </c>
      <c r="U50">
        <f t="shared" si="26"/>
        <v>7.4362282064858315E-3</v>
      </c>
    </row>
    <row r="51" spans="1:21" x14ac:dyDescent="0.35">
      <c r="B51">
        <f>(0.2/B14)*(B13*10^(-3)/2)*1252/B15</f>
        <v>5.6575249184159404E-2</v>
      </c>
      <c r="C51">
        <f t="shared" ref="C51:E51" si="27">(0.2/C14)*(C13*10^(-3)/2)*1252/C15</f>
        <v>6.4848792948772951E-2</v>
      </c>
      <c r="D51">
        <f t="shared" si="27"/>
        <v>1.0926432835442725E-2</v>
      </c>
      <c r="E51">
        <f t="shared" si="27"/>
        <v>2.6155183314662177E-2</v>
      </c>
      <c r="F51" t="e">
        <f t="shared" ref="F51:Q51" si="28">(0.2/F14)*(F13*10^(-3)/2)*1258/F15</f>
        <v>#DIV/0!</v>
      </c>
      <c r="G51" t="e">
        <f t="shared" si="28"/>
        <v>#DIV/0!</v>
      </c>
      <c r="H51" t="e">
        <f t="shared" si="28"/>
        <v>#DIV/0!</v>
      </c>
      <c r="I51" t="e">
        <f t="shared" si="28"/>
        <v>#VALUE!</v>
      </c>
      <c r="J51">
        <f>(0.2/J14)*(J13*10^(-3)/2)*1250/J15</f>
        <v>0.11912022734039845</v>
      </c>
      <c r="K51">
        <f t="shared" ref="K51:M51" si="29">(0.2/K14)*(K13*10^(-3)/2)*1250/K15</f>
        <v>0.11877100970637712</v>
      </c>
      <c r="L51">
        <f t="shared" si="29"/>
        <v>1.6843674290829527E-2</v>
      </c>
      <c r="M51">
        <f t="shared" si="29"/>
        <v>2.5279462012830965E-2</v>
      </c>
      <c r="N51" t="e">
        <f t="shared" si="28"/>
        <v>#DIV/0!</v>
      </c>
      <c r="O51" t="e">
        <f t="shared" si="28"/>
        <v>#DIV/0!</v>
      </c>
      <c r="P51" t="e">
        <f t="shared" si="28"/>
        <v>#DIV/0!</v>
      </c>
      <c r="Q51" t="e">
        <f t="shared" si="28"/>
        <v>#VALUE!</v>
      </c>
      <c r="R51">
        <f>(0.2/R14)*(R13*10^(-3)/2)*1248/R15</f>
        <v>0.21599895988193157</v>
      </c>
      <c r="S51">
        <f t="shared" ref="S51:U51" si="30">(0.2/S14)*(S13*10^(-3)/2)*1248/S15</f>
        <v>0.22187621426878473</v>
      </c>
      <c r="T51">
        <f t="shared" si="30"/>
        <v>5.6369193568754375E-2</v>
      </c>
      <c r="U51">
        <f t="shared" si="30"/>
        <v>4.1498810433832328E-2</v>
      </c>
    </row>
    <row r="53" spans="1:21" x14ac:dyDescent="0.35">
      <c r="A53" t="s">
        <v>25</v>
      </c>
      <c r="B53">
        <f>LN(B30)</f>
        <v>-0.46344350616359326</v>
      </c>
      <c r="C53">
        <f>LN(D30)</f>
        <v>-0.82814048753982794</v>
      </c>
      <c r="D53">
        <f>LN(F30)</f>
        <v>-1.0251796645480424</v>
      </c>
      <c r="E53">
        <f>LN(H30)</f>
        <v>-1.3672739438340449</v>
      </c>
      <c r="F53">
        <f>LN(J30)</f>
        <v>-1.6236500406826038</v>
      </c>
      <c r="G53">
        <f>LN(L30)</f>
        <v>-2.0211131758216192</v>
      </c>
    </row>
    <row r="54" spans="1:21" x14ac:dyDescent="0.35">
      <c r="B54">
        <f>-B53*B31/B30</f>
        <v>0.13025092911670794</v>
      </c>
      <c r="C54">
        <f>-C53*D31/D30</f>
        <v>0.22889113247994938</v>
      </c>
      <c r="D54">
        <f>-D53*F31/F30</f>
        <v>0.26873822584101503</v>
      </c>
      <c r="E54">
        <f>-E53*H31/H30</f>
        <v>0.41814056993711213</v>
      </c>
      <c r="F54">
        <f>-F53*J31/J30</f>
        <v>0.54929726758639752</v>
      </c>
      <c r="G54">
        <f>-G53*L31/L30</f>
        <v>0.66645961890276983</v>
      </c>
    </row>
    <row r="55" spans="1:21" x14ac:dyDescent="0.35">
      <c r="A55" t="s">
        <v>26</v>
      </c>
      <c r="B55">
        <f>1/B47</f>
        <v>3.3557046979865771E-3</v>
      </c>
      <c r="C55">
        <f t="shared" ref="C55:G55" si="31">1/C47</f>
        <v>3.2894736842105261E-3</v>
      </c>
      <c r="D55">
        <f t="shared" si="31"/>
        <v>3.246753246753247E-3</v>
      </c>
      <c r="E55">
        <f t="shared" si="31"/>
        <v>3.1948881789137379E-3</v>
      </c>
      <c r="F55">
        <f t="shared" si="31"/>
        <v>3.1446540880503146E-3</v>
      </c>
      <c r="G55">
        <f t="shared" si="31"/>
        <v>3.0959752321981426E-3</v>
      </c>
    </row>
    <row r="57" spans="1:21" x14ac:dyDescent="0.35">
      <c r="B57">
        <f>1.38*5592.80877</f>
        <v>7718.0761025999991</v>
      </c>
    </row>
    <row r="58" spans="1:21" x14ac:dyDescent="0.35">
      <c r="B58">
        <f>B57*173.95689/5592.80877</f>
        <v>240.06050819999999</v>
      </c>
    </row>
    <row r="60" spans="1:21" x14ac:dyDescent="0.35">
      <c r="A60" t="s">
        <v>9</v>
      </c>
      <c r="B60">
        <v>298</v>
      </c>
      <c r="C60">
        <v>304</v>
      </c>
      <c r="D60">
        <v>308</v>
      </c>
      <c r="E60">
        <v>313</v>
      </c>
      <c r="F60">
        <v>318</v>
      </c>
      <c r="G60">
        <v>323</v>
      </c>
    </row>
    <row r="61" spans="1:21" x14ac:dyDescent="0.35">
      <c r="A61" t="s">
        <v>11</v>
      </c>
      <c r="B61" s="2">
        <v>0.62911355488722231</v>
      </c>
      <c r="C61" s="2">
        <v>0.43686087975288901</v>
      </c>
      <c r="D61" s="2">
        <v>0.35873200819166673</v>
      </c>
      <c r="E61" s="2">
        <v>0.25480061443822222</v>
      </c>
      <c r="F61" s="2">
        <v>0.19717767746055559</v>
      </c>
      <c r="G61" s="2">
        <v>0.13250787838400005</v>
      </c>
    </row>
    <row r="62" spans="1:21" x14ac:dyDescent="0.35">
      <c r="A62" t="s">
        <v>20</v>
      </c>
      <c r="B62" s="2">
        <v>0.17681254339347763</v>
      </c>
      <c r="C62" s="2">
        <v>0.12074470818336452</v>
      </c>
      <c r="D62" s="2">
        <v>9.4037178816177361E-2</v>
      </c>
      <c r="E62" s="2">
        <v>7.7923282764215659E-2</v>
      </c>
      <c r="F62" s="2">
        <v>6.6707207060815024E-2</v>
      </c>
      <c r="G62" s="2">
        <v>4.3694312216590821E-2</v>
      </c>
    </row>
  </sheetData>
  <mergeCells count="33">
    <mergeCell ref="B31:C31"/>
    <mergeCell ref="B38:C38"/>
    <mergeCell ref="D38:E38"/>
    <mergeCell ref="B39:C39"/>
    <mergeCell ref="D39:E39"/>
    <mergeCell ref="B40:C40"/>
    <mergeCell ref="D40:E40"/>
    <mergeCell ref="J30:K30"/>
    <mergeCell ref="L29:M29"/>
    <mergeCell ref="L30:M30"/>
    <mergeCell ref="B24:G24"/>
    <mergeCell ref="B25:G25"/>
    <mergeCell ref="D31:E31"/>
    <mergeCell ref="F31:G31"/>
    <mergeCell ref="H31:I31"/>
    <mergeCell ref="J31:K31"/>
    <mergeCell ref="L31:M31"/>
    <mergeCell ref="B30:C30"/>
    <mergeCell ref="D29:E29"/>
    <mergeCell ref="D30:E30"/>
    <mergeCell ref="F29:G29"/>
    <mergeCell ref="F30:G30"/>
    <mergeCell ref="H29:I29"/>
    <mergeCell ref="H30:I30"/>
    <mergeCell ref="B11:E11"/>
    <mergeCell ref="J11:M11"/>
    <mergeCell ref="R11:U11"/>
    <mergeCell ref="B23:G23"/>
    <mergeCell ref="B29:C29"/>
    <mergeCell ref="J29:K29"/>
    <mergeCell ref="B1:E1"/>
    <mergeCell ref="J1:M1"/>
    <mergeCell ref="R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Салтыкова</dc:creator>
  <cp:lastModifiedBy>Дарья Салтыкова</cp:lastModifiedBy>
  <dcterms:created xsi:type="dcterms:W3CDTF">2022-04-28T16:40:22Z</dcterms:created>
  <dcterms:modified xsi:type="dcterms:W3CDTF">2022-04-29T00:28:43Z</dcterms:modified>
</cp:coreProperties>
</file>