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ohammad.ahmed\Desktop\calculation_interpretation\"/>
    </mc:Choice>
  </mc:AlternateContent>
  <xr:revisionPtr revIDLastSave="0" documentId="13_ncr:1_{EDCDDD8C-F794-4CB4-8049-6AD18BAFCC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otal-Power-Consumption" sheetId="6" r:id="rId1"/>
    <sheet name="Electrical Heater" sheetId="1" r:id="rId2"/>
    <sheet name="Regenration Heater" sheetId="4" r:id="rId3"/>
    <sheet name="Regenration Blower" sheetId="5" r:id="rId4"/>
    <sheet name="Vessel&amp;Mol_Sieve" sheetId="9" r:id="rId5"/>
    <sheet name="Regenration_Calculation" sheetId="8" r:id="rId6"/>
    <sheet name="Blower-process Gas" sheetId="2" r:id="rId7"/>
    <sheet name="Utilities" sheetId="3" r:id="rId8"/>
    <sheet name="Nm3h toKghr" sheetId="7" r:id="rId9"/>
    <sheet name="Auswahl" sheetId="13" state="hidden" r:id="rId10"/>
    <sheet name="dp Trockner_Betrieb 12960 P=31" sheetId="14" r:id="rId11"/>
    <sheet name="Heater Weight" sheetId="15" r:id="rId12"/>
  </sheets>
  <externalReferences>
    <externalReference r:id="rId13"/>
    <externalReference r:id="rId14"/>
  </externalReferences>
  <definedNames>
    <definedName name="Druckbereich_MI" localSheetId="10">'dp Trockner_Betrieb 12960 P=31'!$A$27:$E$60</definedName>
    <definedName name="Druckbereich_MI">#REF!</definedName>
    <definedName name="_xlnm.Print_Area" localSheetId="10">'dp Trockner_Betrieb 12960 P=31'!$A$27:$E$69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B12" i="3"/>
  <c r="B11" i="3"/>
  <c r="B6" i="3" s="1"/>
  <c r="B10" i="3"/>
  <c r="B3" i="3"/>
  <c r="B7" i="3" l="1"/>
  <c r="B49" i="9"/>
  <c r="B50" i="9"/>
  <c r="B30" i="9"/>
  <c r="C51" i="14" l="1"/>
  <c r="C49" i="14"/>
  <c r="C33" i="4"/>
  <c r="E33" i="4" s="1"/>
  <c r="E38" i="4" s="1"/>
  <c r="C31" i="14"/>
  <c r="C54" i="14"/>
  <c r="C53" i="14"/>
  <c r="C50" i="14"/>
  <c r="C34" i="14"/>
  <c r="C33" i="14"/>
  <c r="A1" i="14"/>
  <c r="C32" i="14" l="1"/>
  <c r="C44" i="14" s="1"/>
  <c r="B13" i="5" l="1"/>
  <c r="B9" i="5"/>
  <c r="D9" i="5" s="1"/>
  <c r="B7" i="5"/>
  <c r="B6" i="5"/>
  <c r="B8" i="5" s="1"/>
  <c r="B4" i="8" l="1"/>
  <c r="B51" i="9" l="1"/>
  <c r="B43" i="9" l="1"/>
  <c r="B41" i="9"/>
  <c r="B32" i="9"/>
  <c r="B6" i="9"/>
  <c r="B30" i="8"/>
  <c r="B22" i="7"/>
  <c r="B11" i="8"/>
  <c r="B13" i="8" s="1"/>
  <c r="B22" i="8" s="1"/>
  <c r="B5" i="1"/>
  <c r="C51" i="4"/>
  <c r="N22" i="9" l="1"/>
  <c r="B7" i="9"/>
  <c r="B8" i="9" s="1"/>
  <c r="D22" i="8"/>
  <c r="N29" i="9" l="1"/>
  <c r="C39" i="14"/>
  <c r="B13" i="1"/>
  <c r="B17" i="1" s="1"/>
  <c r="B33" i="9" l="1"/>
  <c r="B44" i="9" s="1"/>
  <c r="C40" i="14"/>
  <c r="C47" i="14" s="1"/>
  <c r="B20" i="9" s="1"/>
  <c r="H2" i="6" s="1"/>
  <c r="B15" i="8"/>
  <c r="B17" i="9" s="1"/>
  <c r="B23" i="9" l="1"/>
  <c r="B24" i="9" s="1"/>
  <c r="B10" i="9"/>
  <c r="B12" i="9" s="1"/>
  <c r="D8" i="4"/>
  <c r="E19" i="4" s="1"/>
  <c r="B18" i="8"/>
  <c r="D7" i="4"/>
  <c r="E15" i="4" s="1"/>
  <c r="B26" i="9" l="1"/>
  <c r="B11" i="9"/>
  <c r="B13" i="9" s="1"/>
  <c r="C38" i="14" s="1"/>
  <c r="C35" i="14"/>
  <c r="E17" i="4"/>
  <c r="B18" i="1"/>
  <c r="B20" i="1" s="1"/>
  <c r="E28" i="5" s="1"/>
  <c r="C36" i="14" l="1"/>
  <c r="C41" i="14" s="1"/>
  <c r="C58" i="14" s="1"/>
  <c r="C59" i="14" s="1"/>
  <c r="C62" i="14" s="1"/>
  <c r="B21" i="9"/>
  <c r="B34" i="9" s="1"/>
  <c r="B35" i="9" s="1"/>
  <c r="B39" i="9" s="1"/>
  <c r="B47" i="9" s="1"/>
  <c r="B53" i="9" s="1"/>
  <c r="B54" i="9" s="1"/>
  <c r="D10" i="4" s="1"/>
  <c r="D68" i="4" s="1"/>
  <c r="B21" i="1"/>
  <c r="E11" i="6" s="1"/>
  <c r="D9" i="4" l="1"/>
  <c r="E21" i="4" s="1"/>
  <c r="C11" i="6"/>
  <c r="B27" i="5"/>
  <c r="E28" i="4" l="1"/>
  <c r="E23" i="4"/>
  <c r="E37" i="4" l="1"/>
  <c r="F39" i="4" s="1"/>
  <c r="G15" i="4"/>
  <c r="G21" i="4"/>
  <c r="G19" i="4"/>
  <c r="G17" i="4"/>
  <c r="D67" i="4"/>
  <c r="P9" i="4"/>
  <c r="F40" i="4" l="1"/>
  <c r="F42" i="4"/>
  <c r="C55" i="4" s="1"/>
  <c r="C57" i="4" l="1"/>
  <c r="C58" i="4" s="1"/>
  <c r="C59" i="4" s="1"/>
  <c r="C61" i="4" s="1"/>
  <c r="E26" i="5" s="1"/>
  <c r="B26" i="5" s="1"/>
  <c r="F45" i="4"/>
  <c r="F46" i="4" s="1"/>
  <c r="F43" i="4"/>
  <c r="F44" i="4"/>
  <c r="E55" i="4" l="1"/>
  <c r="B4" i="5" s="1"/>
  <c r="B12" i="5" s="1"/>
  <c r="B15" i="5" s="1"/>
  <c r="B16" i="5" s="1"/>
  <c r="B17" i="5" s="1"/>
  <c r="C17" i="6" l="1"/>
  <c r="B19" i="5"/>
  <c r="E17" i="6" s="1"/>
  <c r="E32" i="5"/>
  <c r="B32" i="5" s="1"/>
  <c r="B68" i="4"/>
  <c r="E68" i="4" s="1"/>
  <c r="B67" i="4"/>
  <c r="E67" i="4" s="1"/>
  <c r="C13" i="6" l="1"/>
  <c r="B29" i="5"/>
  <c r="C62" i="4"/>
  <c r="E13" i="6" s="1"/>
  <c r="B34" i="5" l="1"/>
  <c r="B27" i="6" s="1"/>
  <c r="B25" i="6"/>
  <c r="E19" i="6"/>
  <c r="C19" i="6"/>
</calcChain>
</file>

<file path=xl/sharedStrings.xml><?xml version="1.0" encoding="utf-8"?>
<sst xmlns="http://schemas.openxmlformats.org/spreadsheetml/2006/main" count="596" uniqueCount="360">
  <si>
    <t>Volume Flow rate</t>
  </si>
  <si>
    <t>Nm3/h</t>
  </si>
  <si>
    <t>Inlet Temperature</t>
  </si>
  <si>
    <t>Inlet Pressure</t>
  </si>
  <si>
    <t>°C</t>
  </si>
  <si>
    <t>bar</t>
  </si>
  <si>
    <t xml:space="preserve">Ambient Temperature </t>
  </si>
  <si>
    <t>C</t>
  </si>
  <si>
    <t>kJ/kgK</t>
  </si>
  <si>
    <t>Mass Volume Flow rate</t>
  </si>
  <si>
    <t>kg/h</t>
  </si>
  <si>
    <t xml:space="preserve">Total Power needed for the Heater </t>
  </si>
  <si>
    <t>W</t>
  </si>
  <si>
    <t>1 kJ/h = 0.2777777778 W</t>
  </si>
  <si>
    <t>kW</t>
  </si>
  <si>
    <t>For hydrogen</t>
  </si>
  <si>
    <t>Standard Conditions</t>
  </si>
  <si>
    <t>PV=nRT</t>
  </si>
  <si>
    <t>P</t>
  </si>
  <si>
    <t>100 kPA</t>
  </si>
  <si>
    <t>1 bar</t>
  </si>
  <si>
    <t>n</t>
  </si>
  <si>
    <t>no of moles</t>
  </si>
  <si>
    <t>T</t>
  </si>
  <si>
    <t>0°C</t>
  </si>
  <si>
    <t>273 K</t>
  </si>
  <si>
    <t>m/M</t>
  </si>
  <si>
    <t>M</t>
  </si>
  <si>
    <t>R</t>
  </si>
  <si>
    <t>Pam3/molK</t>
  </si>
  <si>
    <t>PV</t>
  </si>
  <si>
    <t>(m/M)*R*T</t>
  </si>
  <si>
    <t>rearranging</t>
  </si>
  <si>
    <t>m</t>
  </si>
  <si>
    <t>(P*V*M)/(R*T)</t>
  </si>
  <si>
    <t>at standard condition</t>
  </si>
  <si>
    <t>M*100*V/(R*T)</t>
  </si>
  <si>
    <t>V</t>
  </si>
  <si>
    <t>Gas Flow Calculator – Xchanger</t>
  </si>
  <si>
    <t>Conversion Factor</t>
  </si>
  <si>
    <t>PR2618</t>
  </si>
  <si>
    <t xml:space="preserve">Regeneration </t>
  </si>
  <si>
    <t xml:space="preserve">Pressure </t>
  </si>
  <si>
    <t>Relative Humidity of water assumed</t>
  </si>
  <si>
    <t>P_saturated_h2O</t>
  </si>
  <si>
    <t>Water - Saturation Pressure vs. Temperature (engineeringtoolbox.com)</t>
  </si>
  <si>
    <t>bara</t>
  </si>
  <si>
    <t>Process Gas flowrate</t>
  </si>
  <si>
    <t>Required Water (in Nm3/h)</t>
  </si>
  <si>
    <t>Mass flow rate at standard conditions (g/h)</t>
  </si>
  <si>
    <t>g/h</t>
  </si>
  <si>
    <t>Molecular weight (h2O)</t>
  </si>
  <si>
    <t>g/mol</t>
  </si>
  <si>
    <t>Volmetric flow rate at operating conditions (m3/h)</t>
  </si>
  <si>
    <t>m3/h</t>
  </si>
  <si>
    <t>Density (g/m3)</t>
  </si>
  <si>
    <t>g/m3</t>
  </si>
  <si>
    <t>h</t>
  </si>
  <si>
    <t xml:space="preserve">The enthalpy of vaporization of H2O </t>
  </si>
  <si>
    <t>kJ/kg</t>
  </si>
  <si>
    <t>Water - Heat of Vaporization vs. Temperature (engineeringtoolbox.com)</t>
  </si>
  <si>
    <t>Hence total water required will be</t>
  </si>
  <si>
    <t>kg</t>
  </si>
  <si>
    <t xml:space="preserve">Considering a period of </t>
  </si>
  <si>
    <t>For cooling</t>
  </si>
  <si>
    <t>Reference</t>
  </si>
  <si>
    <t xml:space="preserve">Assumed temperature for regeneration </t>
  </si>
  <si>
    <t>To get the power consumption for the regeneration process , the different energy steps should be taken into considerations based on the time required for those processes</t>
  </si>
  <si>
    <t>Energy required for complete desoprtion of water</t>
  </si>
  <si>
    <t>kJ</t>
  </si>
  <si>
    <t>To Heat the water vapors to the regenration temperature</t>
  </si>
  <si>
    <t>Total Amount of mol Sieve</t>
  </si>
  <si>
    <t xml:space="preserve">Reference data </t>
  </si>
  <si>
    <t>cp-Molecular Sieve</t>
  </si>
  <si>
    <t>Water Vapor - Specific Heat vs. Temperature (engineeringtoolbox.com)</t>
  </si>
  <si>
    <t>kj/kgK</t>
  </si>
  <si>
    <t xml:space="preserve">cp Steel </t>
  </si>
  <si>
    <t>cp water vapor</t>
  </si>
  <si>
    <t>CP</t>
  </si>
  <si>
    <t>Value</t>
  </si>
  <si>
    <t>Specific Heat Capacity of Metals Table Chart (engineersedge.com)</t>
  </si>
  <si>
    <t>Heating required for the molecular Sieve</t>
  </si>
  <si>
    <t>Energy required to heat the Vessel</t>
  </si>
  <si>
    <t>Weight of the vessel (PR2618)</t>
  </si>
  <si>
    <t>(Subject to change)</t>
  </si>
  <si>
    <t>Multiplied by 4200kj/kg because that is the max adsorption enthalpy for water for zeolite type 3A,4A etc</t>
  </si>
  <si>
    <t>See the diagram for explanation</t>
  </si>
  <si>
    <t>Total</t>
  </si>
  <si>
    <t xml:space="preserve">Now the molecular sieve and the dryer have to be cooled down as well </t>
  </si>
  <si>
    <t xml:space="preserve">Energy disspiated for cooling </t>
  </si>
  <si>
    <t>Ratio of cooling/heating</t>
  </si>
  <si>
    <t>***Check on heat balance***</t>
  </si>
  <si>
    <t>Proper regeneration of molecular sieves in TSA processes—Part 2 | Gas Processing &amp; LNG (gasprocessingnews.com)</t>
  </si>
  <si>
    <t>Optimal design and operation of molecular sieve gas dehydration units—Part 1 | Gas Processing &amp; LNG (gasprocessingnews.com)</t>
  </si>
  <si>
    <t>Regeneration Flowrate is chosen based on the assumption that it should be roughly 3-4% of the process gas flowrate</t>
  </si>
  <si>
    <t xml:space="preserve">Hence </t>
  </si>
  <si>
    <t>Total energy including heating for the total duration of regenration</t>
  </si>
  <si>
    <t>Time for Heating</t>
  </si>
  <si>
    <t>Sum</t>
  </si>
  <si>
    <t>KW</t>
  </si>
  <si>
    <t>TOTAL FLOWRATE CALC</t>
  </si>
  <si>
    <t>Actual power</t>
  </si>
  <si>
    <t xml:space="preserve">Regenration flow rate </t>
  </si>
  <si>
    <t xml:space="preserve">The total energy will be </t>
  </si>
  <si>
    <t xml:space="preserve">Total Power needed </t>
  </si>
  <si>
    <t>Check for calculation</t>
  </si>
  <si>
    <t>&gt;=</t>
  </si>
  <si>
    <t>Timefor Pressure Build up/reduction</t>
  </si>
  <si>
    <t>Cooling Time</t>
  </si>
  <si>
    <t>Power consumption in Kwh/Nm3</t>
  </si>
  <si>
    <t>KwH/Nm3</t>
  </si>
  <si>
    <t>Wh/Nm3</t>
  </si>
  <si>
    <t>Without blower</t>
  </si>
  <si>
    <t>Kwh/Nm3</t>
  </si>
  <si>
    <t>Regeneration</t>
  </si>
  <si>
    <t>Electrical Heater</t>
  </si>
  <si>
    <t xml:space="preserve">Blower </t>
  </si>
  <si>
    <t>Regeneration blower</t>
  </si>
  <si>
    <t>Total Requirement</t>
  </si>
  <si>
    <t>KJ/h</t>
  </si>
  <si>
    <t xml:space="preserve">Number of blower </t>
  </si>
  <si>
    <t>kJ/h</t>
  </si>
  <si>
    <t>Concentration Reggas</t>
  </si>
  <si>
    <t>The total vessel weight calculations &amp; Mol Sieve calculation</t>
  </si>
  <si>
    <t xml:space="preserve">Assumption of service life </t>
  </si>
  <si>
    <t>%</t>
  </si>
  <si>
    <t>Holding capacity</t>
  </si>
  <si>
    <t>wt/wt% (gh2O/1kg Mol sieve)</t>
  </si>
  <si>
    <t>Mol sieve</t>
  </si>
  <si>
    <t>g</t>
  </si>
  <si>
    <t xml:space="preserve">1 kg of mol sieve can hold </t>
  </si>
  <si>
    <t>g of h2O</t>
  </si>
  <si>
    <t xml:space="preserve">Total Water required for regeneration </t>
  </si>
  <si>
    <t xml:space="preserve">Hence total mol sieve required </t>
  </si>
  <si>
    <t>Holding capacity (assumed)</t>
  </si>
  <si>
    <t>Bulk density of Molecular Sieve</t>
  </si>
  <si>
    <t>kg/L</t>
  </si>
  <si>
    <t xml:space="preserve">Volume of molecular sieve </t>
  </si>
  <si>
    <t>Liters</t>
  </si>
  <si>
    <t>4A Molecular Sieve | BASF Catalysts</t>
  </si>
  <si>
    <t>Operating Volume (m3)</t>
  </si>
  <si>
    <t xml:space="preserve">Linear Velocity range for operation </t>
  </si>
  <si>
    <t>0,05-0,5</t>
  </si>
  <si>
    <t>m/s</t>
  </si>
  <si>
    <t xml:space="preserve">Molecular Sieve Volume </t>
  </si>
  <si>
    <t>Mol sieve for the given space velcotiy</t>
  </si>
  <si>
    <t>liters</t>
  </si>
  <si>
    <t>Vessel area (A) (m2)</t>
  </si>
  <si>
    <t>Linear velocity chosen</t>
  </si>
  <si>
    <t>DN</t>
  </si>
  <si>
    <t>m2</t>
  </si>
  <si>
    <t>dm2</t>
  </si>
  <si>
    <t>Diameter of the vessel</t>
  </si>
  <si>
    <t>Dryer Dimensions</t>
  </si>
  <si>
    <t>PN</t>
  </si>
  <si>
    <t>Nominal Diameter</t>
  </si>
  <si>
    <t>Diameter of filling nozzle</t>
  </si>
  <si>
    <t>Vorschweißflansch Bund</t>
  </si>
  <si>
    <t>Da</t>
  </si>
  <si>
    <t>Wanddicke mm</t>
  </si>
  <si>
    <t>Index</t>
  </si>
  <si>
    <t>Gewicht Teilungsflansch [kg]</t>
  </si>
  <si>
    <t>Teilungsflansch</t>
  </si>
  <si>
    <t>Gewicht Blindflansch [kg]</t>
  </si>
  <si>
    <t>Blindflansch</t>
  </si>
  <si>
    <t>Gewicht Klöpperboden [kg]</t>
  </si>
  <si>
    <t>Klöpperboden</t>
  </si>
  <si>
    <t>s [mm]</t>
  </si>
  <si>
    <t>Jacket outer diameter</t>
  </si>
  <si>
    <t>Jacket Thickness</t>
  </si>
  <si>
    <t>allowance c1 (tolerance):</t>
  </si>
  <si>
    <t>allowance c2 (corrosion):</t>
  </si>
  <si>
    <t>material strenght Rp_1,0:</t>
  </si>
  <si>
    <t>factor for safety S:</t>
  </si>
  <si>
    <t>factor for weakpoints v:</t>
  </si>
  <si>
    <t>Diameter</t>
  </si>
  <si>
    <t>dm</t>
  </si>
  <si>
    <t>Wall Thickness</t>
  </si>
  <si>
    <t>bar g</t>
  </si>
  <si>
    <t xml:space="preserve">Jacket height </t>
  </si>
  <si>
    <t>Overall Height</t>
  </si>
  <si>
    <t>Vessel Dimensions Calculations</t>
  </si>
  <si>
    <t>Weight of Vessel</t>
  </si>
  <si>
    <t>Jacket plate</t>
  </si>
  <si>
    <t xml:space="preserve">Filling - emptying nozzle </t>
  </si>
  <si>
    <t>Internals</t>
  </si>
  <si>
    <t xml:space="preserve">Nozzle </t>
  </si>
  <si>
    <t xml:space="preserve">Dividing flange </t>
  </si>
  <si>
    <t xml:space="preserve">Dished ends </t>
  </si>
  <si>
    <t xml:space="preserve">incl. blind cover </t>
  </si>
  <si>
    <t>Total weight</t>
  </si>
  <si>
    <t xml:space="preserve">Assumed Heater weight </t>
  </si>
  <si>
    <t>Total weight along with piping</t>
  </si>
  <si>
    <t>Total weight of the vessel</t>
  </si>
  <si>
    <t>Without the heater</t>
  </si>
  <si>
    <t>Weight when bypassing heater ( for cooling)</t>
  </si>
  <si>
    <t>Space velocity</t>
  </si>
  <si>
    <t xml:space="preserve">Calculation of Power Consumption for Electrical Heater </t>
  </si>
  <si>
    <t xml:space="preserve">Process Gas </t>
  </si>
  <si>
    <t>Reaction Temperature</t>
  </si>
  <si>
    <t>Specific Heat capacity , cp</t>
  </si>
  <si>
    <t xml:space="preserve">Input Flow rate </t>
  </si>
  <si>
    <r>
      <t>Nm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/h</t>
    </r>
  </si>
  <si>
    <t xml:space="preserve">Total Power Consumption </t>
  </si>
  <si>
    <t>Regeneration Heater</t>
  </si>
  <si>
    <t>Equipment</t>
  </si>
  <si>
    <t xml:space="preserve">Adiabatic work done </t>
  </si>
  <si>
    <t>K=cp/cv</t>
  </si>
  <si>
    <t>https://en.wikipedia.org/wiki/Heat_capacity_ratio</t>
  </si>
  <si>
    <t>A realisitc blower with given flowrate should be available in the market</t>
  </si>
  <si>
    <t>Cost efficient</t>
  </si>
  <si>
    <t xml:space="preserve">Conditions for assumption for to have a single blower </t>
  </si>
  <si>
    <t>If not then multiple blower arragement to satisfiy the input flowrate and the power demand</t>
  </si>
  <si>
    <t>Input</t>
  </si>
  <si>
    <t xml:space="preserve">Volume Flow </t>
  </si>
  <si>
    <t>Delta P</t>
  </si>
  <si>
    <t>Input Pressure ,P1</t>
  </si>
  <si>
    <t>Outlet Pressure, P2</t>
  </si>
  <si>
    <t>Inlet Temp ,T1</t>
  </si>
  <si>
    <t>Kappa, K</t>
  </si>
  <si>
    <t>Efficiency Shaft assumed</t>
  </si>
  <si>
    <t>Work Done Blower</t>
  </si>
  <si>
    <t>mol</t>
  </si>
  <si>
    <t>(kappa-1)/k</t>
  </si>
  <si>
    <t>J/h</t>
  </si>
  <si>
    <t>Actual Power consumption</t>
  </si>
  <si>
    <t>number of moles (n)</t>
  </si>
  <si>
    <t>100 % Load</t>
  </si>
  <si>
    <t>(clarify the division with 4,18 kcal)</t>
  </si>
  <si>
    <t>FRAGE?????</t>
  </si>
  <si>
    <t>Installed Power</t>
  </si>
  <si>
    <t>Installed power</t>
  </si>
  <si>
    <t>GLEICHUNG VON ERGUN</t>
  </si>
  <si>
    <t xml:space="preserve">          zur Ermittlung des Druckverlustes von Gasen an Schüttungen</t>
  </si>
  <si>
    <t xml:space="preserve">         delta p =(k1·(1-E)²/E³·n·v/dp² + k2·(1-E)/E³·r·v²/dp)·l/g</t>
  </si>
  <si>
    <t xml:space="preserve">                                                        in mmWS</t>
  </si>
  <si>
    <t>g   = Erdbeschleunigung</t>
  </si>
  <si>
    <t>m/s²</t>
  </si>
  <si>
    <t xml:space="preserve">l   = Schütthöhe     </t>
  </si>
  <si>
    <t>mm</t>
  </si>
  <si>
    <t>n   = dyn Zähigkeit</t>
  </si>
  <si>
    <t>kg/m s</t>
  </si>
  <si>
    <t>v   = lin. Gasgeschwindigkeit</t>
  </si>
  <si>
    <t xml:space="preserve">     bez.auf leeren Querschnitt</t>
  </si>
  <si>
    <t>dp  = mittl. Teilchendurchmesser</t>
  </si>
  <si>
    <t>r   = Dichte des Fluids</t>
  </si>
  <si>
    <t>kg/m3</t>
  </si>
  <si>
    <t>E   = Zwischenkornvolumen</t>
  </si>
  <si>
    <t>k1  = Konstante</t>
  </si>
  <si>
    <t>k2  = Konstante</t>
  </si>
  <si>
    <t>E</t>
  </si>
  <si>
    <t>dp</t>
  </si>
  <si>
    <t>k1</t>
  </si>
  <si>
    <t>k2</t>
  </si>
  <si>
    <t>Molekularsieb (3-6mm)</t>
  </si>
  <si>
    <t>Katalysator (WCH, JM) Pellets</t>
  </si>
  <si>
    <t>Katalysator (Degussa)Kugeln</t>
  </si>
  <si>
    <t>Duranit (1/4")</t>
  </si>
  <si>
    <t xml:space="preserve">AUSLEGUNGSDATEN  </t>
  </si>
  <si>
    <t>Achtung: Daten für Viskosität und Dichte prüfen</t>
  </si>
  <si>
    <t>Medium</t>
  </si>
  <si>
    <t>Normvolumenstrom</t>
  </si>
  <si>
    <t>Nm³/h</t>
  </si>
  <si>
    <t>Betriebsvolumenstrom</t>
  </si>
  <si>
    <t>Betriebsdruck</t>
  </si>
  <si>
    <t>bar a</t>
  </si>
  <si>
    <t>Betriebstemperatur</t>
  </si>
  <si>
    <t>Raumgeschwindigkeit</t>
  </si>
  <si>
    <t>1/h</t>
  </si>
  <si>
    <t>Katalysatorvolumen</t>
  </si>
  <si>
    <t>l</t>
  </si>
  <si>
    <t>Schüttdichte</t>
  </si>
  <si>
    <t>kg/l</t>
  </si>
  <si>
    <t>Katalysatormasse</t>
  </si>
  <si>
    <t>Behälterdurchmesser</t>
  </si>
  <si>
    <t>Wandicke</t>
  </si>
  <si>
    <t xml:space="preserve">Schütthöhe     </t>
  </si>
  <si>
    <t>l =</t>
  </si>
  <si>
    <t xml:space="preserve">Anschlußstutzen :        </t>
  </si>
  <si>
    <t xml:space="preserve">  Rohrleitungsgeschwindigkeit</t>
  </si>
  <si>
    <t xml:space="preserve">  Innendurchmesser</t>
  </si>
  <si>
    <t>Erdbeschleunigung</t>
  </si>
  <si>
    <t>g =</t>
  </si>
  <si>
    <t>dyn Zähigkeit</t>
  </si>
  <si>
    <t>n=</t>
  </si>
  <si>
    <t>lin. Gasgeschwindigkeit</t>
  </si>
  <si>
    <t>v =</t>
  </si>
  <si>
    <t>bez.auf leeren Querschnitt</t>
  </si>
  <si>
    <t>-</t>
  </si>
  <si>
    <t>mittl. Teilchendurchmesser</t>
  </si>
  <si>
    <t>dp=</t>
  </si>
  <si>
    <t>Dichte des Fluids</t>
  </si>
  <si>
    <t>r =</t>
  </si>
  <si>
    <t>Zwischenkornvolumen</t>
  </si>
  <si>
    <t>E =</t>
  </si>
  <si>
    <t>Gesamtvolumen</t>
  </si>
  <si>
    <t>Konstante 1</t>
  </si>
  <si>
    <t>k1 =</t>
  </si>
  <si>
    <t>Konstante 2</t>
  </si>
  <si>
    <t>k2 =</t>
  </si>
  <si>
    <t>KATALYSATORTYP</t>
  </si>
  <si>
    <t>DRUCKVERLUST  :</t>
  </si>
  <si>
    <t>mmWS</t>
  </si>
  <si>
    <t>mbar</t>
  </si>
  <si>
    <t>Gewicht, das auf die Auflage wirkt</t>
  </si>
  <si>
    <t>inkl Kat und dP</t>
  </si>
  <si>
    <t>Hydrogen</t>
  </si>
  <si>
    <t>Mol sieve weight</t>
  </si>
  <si>
    <t>Average Consumption</t>
  </si>
  <si>
    <t>This is an assumption</t>
  </si>
  <si>
    <t>Based on the Piping requirement ( variable and has to be updated)</t>
  </si>
  <si>
    <t>Input the nominal Diameter for Dryer vessel</t>
  </si>
  <si>
    <t>NW</t>
  </si>
  <si>
    <t xml:space="preserve">Check Space velocity </t>
  </si>
  <si>
    <t>0,05-0,5 m/s</t>
  </si>
  <si>
    <t>Range</t>
  </si>
  <si>
    <t>Assumed Total weight along pipings</t>
  </si>
  <si>
    <t>Without a blower (no closed loop)</t>
  </si>
  <si>
    <t>With Blower (Closed Loop)</t>
  </si>
  <si>
    <r>
      <t>Wh/Nm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</si>
  <si>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Power consumption Per Nm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/h</t>
    </r>
  </si>
  <si>
    <t>Weight Assumed</t>
  </si>
  <si>
    <t xml:space="preserve"> 100 % Load</t>
  </si>
  <si>
    <t>Total Amount of water (h2O kg)</t>
  </si>
  <si>
    <t>**</t>
  </si>
  <si>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color theme="1"/>
        <rFont val="Calibri"/>
        <family val="2"/>
        <scheme val="minor"/>
      </rPr>
      <t xml:space="preserve"> - This value is dependent on the commercially available motor with a specific motor rating</t>
    </r>
  </si>
  <si>
    <t>Reference Structure  : PR2618</t>
  </si>
  <si>
    <t>kJ/hr</t>
  </si>
  <si>
    <t>Average Consumption -Pre Heater</t>
  </si>
  <si>
    <t xml:space="preserve">                    Refer to Conversion sheet Nm3/h to kg/h</t>
  </si>
  <si>
    <t>Regeneration gas Heater</t>
  </si>
  <si>
    <t>Gas temperature</t>
  </si>
  <si>
    <t>Can be between the range of 200-220°C)</t>
  </si>
  <si>
    <t>Assumed</t>
  </si>
  <si>
    <t>Regeneration Flow</t>
  </si>
  <si>
    <t>Actual Flow rate of Reg gas</t>
  </si>
  <si>
    <t>Using the assumed flow</t>
  </si>
  <si>
    <t>We need to adjust this value to get the optimal energy consumption</t>
  </si>
  <si>
    <t xml:space="preserve">Therefore </t>
  </si>
  <si>
    <t>The number of blowers depend on the gas flow rate and the average consumption and the blower available with certain installed power</t>
  </si>
  <si>
    <t xml:space="preserve">Installed Power </t>
  </si>
  <si>
    <t>Safety net of 1,4</t>
  </si>
  <si>
    <t>For H2</t>
  </si>
  <si>
    <t>Pre-Heater</t>
  </si>
  <si>
    <t>With Blower</t>
  </si>
  <si>
    <t>dhv_H2O:</t>
  </si>
  <si>
    <t>Kühlleistung Kühler Q:</t>
  </si>
  <si>
    <t>T_cw_in:</t>
  </si>
  <si>
    <t>V_Chw:</t>
  </si>
  <si>
    <t>m_Chw:</t>
  </si>
  <si>
    <t>T_cw_aus</t>
  </si>
  <si>
    <t>Gewählt Q:</t>
  </si>
  <si>
    <t>v_Chw</t>
  </si>
  <si>
    <t>roh_Wasser_40Glyk</t>
  </si>
  <si>
    <t>cp_Wasser_40Glyk</t>
  </si>
  <si>
    <t>Cooler after DeOxo</t>
  </si>
  <si>
    <t>Heat exchanger for heating the Reg gas</t>
  </si>
  <si>
    <t>Section needs update : right now the data is directly from Edelkata sheet as calculated by Alexander</t>
  </si>
  <si>
    <t>kg/mol</t>
  </si>
  <si>
    <t>m (kg/h)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</si>
</sst>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0\°"/>
    <numFmt numFmtId="165" formatCode="0.0"/>
    <numFmt numFmtId="166" formatCode="0.0\ &quot;mm&quot;"/>
    <numFmt numFmtId="167" formatCode="0.00_)"/>
    <numFmt numFmtId="168" formatCode="0_)"/>
    <numFmt numFmtId="169" formatCode="General_)"/>
    <numFmt numFmtId="170" formatCode="0\ &quot;N/mm²&quot;"/>
    <numFmt numFmtId="171" formatCode="0.00\ &quot;mm&quot;"/>
    <numFmt numFmtId="172" formatCode="0\ &quot;mbar&quot;"/>
    <numFmt numFmtId="173" formatCode="0\ &quot;°C&quot;"/>
    <numFmt numFmtId="174" formatCode="0.00000000"/>
    <numFmt numFmtId="175" formatCode="0\ \k\W"/>
    <numFmt numFmtId="176" formatCode="0\ \K\W"/>
    <numFmt numFmtId="177" formatCode="0.000_)"/>
    <numFmt numFmtId="178" formatCode="0.00E+00_)"/>
    <numFmt numFmtId="179" formatCode="00\ \k\W"/>
    <numFmt numFmtId="180" formatCode="0\ &quot;kJ/kg&quot;"/>
    <numFmt numFmtId="181" formatCode="0.00\ &quot;kW&quot;"/>
    <numFmt numFmtId="182" formatCode="0.0\ &quot;°C&quot;"/>
    <numFmt numFmtId="183" formatCode="0.00\ &quot;m³/h&quot;"/>
    <numFmt numFmtId="184" formatCode="0.00\ &quot;kg/h&quot;"/>
    <numFmt numFmtId="185" formatCode="0.00\ &quot;m/s&quot;"/>
    <numFmt numFmtId="186" formatCode="0.00\ &quot;kg/m³&quot;"/>
    <numFmt numFmtId="187" formatCode="0.00\ &quot;kJ/kgK&quot;"/>
  </numFmts>
  <fonts count="5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Helv"/>
    </font>
    <font>
      <sz val="10"/>
      <name val="Courier"/>
    </font>
    <font>
      <sz val="10"/>
      <name val="Courier"/>
      <family val="3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Helv"/>
    </font>
    <font>
      <u val="double"/>
      <sz val="14"/>
      <name val="Helv"/>
    </font>
    <font>
      <u val="double"/>
      <sz val="10"/>
      <name val="Helv"/>
    </font>
    <font>
      <b/>
      <sz val="12"/>
      <color indexed="12"/>
      <name val="Helv"/>
    </font>
    <font>
      <sz val="10"/>
      <color indexed="12"/>
      <name val="Helv"/>
    </font>
    <font>
      <b/>
      <sz val="12"/>
      <name val="Helv"/>
    </font>
    <font>
      <b/>
      <sz val="10"/>
      <color rgb="FFFF0000"/>
      <name val="Helv"/>
    </font>
    <font>
      <b/>
      <sz val="10"/>
      <color indexed="12"/>
      <name val="Helv"/>
    </font>
    <font>
      <b/>
      <u val="double"/>
      <sz val="10"/>
      <name val="Helv"/>
    </font>
    <font>
      <b/>
      <u val="double"/>
      <sz val="14"/>
      <name val="Helv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" applyNumberFormat="0" applyAlignment="0" applyProtection="0"/>
    <xf numFmtId="0" fontId="12" fillId="7" borderId="2" applyNumberFormat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7" fillId="11" borderId="0" applyNumberFormat="0" applyBorder="0" applyAlignment="0" applyProtection="0"/>
    <xf numFmtId="0" fontId="13" fillId="0" borderId="0"/>
    <xf numFmtId="169" fontId="14" fillId="0" borderId="0"/>
    <xf numFmtId="0" fontId="22" fillId="0" borderId="6" applyNumberFormat="0" applyFill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9" borderId="0" applyNumberFormat="0" applyBorder="0" applyAlignment="0" applyProtection="0"/>
    <xf numFmtId="0" fontId="38" fillId="20" borderId="15" applyNumberFormat="0" applyAlignment="0" applyProtection="0"/>
    <xf numFmtId="0" fontId="4" fillId="21" borderId="16" applyNumberFormat="0" applyFont="0" applyAlignment="0" applyProtection="0"/>
    <xf numFmtId="0" fontId="4" fillId="22" borderId="0" applyNumberFormat="0" applyBorder="0" applyAlignment="0" applyProtection="0"/>
    <xf numFmtId="0" fontId="7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1" fillId="7" borderId="1" applyNumberFormat="0" applyAlignment="0" applyProtection="0"/>
  </cellStyleXfs>
  <cellXfs count="216">
    <xf numFmtId="0" fontId="0" fillId="0" borderId="0" xfId="0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0" xfId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2" applyFill="1" applyAlignment="1">
      <alignment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12" borderId="0" xfId="0" applyFill="1"/>
    <xf numFmtId="0" fontId="5" fillId="0" borderId="0" xfId="0" applyFont="1"/>
    <xf numFmtId="0" fontId="12" fillId="7" borderId="2" xfId="6"/>
    <xf numFmtId="1" fontId="12" fillId="7" borderId="2" xfId="6" applyNumberFormat="1"/>
    <xf numFmtId="2" fontId="12" fillId="7" borderId="2" xfId="6" applyNumberFormat="1"/>
    <xf numFmtId="0" fontId="4" fillId="3" borderId="3" xfId="3" applyBorder="1"/>
    <xf numFmtId="0" fontId="11" fillId="6" borderId="1" xfId="5"/>
    <xf numFmtId="2" fontId="4" fillId="3" borderId="3" xfId="3" applyNumberFormat="1" applyBorder="1"/>
    <xf numFmtId="0" fontId="4" fillId="3" borderId="3" xfId="3" applyBorder="1" applyAlignment="1">
      <alignment horizontal="center"/>
    </xf>
    <xf numFmtId="169" fontId="15" fillId="0" borderId="0" xfId="12" applyFont="1"/>
    <xf numFmtId="169" fontId="14" fillId="12" borderId="0" xfId="12" applyFill="1"/>
    <xf numFmtId="169" fontId="15" fillId="12" borderId="0" xfId="12" applyFont="1" applyFill="1"/>
    <xf numFmtId="169" fontId="15" fillId="12" borderId="0" xfId="12" applyFont="1" applyFill="1" applyAlignment="1">
      <alignment horizontal="center"/>
    </xf>
    <xf numFmtId="169" fontId="14" fillId="0" borderId="0" xfId="12"/>
    <xf numFmtId="169" fontId="14" fillId="12" borderId="4" xfId="12" applyFill="1" applyBorder="1" applyAlignment="1">
      <alignment horizontal="center"/>
    </xf>
    <xf numFmtId="169" fontId="14" fillId="12" borderId="0" xfId="12" applyFill="1" applyAlignment="1">
      <alignment horizontal="center"/>
    </xf>
    <xf numFmtId="169" fontId="14" fillId="0" borderId="0" xfId="12" applyAlignment="1">
      <alignment horizontal="center"/>
    </xf>
    <xf numFmtId="0" fontId="0" fillId="13" borderId="3" xfId="0" applyFill="1" applyBorder="1"/>
    <xf numFmtId="166" fontId="11" fillId="6" borderId="1" xfId="5" applyNumberFormat="1"/>
    <xf numFmtId="170" fontId="11" fillId="6" borderId="1" xfId="5" applyNumberFormat="1"/>
    <xf numFmtId="0" fontId="0" fillId="13" borderId="0" xfId="0" applyFill="1"/>
    <xf numFmtId="167" fontId="4" fillId="3" borderId="0" xfId="3" applyNumberFormat="1"/>
    <xf numFmtId="169" fontId="4" fillId="3" borderId="3" xfId="3" applyNumberFormat="1" applyBorder="1" applyProtection="1">
      <protection locked="0"/>
    </xf>
    <xf numFmtId="0" fontId="4" fillId="10" borderId="3" xfId="9" applyBorder="1"/>
    <xf numFmtId="171" fontId="10" fillId="5" borderId="3" xfId="4" applyNumberFormat="1" applyBorder="1"/>
    <xf numFmtId="0" fontId="7" fillId="2" borderId="3" xfId="2" applyBorder="1"/>
    <xf numFmtId="168" fontId="4" fillId="10" borderId="3" xfId="9" applyNumberFormat="1" applyBorder="1"/>
    <xf numFmtId="169" fontId="4" fillId="10" borderId="0" xfId="9" applyNumberFormat="1"/>
    <xf numFmtId="0" fontId="4" fillId="9" borderId="3" xfId="8" applyBorder="1"/>
    <xf numFmtId="168" fontId="4" fillId="9" borderId="3" xfId="8" applyNumberFormat="1" applyBorder="1"/>
    <xf numFmtId="0" fontId="4" fillId="8" borderId="0" xfId="7" applyAlignment="1">
      <alignment horizontal="center"/>
    </xf>
    <xf numFmtId="0" fontId="7" fillId="11" borderId="0" xfId="10"/>
    <xf numFmtId="0" fontId="16" fillId="11" borderId="0" xfId="10" applyFont="1" applyAlignment="1">
      <alignment horizontal="center"/>
    </xf>
    <xf numFmtId="0" fontId="17" fillId="11" borderId="0" xfId="10" applyFont="1" applyAlignment="1">
      <alignment horizontal="center"/>
    </xf>
    <xf numFmtId="0" fontId="18" fillId="0" borderId="0" xfId="0" applyFont="1"/>
    <xf numFmtId="0" fontId="17" fillId="14" borderId="0" xfId="0" applyFont="1" applyFill="1"/>
    <xf numFmtId="0" fontId="0" fillId="0" borderId="0" xfId="0" applyAlignment="1">
      <alignment vertical="center"/>
    </xf>
    <xf numFmtId="0" fontId="20" fillId="11" borderId="0" xfId="10" applyFont="1"/>
    <xf numFmtId="1" fontId="20" fillId="11" borderId="0" xfId="10" applyNumberFormat="1" applyFont="1" applyAlignment="1">
      <alignment horizontal="center"/>
    </xf>
    <xf numFmtId="0" fontId="20" fillId="11" borderId="0" xfId="10" applyFont="1" applyAlignment="1">
      <alignment horizontal="center"/>
    </xf>
    <xf numFmtId="0" fontId="17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20" fillId="11" borderId="0" xfId="10" applyFont="1" applyBorder="1"/>
    <xf numFmtId="0" fontId="22" fillId="0" borderId="6" xfId="13"/>
    <xf numFmtId="0" fontId="23" fillId="0" borderId="0" xfId="0" applyFont="1"/>
    <xf numFmtId="0" fontId="4" fillId="16" borderId="3" xfId="14" applyBorder="1"/>
    <xf numFmtId="172" fontId="4" fillId="16" borderId="3" xfId="14" applyNumberFormat="1" applyBorder="1"/>
    <xf numFmtId="173" fontId="4" fillId="16" borderId="3" xfId="14" applyNumberFormat="1" applyBorder="1"/>
    <xf numFmtId="2" fontId="4" fillId="16" borderId="3" xfId="14" applyNumberFormat="1" applyBorder="1"/>
    <xf numFmtId="1" fontId="4" fillId="16" borderId="3" xfId="14" applyNumberFormat="1" applyBorder="1"/>
    <xf numFmtId="2" fontId="14" fillId="0" borderId="0" xfId="12" applyNumberFormat="1"/>
    <xf numFmtId="175" fontId="18" fillId="15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0" fillId="11" borderId="0" xfId="10" applyFont="1" applyAlignment="1">
      <alignment horizontal="right"/>
    </xf>
    <xf numFmtId="175" fontId="20" fillId="11" borderId="0" xfId="10" applyNumberFormat="1" applyFont="1" applyAlignment="1">
      <alignment horizontal="right"/>
    </xf>
    <xf numFmtId="176" fontId="20" fillId="11" borderId="0" xfId="10" applyNumberFormat="1" applyFont="1" applyAlignment="1">
      <alignment horizontal="right"/>
    </xf>
    <xf numFmtId="0" fontId="25" fillId="0" borderId="0" xfId="11" applyFont="1"/>
    <xf numFmtId="0" fontId="13" fillId="0" borderId="0" xfId="11"/>
    <xf numFmtId="0" fontId="26" fillId="0" borderId="0" xfId="11" applyFont="1" applyAlignment="1">
      <alignment horizontal="left"/>
    </xf>
    <xf numFmtId="0" fontId="27" fillId="0" borderId="0" xfId="11" applyFont="1"/>
    <xf numFmtId="0" fontId="13" fillId="0" borderId="0" xfId="11" applyAlignment="1">
      <alignment horizontal="left"/>
    </xf>
    <xf numFmtId="0" fontId="28" fillId="0" borderId="8" xfId="11" applyFont="1" applyBorder="1" applyAlignment="1" applyProtection="1">
      <alignment horizontal="left"/>
      <protection locked="0"/>
    </xf>
    <xf numFmtId="0" fontId="29" fillId="0" borderId="9" xfId="11" applyFont="1" applyBorder="1" applyProtection="1">
      <protection locked="0"/>
    </xf>
    <xf numFmtId="0" fontId="29" fillId="0" borderId="10" xfId="11" applyFont="1" applyBorder="1" applyProtection="1">
      <protection locked="0"/>
    </xf>
    <xf numFmtId="0" fontId="29" fillId="0" borderId="0" xfId="11" applyFont="1" applyProtection="1">
      <protection locked="0"/>
    </xf>
    <xf numFmtId="0" fontId="30" fillId="0" borderId="11" xfId="11" applyFont="1" applyBorder="1" applyAlignment="1">
      <alignment horizontal="left"/>
    </xf>
    <xf numFmtId="0" fontId="13" fillId="0" borderId="12" xfId="11" applyBorder="1"/>
    <xf numFmtId="0" fontId="13" fillId="0" borderId="13" xfId="11" applyBorder="1"/>
    <xf numFmtId="0" fontId="25" fillId="0" borderId="0" xfId="11" applyFont="1" applyAlignment="1">
      <alignment horizontal="left"/>
    </xf>
    <xf numFmtId="0" fontId="25" fillId="0" borderId="14" xfId="11" applyFont="1" applyBorder="1"/>
    <xf numFmtId="0" fontId="25" fillId="0" borderId="14" xfId="11" applyFont="1" applyBorder="1" applyAlignment="1">
      <alignment horizontal="right"/>
    </xf>
    <xf numFmtId="0" fontId="25" fillId="0" borderId="14" xfId="11" applyFont="1" applyBorder="1" applyAlignment="1">
      <alignment horizontal="left"/>
    </xf>
    <xf numFmtId="0" fontId="31" fillId="0" borderId="0" xfId="11" applyFont="1"/>
    <xf numFmtId="0" fontId="29" fillId="0" borderId="0" xfId="11" applyFont="1" applyAlignment="1" applyProtection="1">
      <alignment horizontal="right"/>
      <protection locked="0"/>
    </xf>
    <xf numFmtId="167" fontId="13" fillId="0" borderId="0" xfId="11" applyNumberFormat="1"/>
    <xf numFmtId="168" fontId="13" fillId="0" borderId="0" xfId="11" applyNumberFormat="1"/>
    <xf numFmtId="177" fontId="13" fillId="0" borderId="0" xfId="11" applyNumberFormat="1"/>
    <xf numFmtId="0" fontId="13" fillId="0" borderId="0" xfId="11" applyAlignment="1">
      <alignment horizontal="right"/>
    </xf>
    <xf numFmtId="178" fontId="29" fillId="0" borderId="0" xfId="11" applyNumberFormat="1" applyFont="1" applyProtection="1">
      <protection locked="0"/>
    </xf>
    <xf numFmtId="0" fontId="33" fillId="0" borderId="0" xfId="11" applyFont="1" applyAlignment="1">
      <alignment horizontal="left"/>
    </xf>
    <xf numFmtId="0" fontId="33" fillId="0" borderId="0" xfId="11" applyFont="1"/>
    <xf numFmtId="168" fontId="34" fillId="0" borderId="0" xfId="11" applyNumberFormat="1" applyFont="1"/>
    <xf numFmtId="165" fontId="13" fillId="0" borderId="0" xfId="11" applyNumberFormat="1"/>
    <xf numFmtId="179" fontId="18" fillId="12" borderId="0" xfId="0" applyNumberFormat="1" applyFont="1" applyFill="1"/>
    <xf numFmtId="0" fontId="6" fillId="1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2" fontId="38" fillId="20" borderId="15" xfId="19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24" fillId="0" borderId="0" xfId="0" applyFont="1"/>
    <xf numFmtId="0" fontId="0" fillId="4" borderId="0" xfId="0" applyFill="1"/>
    <xf numFmtId="0" fontId="38" fillId="29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40" fillId="11" borderId="0" xfId="10" applyFont="1" applyAlignment="1">
      <alignment horizontal="center"/>
    </xf>
    <xf numFmtId="0" fontId="4" fillId="16" borderId="0" xfId="14"/>
    <xf numFmtId="0" fontId="6" fillId="16" borderId="0" xfId="14" applyFont="1"/>
    <xf numFmtId="0" fontId="4" fillId="17" borderId="0" xfId="15"/>
    <xf numFmtId="1" fontId="4" fillId="17" borderId="0" xfId="15" applyNumberFormat="1"/>
    <xf numFmtId="0" fontId="36" fillId="18" borderId="3" xfId="17" applyBorder="1"/>
    <xf numFmtId="175" fontId="41" fillId="18" borderId="3" xfId="17" applyNumberFormat="1" applyFont="1" applyBorder="1"/>
    <xf numFmtId="0" fontId="5" fillId="0" borderId="0" xfId="0" applyFont="1" applyAlignment="1">
      <alignment vertical="center"/>
    </xf>
    <xf numFmtId="164" fontId="6" fillId="0" borderId="0" xfId="0" applyNumberFormat="1" applyFont="1"/>
    <xf numFmtId="0" fontId="42" fillId="12" borderId="0" xfId="0" applyFont="1" applyFill="1"/>
    <xf numFmtId="0" fontId="17" fillId="12" borderId="0" xfId="0" applyFont="1" applyFill="1"/>
    <xf numFmtId="0" fontId="43" fillId="12" borderId="0" xfId="0" applyFont="1" applyFill="1"/>
    <xf numFmtId="0" fontId="0" fillId="31" borderId="0" xfId="0" applyFill="1"/>
    <xf numFmtId="0" fontId="6" fillId="31" borderId="0" xfId="0" applyFont="1" applyFill="1"/>
    <xf numFmtId="0" fontId="4" fillId="26" borderId="0" xfId="25"/>
    <xf numFmtId="0" fontId="6" fillId="26" borderId="0" xfId="25" applyFont="1"/>
    <xf numFmtId="1" fontId="6" fillId="26" borderId="0" xfId="25" applyNumberFormat="1" applyFont="1"/>
    <xf numFmtId="0" fontId="4" fillId="27" borderId="0" xfId="26"/>
    <xf numFmtId="0" fontId="4" fillId="27" borderId="0" xfId="26" applyBorder="1"/>
    <xf numFmtId="1" fontId="6" fillId="27" borderId="0" xfId="26" applyNumberFormat="1" applyFont="1" applyBorder="1"/>
    <xf numFmtId="0" fontId="6" fillId="27" borderId="0" xfId="26" applyFont="1" applyBorder="1"/>
    <xf numFmtId="0" fontId="44" fillId="0" borderId="0" xfId="0" applyFont="1"/>
    <xf numFmtId="1" fontId="46" fillId="23" borderId="3" xfId="22" applyNumberFormat="1" applyFont="1" applyBorder="1"/>
    <xf numFmtId="0" fontId="46" fillId="23" borderId="3" xfId="22" applyFont="1" applyBorder="1"/>
    <xf numFmtId="1" fontId="6" fillId="27" borderId="0" xfId="26" applyNumberFormat="1" applyFont="1"/>
    <xf numFmtId="0" fontId="6" fillId="19" borderId="0" xfId="18" applyFont="1" applyAlignment="1">
      <alignment horizontal="center"/>
    </xf>
    <xf numFmtId="0" fontId="4" fillId="19" borderId="0" xfId="18" applyFont="1" applyAlignment="1">
      <alignment horizontal="center"/>
    </xf>
    <xf numFmtId="0" fontId="4" fillId="26" borderId="0" xfId="25" applyAlignment="1">
      <alignment horizontal="left"/>
    </xf>
    <xf numFmtId="0" fontId="2" fillId="0" borderId="0" xfId="1" applyAlignment="1"/>
    <xf numFmtId="1" fontId="6" fillId="3" borderId="3" xfId="3" applyNumberFormat="1" applyFont="1" applyBorder="1"/>
    <xf numFmtId="0" fontId="6" fillId="3" borderId="3" xfId="3" applyFont="1" applyBorder="1"/>
    <xf numFmtId="0" fontId="6" fillId="3" borderId="3" xfId="3" applyFont="1" applyBorder="1" applyAlignment="1">
      <alignment horizontal="center"/>
    </xf>
    <xf numFmtId="0" fontId="6" fillId="21" borderId="16" xfId="20" applyFont="1"/>
    <xf numFmtId="0" fontId="6" fillId="24" borderId="0" xfId="23" applyFont="1"/>
    <xf numFmtId="9" fontId="6" fillId="24" borderId="0" xfId="23" applyNumberFormat="1" applyFont="1"/>
    <xf numFmtId="0" fontId="4" fillId="24" borderId="0" xfId="23"/>
    <xf numFmtId="0" fontId="42" fillId="24" borderId="3" xfId="23" applyFont="1" applyBorder="1"/>
    <xf numFmtId="0" fontId="6" fillId="6" borderId="1" xfId="5" applyFont="1"/>
    <xf numFmtId="1" fontId="6" fillId="6" borderId="20" xfId="5" applyNumberFormat="1" applyFont="1" applyBorder="1"/>
    <xf numFmtId="0" fontId="6" fillId="6" borderId="20" xfId="5" applyFont="1" applyBorder="1"/>
    <xf numFmtId="0" fontId="0" fillId="0" borderId="3" xfId="0" applyBorder="1"/>
    <xf numFmtId="0" fontId="4" fillId="28" borderId="0" xfId="27"/>
    <xf numFmtId="1" fontId="6" fillId="28" borderId="0" xfId="27" applyNumberFormat="1" applyFont="1"/>
    <xf numFmtId="1" fontId="17" fillId="23" borderId="3" xfId="22" applyNumberFormat="1" applyFont="1" applyBorder="1"/>
    <xf numFmtId="0" fontId="17" fillId="23" borderId="3" xfId="22" applyFont="1" applyBorder="1"/>
    <xf numFmtId="0" fontId="0" fillId="33" borderId="0" xfId="0" applyFill="1" applyAlignment="1">
      <alignment horizontal="center" vertical="center"/>
    </xf>
    <xf numFmtId="0" fontId="48" fillId="0" borderId="0" xfId="0" applyFont="1"/>
    <xf numFmtId="0" fontId="49" fillId="0" borderId="0" xfId="0" applyFont="1"/>
    <xf numFmtId="174" fontId="50" fillId="0" borderId="0" xfId="12" applyNumberFormat="1" applyFont="1"/>
    <xf numFmtId="0" fontId="42" fillId="4" borderId="0" xfId="0" applyFont="1" applyFill="1"/>
    <xf numFmtId="0" fontId="4" fillId="25" borderId="0" xfId="24"/>
    <xf numFmtId="10" fontId="4" fillId="27" borderId="0" xfId="26" applyNumberFormat="1"/>
    <xf numFmtId="0" fontId="6" fillId="3" borderId="0" xfId="3" applyFont="1"/>
    <xf numFmtId="2" fontId="6" fillId="3" borderId="0" xfId="3" applyNumberFormat="1" applyFont="1"/>
    <xf numFmtId="0" fontId="42" fillId="9" borderId="3" xfId="8" applyFont="1" applyBorder="1"/>
    <xf numFmtId="0" fontId="4" fillId="22" borderId="0" xfId="21"/>
    <xf numFmtId="169" fontId="4" fillId="16" borderId="3" xfId="14" applyNumberFormat="1" applyBorder="1"/>
    <xf numFmtId="180" fontId="4" fillId="16" borderId="3" xfId="14" applyNumberFormat="1" applyBorder="1"/>
    <xf numFmtId="181" fontId="4" fillId="16" borderId="3" xfId="14" applyNumberFormat="1" applyBorder="1"/>
    <xf numFmtId="182" fontId="4" fillId="16" borderId="3" xfId="14" applyNumberFormat="1" applyBorder="1"/>
    <xf numFmtId="183" fontId="4" fillId="16" borderId="1" xfId="14" applyNumberFormat="1" applyBorder="1"/>
    <xf numFmtId="184" fontId="4" fillId="16" borderId="1" xfId="14" applyNumberFormat="1" applyBorder="1"/>
    <xf numFmtId="185" fontId="4" fillId="16" borderId="3" xfId="14" applyNumberFormat="1" applyBorder="1"/>
    <xf numFmtId="186" fontId="4" fillId="16" borderId="1" xfId="14" applyNumberFormat="1" applyBorder="1"/>
    <xf numFmtId="187" fontId="4" fillId="16" borderId="3" xfId="14" applyNumberFormat="1" applyBorder="1"/>
    <xf numFmtId="0" fontId="0" fillId="0" borderId="4" xfId="0" applyBorder="1"/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11" borderId="0" xfId="10" applyFont="1" applyAlignment="1">
      <alignment horizontal="center"/>
    </xf>
    <xf numFmtId="0" fontId="40" fillId="11" borderId="0" xfId="10" applyFont="1" applyAlignment="1">
      <alignment horizontal="center" vertical="center"/>
    </xf>
    <xf numFmtId="0" fontId="4" fillId="17" borderId="0" xfId="15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17" fillId="30" borderId="0" xfId="0" applyFont="1" applyFill="1" applyAlignment="1">
      <alignment horizontal="center"/>
    </xf>
    <xf numFmtId="0" fontId="6" fillId="26" borderId="0" xfId="25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4" fillId="26" borderId="0" xfId="25" applyAlignment="1">
      <alignment horizontal="center"/>
    </xf>
    <xf numFmtId="0" fontId="6" fillId="0" borderId="0" xfId="16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4" fillId="27" borderId="0" xfId="26" applyBorder="1" applyAlignment="1">
      <alignment horizontal="center"/>
    </xf>
    <xf numFmtId="0" fontId="6" fillId="3" borderId="0" xfId="3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2" borderId="0" xfId="0" applyFont="1" applyFill="1" applyAlignment="1">
      <alignment horizontal="center"/>
    </xf>
    <xf numFmtId="0" fontId="45" fillId="23" borderId="3" xfId="22" applyFont="1" applyBorder="1" applyAlignment="1">
      <alignment horizontal="center"/>
    </xf>
    <xf numFmtId="0" fontId="4" fillId="27" borderId="0" xfId="26" applyAlignment="1">
      <alignment horizontal="center"/>
    </xf>
    <xf numFmtId="0" fontId="17" fillId="12" borderId="0" xfId="0" applyFont="1" applyFill="1" applyAlignment="1">
      <alignment horizontal="center"/>
    </xf>
    <xf numFmtId="0" fontId="6" fillId="31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4" fillId="16" borderId="7" xfId="14" applyFont="1" applyBorder="1" applyAlignment="1">
      <alignment horizontal="center"/>
    </xf>
    <xf numFmtId="0" fontId="0" fillId="12" borderId="0" xfId="0" applyFill="1" applyAlignment="1">
      <alignment horizontal="center"/>
    </xf>
    <xf numFmtId="0" fontId="23" fillId="0" borderId="4" xfId="0" applyFont="1" applyBorder="1" applyAlignment="1">
      <alignment horizontal="center"/>
    </xf>
    <xf numFmtId="0" fontId="6" fillId="16" borderId="17" xfId="14" applyFont="1" applyBorder="1" applyAlignment="1">
      <alignment horizontal="center"/>
    </xf>
    <xf numFmtId="0" fontId="6" fillId="16" borderId="18" xfId="14" applyFont="1" applyBorder="1" applyAlignment="1">
      <alignment horizontal="center"/>
    </xf>
    <xf numFmtId="169" fontId="6" fillId="16" borderId="17" xfId="14" applyNumberFormat="1" applyFont="1" applyBorder="1" applyAlignment="1">
      <alignment horizontal="center"/>
    </xf>
    <xf numFmtId="169" fontId="6" fillId="16" borderId="19" xfId="14" applyNumberFormat="1" applyFont="1" applyBorder="1" applyAlignment="1">
      <alignment horizontal="center"/>
    </xf>
    <xf numFmtId="0" fontId="6" fillId="16" borderId="3" xfId="14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169" fontId="15" fillId="12" borderId="4" xfId="12" applyFont="1" applyFill="1" applyBorder="1" applyAlignment="1">
      <alignment horizontal="center"/>
    </xf>
    <xf numFmtId="169" fontId="15" fillId="12" borderId="0" xfId="12" applyFont="1" applyFill="1" applyAlignment="1">
      <alignment horizontal="center"/>
    </xf>
    <xf numFmtId="169" fontId="15" fillId="0" borderId="0" xfId="12" applyFont="1" applyAlignment="1">
      <alignment horizontal="center"/>
    </xf>
    <xf numFmtId="169" fontId="14" fillId="0" borderId="0" xfId="12" applyAlignment="1">
      <alignment horizontal="center"/>
    </xf>
    <xf numFmtId="169" fontId="15" fillId="12" borderId="5" xfId="12" applyFont="1" applyFill="1" applyBorder="1" applyAlignment="1">
      <alignment horizontal="center"/>
    </xf>
    <xf numFmtId="0" fontId="32" fillId="0" borderId="0" xfId="11" applyFont="1" applyAlignment="1" applyProtection="1">
      <alignment horizontal="center"/>
      <protection locked="0"/>
    </xf>
    <xf numFmtId="0" fontId="52" fillId="7" borderId="1" xfId="28" applyFont="1"/>
    <xf numFmtId="0" fontId="23" fillId="7" borderId="1" xfId="28" applyFont="1"/>
  </cellXfs>
  <cellStyles count="29">
    <cellStyle name="20% - Accent1" xfId="14" builtinId="30"/>
    <cellStyle name="20% - Accent2" xfId="21" builtinId="34"/>
    <cellStyle name="20% - Accent3" xfId="7" builtinId="38"/>
    <cellStyle name="20% - Accent4" xfId="23" builtinId="42"/>
    <cellStyle name="20% - Accent5" xfId="24" builtinId="46"/>
    <cellStyle name="20% - Accent6" xfId="26" builtinId="50"/>
    <cellStyle name="40% - Accent2" xfId="15" builtinId="35"/>
    <cellStyle name="40% - Accent5" xfId="25" builtinId="47"/>
    <cellStyle name="40% - Accent6" xfId="27" builtinId="51"/>
    <cellStyle name="60% - Accent4" xfId="8" builtinId="44"/>
    <cellStyle name="60% - Accent5" xfId="9" builtinId="48"/>
    <cellStyle name="60% - Accent6" xfId="3" builtinId="52"/>
    <cellStyle name="Accent2" xfId="2" builtinId="33"/>
    <cellStyle name="Accent4" xfId="22" builtinId="41"/>
    <cellStyle name="Accent6" xfId="10" builtinId="49"/>
    <cellStyle name="Bad" xfId="18" builtinId="27"/>
    <cellStyle name="Calculation" xfId="28" builtinId="22"/>
    <cellStyle name="Check Cell" xfId="19" builtinId="23"/>
    <cellStyle name="Good" xfId="17" builtinId="26"/>
    <cellStyle name="Heading 1" xfId="13" builtinId="16"/>
    <cellStyle name="Heading 4" xfId="16" builtinId="19"/>
    <cellStyle name="Hyperlink" xfId="1" builtinId="8"/>
    <cellStyle name="Input" xfId="5" builtinId="20"/>
    <cellStyle name="Neutral" xfId="4" builtinId="28"/>
    <cellStyle name="Normal" xfId="0" builtinId="0"/>
    <cellStyle name="Note" xfId="20" builtinId="10"/>
    <cellStyle name="Output" xfId="6" builtinId="21"/>
    <cellStyle name="Standard 3" xfId="12" xr:uid="{39948476-D2FE-434B-A74E-32EB96E7D090}"/>
    <cellStyle name="Standard 4" xfId="11" xr:uid="{49B09B0F-498E-43FF-B72A-7526A6CEFDBF}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716133</xdr:colOff>
      <xdr:row>6</xdr:row>
      <xdr:rowOff>208670</xdr:rowOff>
    </xdr:from>
    <xdr:to>
      <xdr:col>1</xdr:col>
      <xdr:colOff>718038</xdr:colOff>
      <xdr:row>17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672F68-9360-4420-4025-CABFD267E5C5}"/>
            </a:ext>
          </a:extLst>
        </xdr:cNvPr>
        <xdr:cNvCxnSpPr/>
      </xdr:nvCxnSpPr>
      <xdr:spPr>
        <a:xfrm>
          <a:off x="2650441" y="824132"/>
          <a:ext cx="1905" cy="2289810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16</xdr:row>
      <xdr:rowOff>230458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5DC9FF31-37A4-42AB-AE60-A3B6EBD1C8F5}"/>
            </a:ext>
          </a:extLst>
        </xdr:cNvPr>
        <xdr:cNvCxnSpPr/>
      </xdr:nvCxnSpPr>
      <xdr:spPr>
        <a:xfrm>
          <a:off x="5464098" y="639337"/>
          <a:ext cx="0" cy="2535043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414881</xdr:colOff>
      <xdr:row>20</xdr:row>
      <xdr:rowOff>87766</xdr:rowOff>
    </xdr:from>
    <xdr:to>
      <xdr:col>12</xdr:col>
      <xdr:colOff>208501</xdr:colOff>
      <xdr:row>37</xdr:row>
      <xdr:rowOff>57771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1A267-2C29-E60B-A5CD-1F8F469D7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3006" y="3710668"/>
          <a:ext cx="4350244" cy="3041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209278</xdr:colOff>
      <xdr:row>20</xdr:row>
      <xdr:rowOff>113280</xdr:rowOff>
    </xdr:from>
    <xdr:to>
      <xdr:col>19</xdr:col>
      <xdr:colOff>76329</xdr:colOff>
      <xdr:row>37</xdr:row>
      <xdr:rowOff>136013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E55263-B416-4275-23A1-928500828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8787" y="3736182"/>
          <a:ext cx="4195823" cy="3115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201930</xdr:colOff>
      <xdr:row>38</xdr:row>
      <xdr:rowOff>78105</xdr:rowOff>
    </xdr:from>
    <xdr:to>
      <xdr:col>17</xdr:col>
      <xdr:colOff>438637</xdr:colOff>
      <xdr:row>52</xdr:row>
      <xdr:rowOff>57369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6659CB-1CD2-F0FF-BAE5-421B962AB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17955" y="7050405"/>
          <a:ext cx="5629762" cy="2524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1</xdr:row>
      <xdr:rowOff>161925</xdr:rowOff>
    </xdr:from>
    <xdr:to>
      <xdr:col>6</xdr:col>
      <xdr:colOff>3600450</xdr:colOff>
      <xdr:row>5</xdr:row>
      <xdr:rowOff>54039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823D4-1540-46EC-A8D3-E5138419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0" y="342900"/>
          <a:ext cx="3486150" cy="6064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257758</xdr:colOff>
      <xdr:row>2</xdr:row>
      <xdr:rowOff>135912</xdr:rowOff>
    </xdr:from>
    <xdr:to>
      <xdr:col>18</xdr:col>
      <xdr:colOff>64770</xdr:colOff>
      <xdr:row>22</xdr:row>
      <xdr:rowOff>168427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3C2B4-500D-F94B-F419-F9CA20812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5158" y="545487"/>
          <a:ext cx="5998262" cy="3671065"/>
        </a:xfrm>
        <a:prstGeom prst="rect">
          <a:avLst/>
        </a:prstGeom>
      </xdr:spPr>
    </xdr:pic>
    <xdr:clientData/>
  </xdr:twoCellAnchor>
  <xdr:twoCellAnchor editAs="oneCell">
    <xdr:from>
      <xdr:col>3</xdr:col>
      <xdr:colOff>7619</xdr:colOff>
      <xdr:row>13</xdr:row>
      <xdr:rowOff>108584</xdr:rowOff>
    </xdr:from>
    <xdr:to>
      <xdr:col>5</xdr:col>
      <xdr:colOff>123825</xdr:colOff>
      <xdr:row>16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1AABF2-66C4-AEA4-9ECA-FA2FC541B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t="95705" r="79197" b="294"/>
        <a:stretch/>
      </xdr:blipFill>
      <xdr:spPr>
        <a:xfrm>
          <a:off x="5532119" y="2508884"/>
          <a:ext cx="2440306" cy="502921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</xdr:colOff>
      <xdr:row>24</xdr:row>
      <xdr:rowOff>93345</xdr:rowOff>
    </xdr:from>
    <xdr:to>
      <xdr:col>8</xdr:col>
      <xdr:colOff>542925</xdr:colOff>
      <xdr:row>39</xdr:row>
      <xdr:rowOff>169545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C0E532-33A2-061E-8ECD-CE2C878C1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212" r="8305" b="3241"/>
        <a:stretch/>
      </xdr:blipFill>
      <xdr:spPr>
        <a:xfrm>
          <a:off x="5574029" y="4503420"/>
          <a:ext cx="4646296" cy="2790825"/>
        </a:xfrm>
        <a:prstGeom prst="rect">
          <a:avLst/>
        </a:prstGeom>
      </xdr:spPr>
    </xdr:pic>
    <xdr:clientData/>
  </xdr:twoCellAnchor>
  <xdr:twoCellAnchor editAs="oneCell">
    <xdr:from>
      <xdr:col>2</xdr:col>
      <xdr:colOff>1131570</xdr:colOff>
      <xdr:row>40</xdr:row>
      <xdr:rowOff>123825</xdr:rowOff>
    </xdr:from>
    <xdr:to>
      <xdr:col>11</xdr:col>
      <xdr:colOff>19574</xdr:colOff>
      <xdr:row>72</xdr:row>
      <xdr:rowOff>78604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18442D-58EB-4B63-984C-722F96006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3545" y="7429500"/>
          <a:ext cx="6018419" cy="57459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ammad.ahmed\Desktop\calculation_interpretation\&#220;bersicht%20Anlagen%20Lastf&#228;lle_20%20MW.xlsm" TargetMode="External"/><Relationship Id="rId1" Type="http://schemas.openxmlformats.org/officeDocument/2006/relationships/externalLinkPath" Target="&#220;bersicht%20Anlagen%20Lastf&#228;lle_20%20MW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ammad.ahmed\Desktop\calculation_interpretation\&#220;bersicht%20Anlagen%20Lastf&#228;lle_60%20MW.xlsm" TargetMode="External"/><Relationship Id="rId1" Type="http://schemas.openxmlformats.org/officeDocument/2006/relationships/externalLinkPath" Target="&#220;bersicht%20Anlagen%20Lastf&#228;lle_60%20M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hälter"/>
      <sheetName val="Piping dp"/>
      <sheetName val="Rohrleitungsberechnung "/>
      <sheetName val="Edelkata 4320 P=31"/>
      <sheetName val="dp Edelkata 4320 P=31"/>
      <sheetName val="Trobere 4320 P=31"/>
      <sheetName val="dp Trockner_Betrieb 4320 P=31"/>
      <sheetName val="dp Trockner_Reg 250"/>
      <sheetName val="Edelkata 864 P=36"/>
      <sheetName val="dp Edelkata 864 P=36"/>
      <sheetName val="Trobere 864 P=36"/>
      <sheetName val="dP Trockner 864 P=36"/>
      <sheetName val="Edelkata 864 P=46"/>
      <sheetName val="dp Edelkata 864 P=46"/>
      <sheetName val="Trobere 864 P=46"/>
      <sheetName val="3AK Trocknung"/>
      <sheetName val="Demister DeOxo"/>
      <sheetName val="Demister REg"/>
      <sheetName val="dP Trockner 864 P=46"/>
      <sheetName val="Auswahl"/>
      <sheetName val="Antoine H2O"/>
      <sheetName val="Berechnung Wasserfracht"/>
      <sheetName val="Layout"/>
      <sheetName val="Tabelle2"/>
    </sheetNames>
    <sheetDataSet>
      <sheetData sheetId="0"/>
      <sheetData sheetId="1"/>
      <sheetData sheetId="2"/>
      <sheetData sheetId="3">
        <row r="11">
          <cell r="G11">
            <v>48.5</v>
          </cell>
        </row>
      </sheetData>
      <sheetData sheetId="4"/>
      <sheetData sheetId="5">
        <row r="5">
          <cell r="C5">
            <v>4320</v>
          </cell>
        </row>
        <row r="7">
          <cell r="C7">
            <v>20</v>
          </cell>
        </row>
        <row r="9">
          <cell r="C9">
            <v>0.31</v>
          </cell>
        </row>
        <row r="14">
          <cell r="H14">
            <v>3468.6020166456688</v>
          </cell>
        </row>
        <row r="17">
          <cell r="AG17" t="str">
            <v>dT</v>
          </cell>
          <cell r="AH17">
            <v>190</v>
          </cell>
        </row>
        <row r="18">
          <cell r="AG18" t="str">
            <v>cp</v>
          </cell>
          <cell r="AH18">
            <v>0.31</v>
          </cell>
        </row>
        <row r="19">
          <cell r="AG19" t="str">
            <v>V</v>
          </cell>
          <cell r="AH19">
            <v>190</v>
          </cell>
        </row>
        <row r="20">
          <cell r="AG20" t="str">
            <v>Q_cool</v>
          </cell>
          <cell r="AH20">
            <v>12.993994444444443</v>
          </cell>
        </row>
        <row r="21">
          <cell r="AG21" t="str">
            <v>Q_latent_max</v>
          </cell>
          <cell r="AH21">
            <v>13.083423138095368</v>
          </cell>
        </row>
        <row r="22">
          <cell r="AG22" t="str">
            <v>Q_avg.</v>
          </cell>
          <cell r="AH22">
            <v>14.629422336706364</v>
          </cell>
        </row>
        <row r="23">
          <cell r="AG23" t="str">
            <v>m_Cond_max</v>
          </cell>
          <cell r="AH23">
            <v>20.868552634977103</v>
          </cell>
        </row>
        <row r="24">
          <cell r="AG24" t="str">
            <v>Q_sum</v>
          </cell>
          <cell r="AH24">
            <v>26.077417582539809</v>
          </cell>
        </row>
        <row r="25">
          <cell r="AG25" t="str">
            <v>T_cw_in:</v>
          </cell>
          <cell r="AH25">
            <v>15</v>
          </cell>
        </row>
        <row r="26">
          <cell r="AG26" t="str">
            <v>V_Chw:</v>
          </cell>
          <cell r="AH26">
            <v>6</v>
          </cell>
        </row>
        <row r="27">
          <cell r="AG27" t="str">
            <v>m_Chw:</v>
          </cell>
          <cell r="AH27">
            <v>6264</v>
          </cell>
        </row>
        <row r="28">
          <cell r="AG28" t="str">
            <v>T_cw_aus</v>
          </cell>
          <cell r="AH28">
            <v>19.272241048791564</v>
          </cell>
        </row>
        <row r="29">
          <cell r="AG29" t="str">
            <v>Gewählt Q:</v>
          </cell>
          <cell r="AH29">
            <v>30</v>
          </cell>
        </row>
        <row r="30">
          <cell r="AG30" t="str">
            <v>DN</v>
          </cell>
          <cell r="AH30">
            <v>40</v>
          </cell>
        </row>
        <row r="31">
          <cell r="AG31" t="str">
            <v>v_Chw</v>
          </cell>
          <cell r="AH31">
            <v>1.3262911924324612</v>
          </cell>
        </row>
        <row r="32">
          <cell r="AG32" t="str">
            <v>roh_Wasser_40Glyk</v>
          </cell>
          <cell r="AH32">
            <v>1044</v>
          </cell>
        </row>
        <row r="33">
          <cell r="AG33" t="str">
            <v>cp_Wasser_40Glyk</v>
          </cell>
          <cell r="AH33">
            <v>3.5079999999999996</v>
          </cell>
        </row>
        <row r="37">
          <cell r="AG37" t="str">
            <v>dT</v>
          </cell>
          <cell r="AH37">
            <v>190</v>
          </cell>
        </row>
        <row r="38">
          <cell r="AG38" t="str">
            <v>cp</v>
          </cell>
          <cell r="AH38">
            <v>0.31</v>
          </cell>
        </row>
        <row r="39">
          <cell r="AG39" t="str">
            <v>V</v>
          </cell>
          <cell r="AH39">
            <v>190</v>
          </cell>
        </row>
        <row r="40">
          <cell r="AG40" t="str">
            <v>Q_Kühl</v>
          </cell>
          <cell r="AH40">
            <v>4.742676964070629</v>
          </cell>
        </row>
        <row r="41">
          <cell r="AG41" t="str">
            <v>T_cw_in:</v>
          </cell>
          <cell r="AH41">
            <v>15</v>
          </cell>
        </row>
        <row r="42">
          <cell r="AG42" t="str">
            <v>V_Chw:</v>
          </cell>
          <cell r="AH42">
            <v>1</v>
          </cell>
        </row>
        <row r="43">
          <cell r="AG43" t="str">
            <v>m_Chw:</v>
          </cell>
          <cell r="AH43">
            <v>1044</v>
          </cell>
        </row>
        <row r="44">
          <cell r="AG44" t="str">
            <v>T_cw_aus</v>
          </cell>
          <cell r="AH44">
            <v>19.661932296691926</v>
          </cell>
        </row>
        <row r="45">
          <cell r="AG45" t="str">
            <v>Gewählt Q:</v>
          </cell>
          <cell r="AH45">
            <v>10</v>
          </cell>
        </row>
        <row r="46">
          <cell r="AG46" t="str">
            <v>DN</v>
          </cell>
          <cell r="AH46">
            <v>15</v>
          </cell>
        </row>
        <row r="47">
          <cell r="AG47" t="str">
            <v>v_Chw</v>
          </cell>
          <cell r="AH47">
            <v>1.5719006725125466</v>
          </cell>
        </row>
        <row r="48">
          <cell r="AG48" t="str">
            <v>roh_Wasser_40Glyk</v>
          </cell>
          <cell r="AH48">
            <v>1044</v>
          </cell>
        </row>
        <row r="49">
          <cell r="AG49" t="str">
            <v>cp_Wasser_40Glyk</v>
          </cell>
          <cell r="AH49">
            <v>3.5079999999999996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hälter"/>
      <sheetName val="Piping dp"/>
      <sheetName val="Rohrleitungsberechnung "/>
      <sheetName val="Edelkata 12960 P=31"/>
      <sheetName val="dp Edelkata 12960 P=31"/>
      <sheetName val="Trobere 12960 P=31"/>
      <sheetName val="dp Trockner_Betrieb 12960 P=31"/>
      <sheetName val="dp Trockner_Reg 470"/>
      <sheetName val="Edelkata 2160 P=36"/>
      <sheetName val="dp Edelkata 2160 P=36"/>
      <sheetName val="Trobere 2160 P=36"/>
      <sheetName val="dP Trockner 864 P=36"/>
      <sheetName val="Edelkata 864 P=46"/>
      <sheetName val="dp Edelkata 864 P=46"/>
      <sheetName val="Trobere 864 P=46"/>
      <sheetName val="dP Trockner 864 P=46"/>
      <sheetName val="Layout"/>
      <sheetName val="Demister DeOxo"/>
      <sheetName val="Demister REg"/>
      <sheetName val="Auswahl"/>
      <sheetName val="Antoine H2O"/>
      <sheetName val="3AK Trocknung"/>
      <sheetName val="Berechnung Wasserfracht"/>
      <sheetName val="Tabelle2"/>
    </sheetNames>
    <sheetDataSet>
      <sheetData sheetId="0">
        <row r="9">
          <cell r="B9">
            <v>12960</v>
          </cell>
        </row>
        <row r="15">
          <cell r="C15">
            <v>31</v>
          </cell>
        </row>
        <row r="16">
          <cell r="C16">
            <v>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A316BD-516D-46DB-B8B0-45796AB287C1}" name="Table3" displayName="Table3" ref="J13:K16" totalsRowShown="0">
  <autoFilter ref="J13:K16" xr:uid="{2EA316BD-516D-46DB-B8B0-45796AB287C1}"/>
  <tableColumns count="2">
    <tableColumn id="1" xr3:uid="{F32E83BF-4F04-4B2C-8706-7F9E15CE7BE7}" name="CP" dataDxfId="2"/>
    <tableColumn id="3" xr3:uid="{BD9E8C53-8318-4C94-A025-031764E5CCCA}" name="Valu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sedge.com/materials/specific_heat_capacity_of_metals_13259.htm" TargetMode="External"/><Relationship Id="rId2" Type="http://schemas.openxmlformats.org/officeDocument/2006/relationships/hyperlink" Target="https://www.engineeringtoolbox.com/water-vapor-d_979.html" TargetMode="External"/><Relationship Id="rId1" Type="http://schemas.openxmlformats.org/officeDocument/2006/relationships/hyperlink" Target="http://gasprocessingnews.com/articles/2018/04/proper-regeneration-of-molecular-sieves-in-tsa-processes-part-2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atalysts.basf.com/products/4a-molecular-siev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sprocessingnews.com/articles/2017/08/optimal-design-and-operation-of-molecular-sieve-gas-dehydration-units-part-1/" TargetMode="External"/><Relationship Id="rId2" Type="http://schemas.openxmlformats.org/officeDocument/2006/relationships/hyperlink" Target="https://www.engineeringtoolbox.com/water-properties-d_1573.html" TargetMode="External"/><Relationship Id="rId1" Type="http://schemas.openxmlformats.org/officeDocument/2006/relationships/hyperlink" Target="https://www.engineeringtoolbox.com/water-vapor-saturation-pressure-d_599.html?vA=20&amp;units=C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xchanger.com/calculators/gas-flow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5F8-EAC9-4A5D-A4BB-B6C2662B209E}">
  <sheetPr>
    <pageSetUpPr fitToPage="1"/>
  </sheetPr>
  <dimension ref="A1:Q30"/>
  <sheetViews>
    <sheetView tabSelected="1" zoomScale="130" zoomScaleNormal="130" workbookViewId="0">
      <selection activeCell="I5" sqref="I5"/>
    </sheetView>
  </sheetViews>
  <sheetFormatPr defaultColWidth="8.88671875" defaultRowHeight="14.4" x14ac:dyDescent="0.3"/>
  <cols>
    <col min="1" max="1" width="29.21875" customWidth="1"/>
    <col min="2" max="2" width="20.44140625" customWidth="1"/>
    <col min="3" max="3" width="19.88671875" customWidth="1"/>
    <col min="4" max="4" width="11.109375" customWidth="1"/>
    <col min="5" max="5" width="19.44140625" customWidth="1"/>
    <col min="6" max="6" width="10.33203125" customWidth="1"/>
    <col min="7" max="7" width="23.6640625" customWidth="1"/>
    <col min="8" max="8" width="12" customWidth="1"/>
    <col min="14" max="14" width="19" customWidth="1"/>
  </cols>
  <sheetData>
    <row r="1" spans="1:16" ht="15" thickBot="1" x14ac:dyDescent="0.35"/>
    <row r="2" spans="1:16" ht="21.6" thickTop="1" thickBot="1" x14ac:dyDescent="0.45">
      <c r="A2" s="174" t="s">
        <v>201</v>
      </c>
      <c r="B2" s="174"/>
      <c r="C2" s="174"/>
      <c r="D2" s="56">
        <v>12000</v>
      </c>
      <c r="E2" s="47" t="s">
        <v>202</v>
      </c>
      <c r="G2" s="101" t="s">
        <v>313</v>
      </c>
      <c r="H2" s="100">
        <f>'Vessel&amp;Mol_Sieve'!B20</f>
        <v>0.15533397805051277</v>
      </c>
    </row>
    <row r="3" spans="1:16" ht="18.600000000000001" thickTop="1" x14ac:dyDescent="0.35">
      <c r="A3" s="47"/>
      <c r="G3" s="7" t="s">
        <v>315</v>
      </c>
      <c r="H3" s="8" t="s">
        <v>314</v>
      </c>
    </row>
    <row r="4" spans="1:16" ht="20.399999999999999" thickBot="1" x14ac:dyDescent="0.45">
      <c r="A4" s="174" t="s">
        <v>311</v>
      </c>
      <c r="B4" s="174"/>
      <c r="C4" s="65" t="s">
        <v>312</v>
      </c>
      <c r="D4" s="56">
        <v>1000</v>
      </c>
      <c r="E4" s="47"/>
    </row>
    <row r="5" spans="1:16" ht="21" thickTop="1" thickBot="1" x14ac:dyDescent="0.45">
      <c r="A5" s="174" t="s">
        <v>316</v>
      </c>
      <c r="B5" s="174"/>
      <c r="C5" s="65"/>
      <c r="D5" s="56">
        <v>250</v>
      </c>
      <c r="E5" s="47" t="s">
        <v>62</v>
      </c>
    </row>
    <row r="6" spans="1:16" ht="15" thickTop="1" x14ac:dyDescent="0.3"/>
    <row r="7" spans="1:16" ht="18" x14ac:dyDescent="0.35">
      <c r="A7" s="176" t="s">
        <v>203</v>
      </c>
      <c r="B7" s="176"/>
      <c r="C7" s="176"/>
      <c r="D7" s="176"/>
      <c r="E7" s="44"/>
      <c r="F7" s="44"/>
    </row>
    <row r="8" spans="1:16" ht="18" x14ac:dyDescent="0.35">
      <c r="A8" s="46"/>
      <c r="B8" s="53"/>
      <c r="C8" s="46"/>
      <c r="D8" s="46"/>
      <c r="E8" s="44"/>
      <c r="F8" s="44"/>
    </row>
    <row r="9" spans="1:16" ht="18" x14ac:dyDescent="0.35">
      <c r="A9" s="107" t="s">
        <v>205</v>
      </c>
      <c r="B9" s="54"/>
      <c r="C9" s="107" t="s">
        <v>308</v>
      </c>
      <c r="D9" s="44"/>
      <c r="E9" s="177" t="s">
        <v>230</v>
      </c>
      <c r="F9" s="177"/>
    </row>
    <row r="10" spans="1:16" ht="18" x14ac:dyDescent="0.35">
      <c r="A10" s="45"/>
      <c r="B10" s="54"/>
      <c r="C10" s="45"/>
      <c r="D10" s="44"/>
      <c r="E10" s="44"/>
      <c r="F10" s="44"/>
    </row>
    <row r="11" spans="1:16" ht="18" x14ac:dyDescent="0.35">
      <c r="A11" s="52" t="s">
        <v>115</v>
      </c>
      <c r="B11" s="55"/>
      <c r="C11" s="51">
        <f>'Electrical Heater'!B20</f>
        <v>84.480006758400009</v>
      </c>
      <c r="D11" s="50" t="s">
        <v>14</v>
      </c>
      <c r="E11" s="68">
        <f>'Electrical Heater'!B21</f>
        <v>113.20320905625601</v>
      </c>
      <c r="F11" s="44"/>
    </row>
    <row r="12" spans="1:16" ht="18" x14ac:dyDescent="0.35">
      <c r="A12" s="52"/>
      <c r="B12" s="55"/>
      <c r="C12" s="52"/>
      <c r="D12" s="50"/>
      <c r="E12" s="67"/>
      <c r="F12" s="44"/>
    </row>
    <row r="13" spans="1:16" ht="18" x14ac:dyDescent="0.35">
      <c r="A13" s="52" t="s">
        <v>204</v>
      </c>
      <c r="B13" s="55"/>
      <c r="C13" s="51">
        <f>'Regenration Heater'!C61</f>
        <v>35</v>
      </c>
      <c r="D13" s="50" t="s">
        <v>14</v>
      </c>
      <c r="E13" s="68">
        <f>'Regenration Heater'!C62</f>
        <v>38.150000000000006</v>
      </c>
      <c r="F13" s="44"/>
    </row>
    <row r="14" spans="1:16" ht="18" x14ac:dyDescent="0.35">
      <c r="A14" s="52"/>
      <c r="B14" s="55"/>
      <c r="C14" s="52"/>
      <c r="D14" s="50"/>
      <c r="E14" s="67"/>
      <c r="F14" s="44"/>
    </row>
    <row r="15" spans="1:16" ht="18" x14ac:dyDescent="0.35">
      <c r="A15" s="52" t="s">
        <v>116</v>
      </c>
      <c r="B15" s="55"/>
      <c r="C15" s="52">
        <v>0</v>
      </c>
      <c r="D15" s="50" t="s">
        <v>14</v>
      </c>
      <c r="E15" s="69">
        <v>0</v>
      </c>
      <c r="F15" s="44"/>
    </row>
    <row r="16" spans="1:16" ht="18" x14ac:dyDescent="0.35">
      <c r="A16" s="52"/>
      <c r="B16" s="55"/>
      <c r="C16" s="52"/>
      <c r="D16" s="50"/>
      <c r="E16" s="67"/>
      <c r="F16" s="44"/>
      <c r="M16" s="175"/>
      <c r="N16" s="175"/>
      <c r="O16" s="175"/>
      <c r="P16" s="175"/>
    </row>
    <row r="17" spans="1:17" ht="18" x14ac:dyDescent="0.35">
      <c r="A17" s="52" t="s">
        <v>117</v>
      </c>
      <c r="B17" s="55"/>
      <c r="C17" s="51">
        <f>'Regenration Blower'!B17</f>
        <v>20.505760718734393</v>
      </c>
      <c r="D17" s="50" t="s">
        <v>14</v>
      </c>
      <c r="E17" s="68">
        <f>'Regenration Blower'!B19</f>
        <v>28.70806500622815</v>
      </c>
      <c r="F17" s="44" t="s">
        <v>324</v>
      </c>
      <c r="M17" s="49"/>
      <c r="N17" s="7"/>
      <c r="O17" s="7"/>
      <c r="P17" s="7"/>
      <c r="Q17" s="49"/>
    </row>
    <row r="19" spans="1:17" ht="18" x14ac:dyDescent="0.35">
      <c r="A19" s="48" t="s">
        <v>118</v>
      </c>
      <c r="C19" s="64">
        <f>C11+C13+C15+C17</f>
        <v>139.9857674771344</v>
      </c>
      <c r="E19" s="97">
        <f>SUM(E11:E17)</f>
        <v>180.06127406248416</v>
      </c>
    </row>
    <row r="23" spans="1:17" ht="16.2" x14ac:dyDescent="0.3">
      <c r="A23" s="103" t="s">
        <v>320</v>
      </c>
      <c r="B23" s="105" t="s">
        <v>322</v>
      </c>
    </row>
    <row r="25" spans="1:17" ht="16.2" x14ac:dyDescent="0.3">
      <c r="A25" s="104" t="s">
        <v>317</v>
      </c>
      <c r="B25" s="106">
        <f>'Regenration Blower'!B29</f>
        <v>9.1059727854222228</v>
      </c>
      <c r="C25" s="9" t="s">
        <v>319</v>
      </c>
    </row>
    <row r="26" spans="1:17" x14ac:dyDescent="0.3">
      <c r="B26" s="8"/>
      <c r="C26" s="9"/>
    </row>
    <row r="27" spans="1:17" ht="16.2" x14ac:dyDescent="0.3">
      <c r="A27" s="33" t="s">
        <v>318</v>
      </c>
      <c r="B27" s="106">
        <f>'Regenration Blower'!B34</f>
        <v>10.743585620598928</v>
      </c>
      <c r="C27" s="9" t="s">
        <v>319</v>
      </c>
    </row>
    <row r="30" spans="1:17" x14ac:dyDescent="0.3">
      <c r="A30" s="173" t="s">
        <v>325</v>
      </c>
      <c r="B30" s="173"/>
      <c r="C30" s="173"/>
      <c r="D30" s="173"/>
      <c r="E30" s="173"/>
      <c r="F30" s="173"/>
    </row>
  </sheetData>
  <mergeCells count="7">
    <mergeCell ref="A30:F30"/>
    <mergeCell ref="A2:C2"/>
    <mergeCell ref="M16:P16"/>
    <mergeCell ref="A7:D7"/>
    <mergeCell ref="E9:F9"/>
    <mergeCell ref="A4:B4"/>
    <mergeCell ref="A5:B5"/>
  </mergeCells>
  <pageMargins left="0.7" right="0.7" top="0.75" bottom="0.75" header="0.3" footer="0.3"/>
  <pageSetup paperSize="8" scale="8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59C4-E6A1-4C27-B241-6ABA0941BF9B}">
  <sheetPr codeName="Tabelle21"/>
  <dimension ref="A1:AH199"/>
  <sheetViews>
    <sheetView topLeftCell="A10" workbookViewId="0">
      <selection activeCell="T31" sqref="T31"/>
    </sheetView>
  </sheetViews>
  <sheetFormatPr defaultColWidth="11.44140625" defaultRowHeight="12" x14ac:dyDescent="0.2"/>
  <cols>
    <col min="1" max="1" width="26.44140625" style="26" bestFit="1" customWidth="1"/>
    <col min="2" max="2" width="3.33203125" style="26" bestFit="1" customWidth="1"/>
    <col min="3" max="3" width="6.6640625" style="26" bestFit="1" customWidth="1"/>
    <col min="4" max="16" width="11.44140625" style="26"/>
    <col min="17" max="17" width="5.5546875" style="26" bestFit="1" customWidth="1"/>
    <col min="18" max="18" width="6.6640625" style="26" bestFit="1" customWidth="1"/>
    <col min="19" max="256" width="11.44140625" style="26"/>
    <col min="257" max="257" width="26.44140625" style="26" bestFit="1" customWidth="1"/>
    <col min="258" max="258" width="3.33203125" style="26" bestFit="1" customWidth="1"/>
    <col min="259" max="259" width="6.6640625" style="26" bestFit="1" customWidth="1"/>
    <col min="260" max="272" width="11.44140625" style="26"/>
    <col min="273" max="273" width="5.5546875" style="26" bestFit="1" customWidth="1"/>
    <col min="274" max="274" width="6.6640625" style="26" bestFit="1" customWidth="1"/>
    <col min="275" max="512" width="11.44140625" style="26"/>
    <col min="513" max="513" width="26.44140625" style="26" bestFit="1" customWidth="1"/>
    <col min="514" max="514" width="3.33203125" style="26" bestFit="1" customWidth="1"/>
    <col min="515" max="515" width="6.6640625" style="26" bestFit="1" customWidth="1"/>
    <col min="516" max="528" width="11.44140625" style="26"/>
    <col min="529" max="529" width="5.5546875" style="26" bestFit="1" customWidth="1"/>
    <col min="530" max="530" width="6.6640625" style="26" bestFit="1" customWidth="1"/>
    <col min="531" max="768" width="11.44140625" style="26"/>
    <col min="769" max="769" width="26.44140625" style="26" bestFit="1" customWidth="1"/>
    <col min="770" max="770" width="3.33203125" style="26" bestFit="1" customWidth="1"/>
    <col min="771" max="771" width="6.6640625" style="26" bestFit="1" customWidth="1"/>
    <col min="772" max="784" width="11.44140625" style="26"/>
    <col min="785" max="785" width="5.5546875" style="26" bestFit="1" customWidth="1"/>
    <col min="786" max="786" width="6.6640625" style="26" bestFit="1" customWidth="1"/>
    <col min="787" max="1024" width="11.44140625" style="26"/>
    <col min="1025" max="1025" width="26.44140625" style="26" bestFit="1" customWidth="1"/>
    <col min="1026" max="1026" width="3.33203125" style="26" bestFit="1" customWidth="1"/>
    <col min="1027" max="1027" width="6.6640625" style="26" bestFit="1" customWidth="1"/>
    <col min="1028" max="1040" width="11.44140625" style="26"/>
    <col min="1041" max="1041" width="5.5546875" style="26" bestFit="1" customWidth="1"/>
    <col min="1042" max="1042" width="6.6640625" style="26" bestFit="1" customWidth="1"/>
    <col min="1043" max="1280" width="11.44140625" style="26"/>
    <col min="1281" max="1281" width="26.44140625" style="26" bestFit="1" customWidth="1"/>
    <col min="1282" max="1282" width="3.33203125" style="26" bestFit="1" customWidth="1"/>
    <col min="1283" max="1283" width="6.6640625" style="26" bestFit="1" customWidth="1"/>
    <col min="1284" max="1296" width="11.44140625" style="26"/>
    <col min="1297" max="1297" width="5.5546875" style="26" bestFit="1" customWidth="1"/>
    <col min="1298" max="1298" width="6.6640625" style="26" bestFit="1" customWidth="1"/>
    <col min="1299" max="1536" width="11.44140625" style="26"/>
    <col min="1537" max="1537" width="26.44140625" style="26" bestFit="1" customWidth="1"/>
    <col min="1538" max="1538" width="3.33203125" style="26" bestFit="1" customWidth="1"/>
    <col min="1539" max="1539" width="6.6640625" style="26" bestFit="1" customWidth="1"/>
    <col min="1540" max="1552" width="11.44140625" style="26"/>
    <col min="1553" max="1553" width="5.5546875" style="26" bestFit="1" customWidth="1"/>
    <col min="1554" max="1554" width="6.6640625" style="26" bestFit="1" customWidth="1"/>
    <col min="1555" max="1792" width="11.44140625" style="26"/>
    <col min="1793" max="1793" width="26.44140625" style="26" bestFit="1" customWidth="1"/>
    <col min="1794" max="1794" width="3.33203125" style="26" bestFit="1" customWidth="1"/>
    <col min="1795" max="1795" width="6.6640625" style="26" bestFit="1" customWidth="1"/>
    <col min="1796" max="1808" width="11.44140625" style="26"/>
    <col min="1809" max="1809" width="5.5546875" style="26" bestFit="1" customWidth="1"/>
    <col min="1810" max="1810" width="6.6640625" style="26" bestFit="1" customWidth="1"/>
    <col min="1811" max="2048" width="11.44140625" style="26"/>
    <col min="2049" max="2049" width="26.44140625" style="26" bestFit="1" customWidth="1"/>
    <col min="2050" max="2050" width="3.33203125" style="26" bestFit="1" customWidth="1"/>
    <col min="2051" max="2051" width="6.6640625" style="26" bestFit="1" customWidth="1"/>
    <col min="2052" max="2064" width="11.44140625" style="26"/>
    <col min="2065" max="2065" width="5.5546875" style="26" bestFit="1" customWidth="1"/>
    <col min="2066" max="2066" width="6.6640625" style="26" bestFit="1" customWidth="1"/>
    <col min="2067" max="2304" width="11.44140625" style="26"/>
    <col min="2305" max="2305" width="26.44140625" style="26" bestFit="1" customWidth="1"/>
    <col min="2306" max="2306" width="3.33203125" style="26" bestFit="1" customWidth="1"/>
    <col min="2307" max="2307" width="6.6640625" style="26" bestFit="1" customWidth="1"/>
    <col min="2308" max="2320" width="11.44140625" style="26"/>
    <col min="2321" max="2321" width="5.5546875" style="26" bestFit="1" customWidth="1"/>
    <col min="2322" max="2322" width="6.6640625" style="26" bestFit="1" customWidth="1"/>
    <col min="2323" max="2560" width="11.44140625" style="26"/>
    <col min="2561" max="2561" width="26.44140625" style="26" bestFit="1" customWidth="1"/>
    <col min="2562" max="2562" width="3.33203125" style="26" bestFit="1" customWidth="1"/>
    <col min="2563" max="2563" width="6.6640625" style="26" bestFit="1" customWidth="1"/>
    <col min="2564" max="2576" width="11.44140625" style="26"/>
    <col min="2577" max="2577" width="5.5546875" style="26" bestFit="1" customWidth="1"/>
    <col min="2578" max="2578" width="6.6640625" style="26" bestFit="1" customWidth="1"/>
    <col min="2579" max="2816" width="11.44140625" style="26"/>
    <col min="2817" max="2817" width="26.44140625" style="26" bestFit="1" customWidth="1"/>
    <col min="2818" max="2818" width="3.33203125" style="26" bestFit="1" customWidth="1"/>
    <col min="2819" max="2819" width="6.6640625" style="26" bestFit="1" customWidth="1"/>
    <col min="2820" max="2832" width="11.44140625" style="26"/>
    <col min="2833" max="2833" width="5.5546875" style="26" bestFit="1" customWidth="1"/>
    <col min="2834" max="2834" width="6.6640625" style="26" bestFit="1" customWidth="1"/>
    <col min="2835" max="3072" width="11.44140625" style="26"/>
    <col min="3073" max="3073" width="26.44140625" style="26" bestFit="1" customWidth="1"/>
    <col min="3074" max="3074" width="3.33203125" style="26" bestFit="1" customWidth="1"/>
    <col min="3075" max="3075" width="6.6640625" style="26" bestFit="1" customWidth="1"/>
    <col min="3076" max="3088" width="11.44140625" style="26"/>
    <col min="3089" max="3089" width="5.5546875" style="26" bestFit="1" customWidth="1"/>
    <col min="3090" max="3090" width="6.6640625" style="26" bestFit="1" customWidth="1"/>
    <col min="3091" max="3328" width="11.44140625" style="26"/>
    <col min="3329" max="3329" width="26.44140625" style="26" bestFit="1" customWidth="1"/>
    <col min="3330" max="3330" width="3.33203125" style="26" bestFit="1" customWidth="1"/>
    <col min="3331" max="3331" width="6.6640625" style="26" bestFit="1" customWidth="1"/>
    <col min="3332" max="3344" width="11.44140625" style="26"/>
    <col min="3345" max="3345" width="5.5546875" style="26" bestFit="1" customWidth="1"/>
    <col min="3346" max="3346" width="6.6640625" style="26" bestFit="1" customWidth="1"/>
    <col min="3347" max="3584" width="11.44140625" style="26"/>
    <col min="3585" max="3585" width="26.44140625" style="26" bestFit="1" customWidth="1"/>
    <col min="3586" max="3586" width="3.33203125" style="26" bestFit="1" customWidth="1"/>
    <col min="3587" max="3587" width="6.6640625" style="26" bestFit="1" customWidth="1"/>
    <col min="3588" max="3600" width="11.44140625" style="26"/>
    <col min="3601" max="3601" width="5.5546875" style="26" bestFit="1" customWidth="1"/>
    <col min="3602" max="3602" width="6.6640625" style="26" bestFit="1" customWidth="1"/>
    <col min="3603" max="3840" width="11.44140625" style="26"/>
    <col min="3841" max="3841" width="26.44140625" style="26" bestFit="1" customWidth="1"/>
    <col min="3842" max="3842" width="3.33203125" style="26" bestFit="1" customWidth="1"/>
    <col min="3843" max="3843" width="6.6640625" style="26" bestFit="1" customWidth="1"/>
    <col min="3844" max="3856" width="11.44140625" style="26"/>
    <col min="3857" max="3857" width="5.5546875" style="26" bestFit="1" customWidth="1"/>
    <col min="3858" max="3858" width="6.6640625" style="26" bestFit="1" customWidth="1"/>
    <col min="3859" max="4096" width="11.44140625" style="26"/>
    <col min="4097" max="4097" width="26.44140625" style="26" bestFit="1" customWidth="1"/>
    <col min="4098" max="4098" width="3.33203125" style="26" bestFit="1" customWidth="1"/>
    <col min="4099" max="4099" width="6.6640625" style="26" bestFit="1" customWidth="1"/>
    <col min="4100" max="4112" width="11.44140625" style="26"/>
    <col min="4113" max="4113" width="5.5546875" style="26" bestFit="1" customWidth="1"/>
    <col min="4114" max="4114" width="6.6640625" style="26" bestFit="1" customWidth="1"/>
    <col min="4115" max="4352" width="11.44140625" style="26"/>
    <col min="4353" max="4353" width="26.44140625" style="26" bestFit="1" customWidth="1"/>
    <col min="4354" max="4354" width="3.33203125" style="26" bestFit="1" customWidth="1"/>
    <col min="4355" max="4355" width="6.6640625" style="26" bestFit="1" customWidth="1"/>
    <col min="4356" max="4368" width="11.44140625" style="26"/>
    <col min="4369" max="4369" width="5.5546875" style="26" bestFit="1" customWidth="1"/>
    <col min="4370" max="4370" width="6.6640625" style="26" bestFit="1" customWidth="1"/>
    <col min="4371" max="4608" width="11.44140625" style="26"/>
    <col min="4609" max="4609" width="26.44140625" style="26" bestFit="1" customWidth="1"/>
    <col min="4610" max="4610" width="3.33203125" style="26" bestFit="1" customWidth="1"/>
    <col min="4611" max="4611" width="6.6640625" style="26" bestFit="1" customWidth="1"/>
    <col min="4612" max="4624" width="11.44140625" style="26"/>
    <col min="4625" max="4625" width="5.5546875" style="26" bestFit="1" customWidth="1"/>
    <col min="4626" max="4626" width="6.6640625" style="26" bestFit="1" customWidth="1"/>
    <col min="4627" max="4864" width="11.44140625" style="26"/>
    <col min="4865" max="4865" width="26.44140625" style="26" bestFit="1" customWidth="1"/>
    <col min="4866" max="4866" width="3.33203125" style="26" bestFit="1" customWidth="1"/>
    <col min="4867" max="4867" width="6.6640625" style="26" bestFit="1" customWidth="1"/>
    <col min="4868" max="4880" width="11.44140625" style="26"/>
    <col min="4881" max="4881" width="5.5546875" style="26" bestFit="1" customWidth="1"/>
    <col min="4882" max="4882" width="6.6640625" style="26" bestFit="1" customWidth="1"/>
    <col min="4883" max="5120" width="11.44140625" style="26"/>
    <col min="5121" max="5121" width="26.44140625" style="26" bestFit="1" customWidth="1"/>
    <col min="5122" max="5122" width="3.33203125" style="26" bestFit="1" customWidth="1"/>
    <col min="5123" max="5123" width="6.6640625" style="26" bestFit="1" customWidth="1"/>
    <col min="5124" max="5136" width="11.44140625" style="26"/>
    <col min="5137" max="5137" width="5.5546875" style="26" bestFit="1" customWidth="1"/>
    <col min="5138" max="5138" width="6.6640625" style="26" bestFit="1" customWidth="1"/>
    <col min="5139" max="5376" width="11.44140625" style="26"/>
    <col min="5377" max="5377" width="26.44140625" style="26" bestFit="1" customWidth="1"/>
    <col min="5378" max="5378" width="3.33203125" style="26" bestFit="1" customWidth="1"/>
    <col min="5379" max="5379" width="6.6640625" style="26" bestFit="1" customWidth="1"/>
    <col min="5380" max="5392" width="11.44140625" style="26"/>
    <col min="5393" max="5393" width="5.5546875" style="26" bestFit="1" customWidth="1"/>
    <col min="5394" max="5394" width="6.6640625" style="26" bestFit="1" customWidth="1"/>
    <col min="5395" max="5632" width="11.44140625" style="26"/>
    <col min="5633" max="5633" width="26.44140625" style="26" bestFit="1" customWidth="1"/>
    <col min="5634" max="5634" width="3.33203125" style="26" bestFit="1" customWidth="1"/>
    <col min="5635" max="5635" width="6.6640625" style="26" bestFit="1" customWidth="1"/>
    <col min="5636" max="5648" width="11.44140625" style="26"/>
    <col min="5649" max="5649" width="5.5546875" style="26" bestFit="1" customWidth="1"/>
    <col min="5650" max="5650" width="6.6640625" style="26" bestFit="1" customWidth="1"/>
    <col min="5651" max="5888" width="11.44140625" style="26"/>
    <col min="5889" max="5889" width="26.44140625" style="26" bestFit="1" customWidth="1"/>
    <col min="5890" max="5890" width="3.33203125" style="26" bestFit="1" customWidth="1"/>
    <col min="5891" max="5891" width="6.6640625" style="26" bestFit="1" customWidth="1"/>
    <col min="5892" max="5904" width="11.44140625" style="26"/>
    <col min="5905" max="5905" width="5.5546875" style="26" bestFit="1" customWidth="1"/>
    <col min="5906" max="5906" width="6.6640625" style="26" bestFit="1" customWidth="1"/>
    <col min="5907" max="6144" width="11.44140625" style="26"/>
    <col min="6145" max="6145" width="26.44140625" style="26" bestFit="1" customWidth="1"/>
    <col min="6146" max="6146" width="3.33203125" style="26" bestFit="1" customWidth="1"/>
    <col min="6147" max="6147" width="6.6640625" style="26" bestFit="1" customWidth="1"/>
    <col min="6148" max="6160" width="11.44140625" style="26"/>
    <col min="6161" max="6161" width="5.5546875" style="26" bestFit="1" customWidth="1"/>
    <col min="6162" max="6162" width="6.6640625" style="26" bestFit="1" customWidth="1"/>
    <col min="6163" max="6400" width="11.44140625" style="26"/>
    <col min="6401" max="6401" width="26.44140625" style="26" bestFit="1" customWidth="1"/>
    <col min="6402" max="6402" width="3.33203125" style="26" bestFit="1" customWidth="1"/>
    <col min="6403" max="6403" width="6.6640625" style="26" bestFit="1" customWidth="1"/>
    <col min="6404" max="6416" width="11.44140625" style="26"/>
    <col min="6417" max="6417" width="5.5546875" style="26" bestFit="1" customWidth="1"/>
    <col min="6418" max="6418" width="6.6640625" style="26" bestFit="1" customWidth="1"/>
    <col min="6419" max="6656" width="11.44140625" style="26"/>
    <col min="6657" max="6657" width="26.44140625" style="26" bestFit="1" customWidth="1"/>
    <col min="6658" max="6658" width="3.33203125" style="26" bestFit="1" customWidth="1"/>
    <col min="6659" max="6659" width="6.6640625" style="26" bestFit="1" customWidth="1"/>
    <col min="6660" max="6672" width="11.44140625" style="26"/>
    <col min="6673" max="6673" width="5.5546875" style="26" bestFit="1" customWidth="1"/>
    <col min="6674" max="6674" width="6.6640625" style="26" bestFit="1" customWidth="1"/>
    <col min="6675" max="6912" width="11.44140625" style="26"/>
    <col min="6913" max="6913" width="26.44140625" style="26" bestFit="1" customWidth="1"/>
    <col min="6914" max="6914" width="3.33203125" style="26" bestFit="1" customWidth="1"/>
    <col min="6915" max="6915" width="6.6640625" style="26" bestFit="1" customWidth="1"/>
    <col min="6916" max="6928" width="11.44140625" style="26"/>
    <col min="6929" max="6929" width="5.5546875" style="26" bestFit="1" customWidth="1"/>
    <col min="6930" max="6930" width="6.6640625" style="26" bestFit="1" customWidth="1"/>
    <col min="6931" max="7168" width="11.44140625" style="26"/>
    <col min="7169" max="7169" width="26.44140625" style="26" bestFit="1" customWidth="1"/>
    <col min="7170" max="7170" width="3.33203125" style="26" bestFit="1" customWidth="1"/>
    <col min="7171" max="7171" width="6.6640625" style="26" bestFit="1" customWidth="1"/>
    <col min="7172" max="7184" width="11.44140625" style="26"/>
    <col min="7185" max="7185" width="5.5546875" style="26" bestFit="1" customWidth="1"/>
    <col min="7186" max="7186" width="6.6640625" style="26" bestFit="1" customWidth="1"/>
    <col min="7187" max="7424" width="11.44140625" style="26"/>
    <col min="7425" max="7425" width="26.44140625" style="26" bestFit="1" customWidth="1"/>
    <col min="7426" max="7426" width="3.33203125" style="26" bestFit="1" customWidth="1"/>
    <col min="7427" max="7427" width="6.6640625" style="26" bestFit="1" customWidth="1"/>
    <col min="7428" max="7440" width="11.44140625" style="26"/>
    <col min="7441" max="7441" width="5.5546875" style="26" bestFit="1" customWidth="1"/>
    <col min="7442" max="7442" width="6.6640625" style="26" bestFit="1" customWidth="1"/>
    <col min="7443" max="7680" width="11.44140625" style="26"/>
    <col min="7681" max="7681" width="26.44140625" style="26" bestFit="1" customWidth="1"/>
    <col min="7682" max="7682" width="3.33203125" style="26" bestFit="1" customWidth="1"/>
    <col min="7683" max="7683" width="6.6640625" style="26" bestFit="1" customWidth="1"/>
    <col min="7684" max="7696" width="11.44140625" style="26"/>
    <col min="7697" max="7697" width="5.5546875" style="26" bestFit="1" customWidth="1"/>
    <col min="7698" max="7698" width="6.6640625" style="26" bestFit="1" customWidth="1"/>
    <col min="7699" max="7936" width="11.44140625" style="26"/>
    <col min="7937" max="7937" width="26.44140625" style="26" bestFit="1" customWidth="1"/>
    <col min="7938" max="7938" width="3.33203125" style="26" bestFit="1" customWidth="1"/>
    <col min="7939" max="7939" width="6.6640625" style="26" bestFit="1" customWidth="1"/>
    <col min="7940" max="7952" width="11.44140625" style="26"/>
    <col min="7953" max="7953" width="5.5546875" style="26" bestFit="1" customWidth="1"/>
    <col min="7954" max="7954" width="6.6640625" style="26" bestFit="1" customWidth="1"/>
    <col min="7955" max="8192" width="11.44140625" style="26"/>
    <col min="8193" max="8193" width="26.44140625" style="26" bestFit="1" customWidth="1"/>
    <col min="8194" max="8194" width="3.33203125" style="26" bestFit="1" customWidth="1"/>
    <col min="8195" max="8195" width="6.6640625" style="26" bestFit="1" customWidth="1"/>
    <col min="8196" max="8208" width="11.44140625" style="26"/>
    <col min="8209" max="8209" width="5.5546875" style="26" bestFit="1" customWidth="1"/>
    <col min="8210" max="8210" width="6.6640625" style="26" bestFit="1" customWidth="1"/>
    <col min="8211" max="8448" width="11.44140625" style="26"/>
    <col min="8449" max="8449" width="26.44140625" style="26" bestFit="1" customWidth="1"/>
    <col min="8450" max="8450" width="3.33203125" style="26" bestFit="1" customWidth="1"/>
    <col min="8451" max="8451" width="6.6640625" style="26" bestFit="1" customWidth="1"/>
    <col min="8452" max="8464" width="11.44140625" style="26"/>
    <col min="8465" max="8465" width="5.5546875" style="26" bestFit="1" customWidth="1"/>
    <col min="8466" max="8466" width="6.6640625" style="26" bestFit="1" customWidth="1"/>
    <col min="8467" max="8704" width="11.44140625" style="26"/>
    <col min="8705" max="8705" width="26.44140625" style="26" bestFit="1" customWidth="1"/>
    <col min="8706" max="8706" width="3.33203125" style="26" bestFit="1" customWidth="1"/>
    <col min="8707" max="8707" width="6.6640625" style="26" bestFit="1" customWidth="1"/>
    <col min="8708" max="8720" width="11.44140625" style="26"/>
    <col min="8721" max="8721" width="5.5546875" style="26" bestFit="1" customWidth="1"/>
    <col min="8722" max="8722" width="6.6640625" style="26" bestFit="1" customWidth="1"/>
    <col min="8723" max="8960" width="11.44140625" style="26"/>
    <col min="8961" max="8961" width="26.44140625" style="26" bestFit="1" customWidth="1"/>
    <col min="8962" max="8962" width="3.33203125" style="26" bestFit="1" customWidth="1"/>
    <col min="8963" max="8963" width="6.6640625" style="26" bestFit="1" customWidth="1"/>
    <col min="8964" max="8976" width="11.44140625" style="26"/>
    <col min="8977" max="8977" width="5.5546875" style="26" bestFit="1" customWidth="1"/>
    <col min="8978" max="8978" width="6.6640625" style="26" bestFit="1" customWidth="1"/>
    <col min="8979" max="9216" width="11.44140625" style="26"/>
    <col min="9217" max="9217" width="26.44140625" style="26" bestFit="1" customWidth="1"/>
    <col min="9218" max="9218" width="3.33203125" style="26" bestFit="1" customWidth="1"/>
    <col min="9219" max="9219" width="6.6640625" style="26" bestFit="1" customWidth="1"/>
    <col min="9220" max="9232" width="11.44140625" style="26"/>
    <col min="9233" max="9233" width="5.5546875" style="26" bestFit="1" customWidth="1"/>
    <col min="9234" max="9234" width="6.6640625" style="26" bestFit="1" customWidth="1"/>
    <col min="9235" max="9472" width="11.44140625" style="26"/>
    <col min="9473" max="9473" width="26.44140625" style="26" bestFit="1" customWidth="1"/>
    <col min="9474" max="9474" width="3.33203125" style="26" bestFit="1" customWidth="1"/>
    <col min="9475" max="9475" width="6.6640625" style="26" bestFit="1" customWidth="1"/>
    <col min="9476" max="9488" width="11.44140625" style="26"/>
    <col min="9489" max="9489" width="5.5546875" style="26" bestFit="1" customWidth="1"/>
    <col min="9490" max="9490" width="6.6640625" style="26" bestFit="1" customWidth="1"/>
    <col min="9491" max="9728" width="11.44140625" style="26"/>
    <col min="9729" max="9729" width="26.44140625" style="26" bestFit="1" customWidth="1"/>
    <col min="9730" max="9730" width="3.33203125" style="26" bestFit="1" customWidth="1"/>
    <col min="9731" max="9731" width="6.6640625" style="26" bestFit="1" customWidth="1"/>
    <col min="9732" max="9744" width="11.44140625" style="26"/>
    <col min="9745" max="9745" width="5.5546875" style="26" bestFit="1" customWidth="1"/>
    <col min="9746" max="9746" width="6.6640625" style="26" bestFit="1" customWidth="1"/>
    <col min="9747" max="9984" width="11.44140625" style="26"/>
    <col min="9985" max="9985" width="26.44140625" style="26" bestFit="1" customWidth="1"/>
    <col min="9986" max="9986" width="3.33203125" style="26" bestFit="1" customWidth="1"/>
    <col min="9987" max="9987" width="6.6640625" style="26" bestFit="1" customWidth="1"/>
    <col min="9988" max="10000" width="11.44140625" style="26"/>
    <col min="10001" max="10001" width="5.5546875" style="26" bestFit="1" customWidth="1"/>
    <col min="10002" max="10002" width="6.6640625" style="26" bestFit="1" customWidth="1"/>
    <col min="10003" max="10240" width="11.44140625" style="26"/>
    <col min="10241" max="10241" width="26.44140625" style="26" bestFit="1" customWidth="1"/>
    <col min="10242" max="10242" width="3.33203125" style="26" bestFit="1" customWidth="1"/>
    <col min="10243" max="10243" width="6.6640625" style="26" bestFit="1" customWidth="1"/>
    <col min="10244" max="10256" width="11.44140625" style="26"/>
    <col min="10257" max="10257" width="5.5546875" style="26" bestFit="1" customWidth="1"/>
    <col min="10258" max="10258" width="6.6640625" style="26" bestFit="1" customWidth="1"/>
    <col min="10259" max="10496" width="11.44140625" style="26"/>
    <col min="10497" max="10497" width="26.44140625" style="26" bestFit="1" customWidth="1"/>
    <col min="10498" max="10498" width="3.33203125" style="26" bestFit="1" customWidth="1"/>
    <col min="10499" max="10499" width="6.6640625" style="26" bestFit="1" customWidth="1"/>
    <col min="10500" max="10512" width="11.44140625" style="26"/>
    <col min="10513" max="10513" width="5.5546875" style="26" bestFit="1" customWidth="1"/>
    <col min="10514" max="10514" width="6.6640625" style="26" bestFit="1" customWidth="1"/>
    <col min="10515" max="10752" width="11.44140625" style="26"/>
    <col min="10753" max="10753" width="26.44140625" style="26" bestFit="1" customWidth="1"/>
    <col min="10754" max="10754" width="3.33203125" style="26" bestFit="1" customWidth="1"/>
    <col min="10755" max="10755" width="6.6640625" style="26" bestFit="1" customWidth="1"/>
    <col min="10756" max="10768" width="11.44140625" style="26"/>
    <col min="10769" max="10769" width="5.5546875" style="26" bestFit="1" customWidth="1"/>
    <col min="10770" max="10770" width="6.6640625" style="26" bestFit="1" customWidth="1"/>
    <col min="10771" max="11008" width="11.44140625" style="26"/>
    <col min="11009" max="11009" width="26.44140625" style="26" bestFit="1" customWidth="1"/>
    <col min="11010" max="11010" width="3.33203125" style="26" bestFit="1" customWidth="1"/>
    <col min="11011" max="11011" width="6.6640625" style="26" bestFit="1" customWidth="1"/>
    <col min="11012" max="11024" width="11.44140625" style="26"/>
    <col min="11025" max="11025" width="5.5546875" style="26" bestFit="1" customWidth="1"/>
    <col min="11026" max="11026" width="6.6640625" style="26" bestFit="1" customWidth="1"/>
    <col min="11027" max="11264" width="11.44140625" style="26"/>
    <col min="11265" max="11265" width="26.44140625" style="26" bestFit="1" customWidth="1"/>
    <col min="11266" max="11266" width="3.33203125" style="26" bestFit="1" customWidth="1"/>
    <col min="11267" max="11267" width="6.6640625" style="26" bestFit="1" customWidth="1"/>
    <col min="11268" max="11280" width="11.44140625" style="26"/>
    <col min="11281" max="11281" width="5.5546875" style="26" bestFit="1" customWidth="1"/>
    <col min="11282" max="11282" width="6.6640625" style="26" bestFit="1" customWidth="1"/>
    <col min="11283" max="11520" width="11.44140625" style="26"/>
    <col min="11521" max="11521" width="26.44140625" style="26" bestFit="1" customWidth="1"/>
    <col min="11522" max="11522" width="3.33203125" style="26" bestFit="1" customWidth="1"/>
    <col min="11523" max="11523" width="6.6640625" style="26" bestFit="1" customWidth="1"/>
    <col min="11524" max="11536" width="11.44140625" style="26"/>
    <col min="11537" max="11537" width="5.5546875" style="26" bestFit="1" customWidth="1"/>
    <col min="11538" max="11538" width="6.6640625" style="26" bestFit="1" customWidth="1"/>
    <col min="11539" max="11776" width="11.44140625" style="26"/>
    <col min="11777" max="11777" width="26.44140625" style="26" bestFit="1" customWidth="1"/>
    <col min="11778" max="11778" width="3.33203125" style="26" bestFit="1" customWidth="1"/>
    <col min="11779" max="11779" width="6.6640625" style="26" bestFit="1" customWidth="1"/>
    <col min="11780" max="11792" width="11.44140625" style="26"/>
    <col min="11793" max="11793" width="5.5546875" style="26" bestFit="1" customWidth="1"/>
    <col min="11794" max="11794" width="6.6640625" style="26" bestFit="1" customWidth="1"/>
    <col min="11795" max="12032" width="11.44140625" style="26"/>
    <col min="12033" max="12033" width="26.44140625" style="26" bestFit="1" customWidth="1"/>
    <col min="12034" max="12034" width="3.33203125" style="26" bestFit="1" customWidth="1"/>
    <col min="12035" max="12035" width="6.6640625" style="26" bestFit="1" customWidth="1"/>
    <col min="12036" max="12048" width="11.44140625" style="26"/>
    <col min="12049" max="12049" width="5.5546875" style="26" bestFit="1" customWidth="1"/>
    <col min="12050" max="12050" width="6.6640625" style="26" bestFit="1" customWidth="1"/>
    <col min="12051" max="12288" width="11.44140625" style="26"/>
    <col min="12289" max="12289" width="26.44140625" style="26" bestFit="1" customWidth="1"/>
    <col min="12290" max="12290" width="3.33203125" style="26" bestFit="1" customWidth="1"/>
    <col min="12291" max="12291" width="6.6640625" style="26" bestFit="1" customWidth="1"/>
    <col min="12292" max="12304" width="11.44140625" style="26"/>
    <col min="12305" max="12305" width="5.5546875" style="26" bestFit="1" customWidth="1"/>
    <col min="12306" max="12306" width="6.6640625" style="26" bestFit="1" customWidth="1"/>
    <col min="12307" max="12544" width="11.44140625" style="26"/>
    <col min="12545" max="12545" width="26.44140625" style="26" bestFit="1" customWidth="1"/>
    <col min="12546" max="12546" width="3.33203125" style="26" bestFit="1" customWidth="1"/>
    <col min="12547" max="12547" width="6.6640625" style="26" bestFit="1" customWidth="1"/>
    <col min="12548" max="12560" width="11.44140625" style="26"/>
    <col min="12561" max="12561" width="5.5546875" style="26" bestFit="1" customWidth="1"/>
    <col min="12562" max="12562" width="6.6640625" style="26" bestFit="1" customWidth="1"/>
    <col min="12563" max="12800" width="11.44140625" style="26"/>
    <col min="12801" max="12801" width="26.44140625" style="26" bestFit="1" customWidth="1"/>
    <col min="12802" max="12802" width="3.33203125" style="26" bestFit="1" customWidth="1"/>
    <col min="12803" max="12803" width="6.6640625" style="26" bestFit="1" customWidth="1"/>
    <col min="12804" max="12816" width="11.44140625" style="26"/>
    <col min="12817" max="12817" width="5.5546875" style="26" bestFit="1" customWidth="1"/>
    <col min="12818" max="12818" width="6.6640625" style="26" bestFit="1" customWidth="1"/>
    <col min="12819" max="13056" width="11.44140625" style="26"/>
    <col min="13057" max="13057" width="26.44140625" style="26" bestFit="1" customWidth="1"/>
    <col min="13058" max="13058" width="3.33203125" style="26" bestFit="1" customWidth="1"/>
    <col min="13059" max="13059" width="6.6640625" style="26" bestFit="1" customWidth="1"/>
    <col min="13060" max="13072" width="11.44140625" style="26"/>
    <col min="13073" max="13073" width="5.5546875" style="26" bestFit="1" customWidth="1"/>
    <col min="13074" max="13074" width="6.6640625" style="26" bestFit="1" customWidth="1"/>
    <col min="13075" max="13312" width="11.44140625" style="26"/>
    <col min="13313" max="13313" width="26.44140625" style="26" bestFit="1" customWidth="1"/>
    <col min="13314" max="13314" width="3.33203125" style="26" bestFit="1" customWidth="1"/>
    <col min="13315" max="13315" width="6.6640625" style="26" bestFit="1" customWidth="1"/>
    <col min="13316" max="13328" width="11.44140625" style="26"/>
    <col min="13329" max="13329" width="5.5546875" style="26" bestFit="1" customWidth="1"/>
    <col min="13330" max="13330" width="6.6640625" style="26" bestFit="1" customWidth="1"/>
    <col min="13331" max="13568" width="11.44140625" style="26"/>
    <col min="13569" max="13569" width="26.44140625" style="26" bestFit="1" customWidth="1"/>
    <col min="13570" max="13570" width="3.33203125" style="26" bestFit="1" customWidth="1"/>
    <col min="13571" max="13571" width="6.6640625" style="26" bestFit="1" customWidth="1"/>
    <col min="13572" max="13584" width="11.44140625" style="26"/>
    <col min="13585" max="13585" width="5.5546875" style="26" bestFit="1" customWidth="1"/>
    <col min="13586" max="13586" width="6.6640625" style="26" bestFit="1" customWidth="1"/>
    <col min="13587" max="13824" width="11.44140625" style="26"/>
    <col min="13825" max="13825" width="26.44140625" style="26" bestFit="1" customWidth="1"/>
    <col min="13826" max="13826" width="3.33203125" style="26" bestFit="1" customWidth="1"/>
    <col min="13827" max="13827" width="6.6640625" style="26" bestFit="1" customWidth="1"/>
    <col min="13828" max="13840" width="11.44140625" style="26"/>
    <col min="13841" max="13841" width="5.5546875" style="26" bestFit="1" customWidth="1"/>
    <col min="13842" max="13842" width="6.6640625" style="26" bestFit="1" customWidth="1"/>
    <col min="13843" max="14080" width="11.44140625" style="26"/>
    <col min="14081" max="14081" width="26.44140625" style="26" bestFit="1" customWidth="1"/>
    <col min="14082" max="14082" width="3.33203125" style="26" bestFit="1" customWidth="1"/>
    <col min="14083" max="14083" width="6.6640625" style="26" bestFit="1" customWidth="1"/>
    <col min="14084" max="14096" width="11.44140625" style="26"/>
    <col min="14097" max="14097" width="5.5546875" style="26" bestFit="1" customWidth="1"/>
    <col min="14098" max="14098" width="6.6640625" style="26" bestFit="1" customWidth="1"/>
    <col min="14099" max="14336" width="11.44140625" style="26"/>
    <col min="14337" max="14337" width="26.44140625" style="26" bestFit="1" customWidth="1"/>
    <col min="14338" max="14338" width="3.33203125" style="26" bestFit="1" customWidth="1"/>
    <col min="14339" max="14339" width="6.6640625" style="26" bestFit="1" customWidth="1"/>
    <col min="14340" max="14352" width="11.44140625" style="26"/>
    <col min="14353" max="14353" width="5.5546875" style="26" bestFit="1" customWidth="1"/>
    <col min="14354" max="14354" width="6.6640625" style="26" bestFit="1" customWidth="1"/>
    <col min="14355" max="14592" width="11.44140625" style="26"/>
    <col min="14593" max="14593" width="26.44140625" style="26" bestFit="1" customWidth="1"/>
    <col min="14594" max="14594" width="3.33203125" style="26" bestFit="1" customWidth="1"/>
    <col min="14595" max="14595" width="6.6640625" style="26" bestFit="1" customWidth="1"/>
    <col min="14596" max="14608" width="11.44140625" style="26"/>
    <col min="14609" max="14609" width="5.5546875" style="26" bestFit="1" customWidth="1"/>
    <col min="14610" max="14610" width="6.6640625" style="26" bestFit="1" customWidth="1"/>
    <col min="14611" max="14848" width="11.44140625" style="26"/>
    <col min="14849" max="14849" width="26.44140625" style="26" bestFit="1" customWidth="1"/>
    <col min="14850" max="14850" width="3.33203125" style="26" bestFit="1" customWidth="1"/>
    <col min="14851" max="14851" width="6.6640625" style="26" bestFit="1" customWidth="1"/>
    <col min="14852" max="14864" width="11.44140625" style="26"/>
    <col min="14865" max="14865" width="5.5546875" style="26" bestFit="1" customWidth="1"/>
    <col min="14866" max="14866" width="6.6640625" style="26" bestFit="1" customWidth="1"/>
    <col min="14867" max="15104" width="11.44140625" style="26"/>
    <col min="15105" max="15105" width="26.44140625" style="26" bestFit="1" customWidth="1"/>
    <col min="15106" max="15106" width="3.33203125" style="26" bestFit="1" customWidth="1"/>
    <col min="15107" max="15107" width="6.6640625" style="26" bestFit="1" customWidth="1"/>
    <col min="15108" max="15120" width="11.44140625" style="26"/>
    <col min="15121" max="15121" width="5.5546875" style="26" bestFit="1" customWidth="1"/>
    <col min="15122" max="15122" width="6.6640625" style="26" bestFit="1" customWidth="1"/>
    <col min="15123" max="15360" width="11.44140625" style="26"/>
    <col min="15361" max="15361" width="26.44140625" style="26" bestFit="1" customWidth="1"/>
    <col min="15362" max="15362" width="3.33203125" style="26" bestFit="1" customWidth="1"/>
    <col min="15363" max="15363" width="6.6640625" style="26" bestFit="1" customWidth="1"/>
    <col min="15364" max="15376" width="11.44140625" style="26"/>
    <col min="15377" max="15377" width="5.5546875" style="26" bestFit="1" customWidth="1"/>
    <col min="15378" max="15378" width="6.6640625" style="26" bestFit="1" customWidth="1"/>
    <col min="15379" max="15616" width="11.44140625" style="26"/>
    <col min="15617" max="15617" width="26.44140625" style="26" bestFit="1" customWidth="1"/>
    <col min="15618" max="15618" width="3.33203125" style="26" bestFit="1" customWidth="1"/>
    <col min="15619" max="15619" width="6.6640625" style="26" bestFit="1" customWidth="1"/>
    <col min="15620" max="15632" width="11.44140625" style="26"/>
    <col min="15633" max="15633" width="5.5546875" style="26" bestFit="1" customWidth="1"/>
    <col min="15634" max="15634" width="6.6640625" style="26" bestFit="1" customWidth="1"/>
    <col min="15635" max="15872" width="11.44140625" style="26"/>
    <col min="15873" max="15873" width="26.44140625" style="26" bestFit="1" customWidth="1"/>
    <col min="15874" max="15874" width="3.33203125" style="26" bestFit="1" customWidth="1"/>
    <col min="15875" max="15875" width="6.6640625" style="26" bestFit="1" customWidth="1"/>
    <col min="15876" max="15888" width="11.44140625" style="26"/>
    <col min="15889" max="15889" width="5.5546875" style="26" bestFit="1" customWidth="1"/>
    <col min="15890" max="15890" width="6.6640625" style="26" bestFit="1" customWidth="1"/>
    <col min="15891" max="16128" width="11.44140625" style="26"/>
    <col min="16129" max="16129" width="26.44140625" style="26" bestFit="1" customWidth="1"/>
    <col min="16130" max="16130" width="3.33203125" style="26" bestFit="1" customWidth="1"/>
    <col min="16131" max="16131" width="6.6640625" style="26" bestFit="1" customWidth="1"/>
    <col min="16132" max="16144" width="11.44140625" style="26"/>
    <col min="16145" max="16145" width="5.5546875" style="26" bestFit="1" customWidth="1"/>
    <col min="16146" max="16146" width="6.6640625" style="26" bestFit="1" customWidth="1"/>
    <col min="16147" max="16384" width="11.44140625" style="26"/>
  </cols>
  <sheetData>
    <row r="1" spans="1:20" x14ac:dyDescent="0.2">
      <c r="A1" s="22" t="s">
        <v>157</v>
      </c>
      <c r="B1" s="23"/>
      <c r="C1" s="24"/>
      <c r="D1" s="25" t="s">
        <v>158</v>
      </c>
      <c r="E1" s="208" t="s">
        <v>159</v>
      </c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S1" s="22" t="s">
        <v>154</v>
      </c>
      <c r="T1" s="22" t="s">
        <v>160</v>
      </c>
    </row>
    <row r="2" spans="1:20" x14ac:dyDescent="0.2">
      <c r="B2" s="23"/>
      <c r="C2" s="24" t="s">
        <v>154</v>
      </c>
      <c r="D2" s="23"/>
      <c r="E2" s="27">
        <v>1</v>
      </c>
      <c r="F2" s="28">
        <v>6</v>
      </c>
      <c r="G2" s="28">
        <v>10</v>
      </c>
      <c r="H2" s="28">
        <v>16</v>
      </c>
      <c r="I2" s="28">
        <v>25</v>
      </c>
      <c r="J2" s="28">
        <v>40</v>
      </c>
      <c r="K2" s="28">
        <v>64</v>
      </c>
      <c r="L2" s="28">
        <v>100</v>
      </c>
      <c r="M2" s="28">
        <v>160</v>
      </c>
      <c r="N2" s="28">
        <v>250</v>
      </c>
      <c r="O2" s="28">
        <v>320</v>
      </c>
      <c r="P2" s="28">
        <v>400</v>
      </c>
      <c r="R2" s="22"/>
      <c r="S2" s="28">
        <v>1</v>
      </c>
      <c r="T2" s="28">
        <v>3</v>
      </c>
    </row>
    <row r="3" spans="1:20" x14ac:dyDescent="0.2">
      <c r="B3" s="24" t="s">
        <v>149</v>
      </c>
      <c r="C3" s="23">
        <v>10</v>
      </c>
      <c r="D3" s="23">
        <v>17.2</v>
      </c>
      <c r="E3" s="27">
        <v>0</v>
      </c>
      <c r="F3" s="28">
        <v>1.8</v>
      </c>
      <c r="G3" s="28">
        <v>0</v>
      </c>
      <c r="H3" s="28">
        <v>1.8</v>
      </c>
      <c r="I3" s="28">
        <v>0</v>
      </c>
      <c r="J3" s="28">
        <v>1.8</v>
      </c>
      <c r="K3" s="28">
        <v>0</v>
      </c>
      <c r="L3" s="28">
        <v>1.8</v>
      </c>
      <c r="M3" s="28">
        <v>2</v>
      </c>
      <c r="N3" s="28">
        <v>0</v>
      </c>
      <c r="O3" s="28">
        <v>2.6</v>
      </c>
      <c r="P3" s="28">
        <v>3.6</v>
      </c>
      <c r="Q3" s="22"/>
      <c r="S3" s="28">
        <v>6</v>
      </c>
      <c r="T3" s="28">
        <v>4</v>
      </c>
    </row>
    <row r="4" spans="1:20" x14ac:dyDescent="0.2">
      <c r="B4" s="24" t="s">
        <v>149</v>
      </c>
      <c r="C4" s="23">
        <v>15</v>
      </c>
      <c r="D4" s="23">
        <v>21.3</v>
      </c>
      <c r="E4" s="27">
        <v>0</v>
      </c>
      <c r="F4" s="28">
        <v>2</v>
      </c>
      <c r="G4" s="28">
        <v>0</v>
      </c>
      <c r="H4" s="28">
        <v>2</v>
      </c>
      <c r="I4" s="28">
        <v>0</v>
      </c>
      <c r="J4" s="28">
        <v>2</v>
      </c>
      <c r="K4" s="28">
        <v>0</v>
      </c>
      <c r="L4" s="28">
        <v>2</v>
      </c>
      <c r="M4" s="28">
        <v>2</v>
      </c>
      <c r="N4" s="28">
        <v>2.6</v>
      </c>
      <c r="O4" s="28">
        <v>3.2</v>
      </c>
      <c r="P4" s="28">
        <v>5</v>
      </c>
      <c r="Q4" s="22"/>
      <c r="S4" s="28">
        <v>10</v>
      </c>
      <c r="T4" s="28">
        <v>5</v>
      </c>
    </row>
    <row r="5" spans="1:20" x14ac:dyDescent="0.2">
      <c r="B5" s="24" t="s">
        <v>149</v>
      </c>
      <c r="C5" s="23">
        <v>20</v>
      </c>
      <c r="D5" s="23">
        <v>26.9</v>
      </c>
      <c r="E5" s="27">
        <v>0</v>
      </c>
      <c r="F5" s="28">
        <v>2.2999999999999998</v>
      </c>
      <c r="G5" s="28">
        <v>0</v>
      </c>
      <c r="H5" s="28">
        <v>2.2999999999999998</v>
      </c>
      <c r="I5" s="28">
        <v>0</v>
      </c>
      <c r="J5" s="28">
        <v>2.2999999999999998</v>
      </c>
      <c r="K5" s="28">
        <v>0</v>
      </c>
      <c r="L5" s="28">
        <v>0</v>
      </c>
      <c r="M5" s="28">
        <v>0</v>
      </c>
      <c r="N5" s="25">
        <v>0</v>
      </c>
      <c r="O5" s="28">
        <v>0</v>
      </c>
      <c r="P5" s="28">
        <v>0</v>
      </c>
      <c r="Q5" s="22"/>
      <c r="S5" s="28">
        <v>16</v>
      </c>
      <c r="T5" s="28">
        <v>6</v>
      </c>
    </row>
    <row r="6" spans="1:20" x14ac:dyDescent="0.2">
      <c r="B6" s="24" t="s">
        <v>149</v>
      </c>
      <c r="C6" s="23">
        <v>25</v>
      </c>
      <c r="D6" s="23">
        <v>33.700000000000003</v>
      </c>
      <c r="E6" s="27">
        <v>0</v>
      </c>
      <c r="F6" s="28">
        <v>2.6</v>
      </c>
      <c r="G6" s="28">
        <v>0</v>
      </c>
      <c r="H6" s="28">
        <v>2.6</v>
      </c>
      <c r="I6" s="28">
        <v>0</v>
      </c>
      <c r="J6" s="28">
        <v>2.6</v>
      </c>
      <c r="K6" s="28">
        <v>0</v>
      </c>
      <c r="L6" s="28">
        <v>2.6</v>
      </c>
      <c r="M6" s="28">
        <v>2.9</v>
      </c>
      <c r="N6" s="28">
        <v>3.6</v>
      </c>
      <c r="O6" s="28">
        <v>5</v>
      </c>
      <c r="P6" s="28">
        <v>7.1</v>
      </c>
      <c r="Q6" s="22"/>
      <c r="S6" s="28">
        <v>25</v>
      </c>
      <c r="T6" s="28">
        <v>7</v>
      </c>
    </row>
    <row r="7" spans="1:20" x14ac:dyDescent="0.2">
      <c r="B7" s="24" t="s">
        <v>149</v>
      </c>
      <c r="C7" s="23">
        <v>32</v>
      </c>
      <c r="D7" s="23">
        <v>42.4</v>
      </c>
      <c r="E7" s="27">
        <v>0</v>
      </c>
      <c r="F7" s="28">
        <v>2.6</v>
      </c>
      <c r="G7" s="28">
        <v>0</v>
      </c>
      <c r="H7" s="28">
        <v>2.6</v>
      </c>
      <c r="I7" s="28">
        <v>0</v>
      </c>
      <c r="J7" s="28">
        <v>2.6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2"/>
      <c r="S7" s="28">
        <v>40</v>
      </c>
      <c r="T7" s="28">
        <v>8</v>
      </c>
    </row>
    <row r="8" spans="1:20" x14ac:dyDescent="0.2">
      <c r="B8" s="24" t="s">
        <v>149</v>
      </c>
      <c r="C8" s="23">
        <v>40</v>
      </c>
      <c r="D8" s="23">
        <v>48.3</v>
      </c>
      <c r="E8" s="27">
        <v>0</v>
      </c>
      <c r="F8" s="28">
        <v>2.6</v>
      </c>
      <c r="G8" s="28">
        <v>0</v>
      </c>
      <c r="H8" s="28">
        <v>2.6</v>
      </c>
      <c r="I8" s="28">
        <v>0</v>
      </c>
      <c r="J8" s="28">
        <v>2.6</v>
      </c>
      <c r="K8" s="28">
        <v>0</v>
      </c>
      <c r="L8" s="28">
        <v>2.9</v>
      </c>
      <c r="M8" s="28">
        <v>3.6</v>
      </c>
      <c r="N8" s="28">
        <v>5</v>
      </c>
      <c r="O8" s="28">
        <v>6.3</v>
      </c>
      <c r="P8" s="28">
        <v>10</v>
      </c>
      <c r="Q8" s="22"/>
      <c r="S8" s="28">
        <v>64</v>
      </c>
      <c r="T8" s="28">
        <v>9</v>
      </c>
    </row>
    <row r="9" spans="1:20" x14ac:dyDescent="0.2">
      <c r="B9" s="24" t="s">
        <v>149</v>
      </c>
      <c r="C9" s="23">
        <v>50</v>
      </c>
      <c r="D9" s="23">
        <v>60.3</v>
      </c>
      <c r="E9" s="27">
        <v>0</v>
      </c>
      <c r="F9" s="28">
        <v>2.9</v>
      </c>
      <c r="G9" s="28">
        <v>0</v>
      </c>
      <c r="H9" s="28">
        <v>2.9</v>
      </c>
      <c r="I9" s="28">
        <v>0</v>
      </c>
      <c r="J9" s="28">
        <v>2.9</v>
      </c>
      <c r="K9" s="28">
        <v>2.9</v>
      </c>
      <c r="L9" s="28">
        <v>3.2</v>
      </c>
      <c r="M9" s="28">
        <v>4</v>
      </c>
      <c r="N9" s="28">
        <v>6.3</v>
      </c>
      <c r="O9" s="28">
        <v>8</v>
      </c>
      <c r="P9" s="28">
        <v>12.5</v>
      </c>
      <c r="Q9" s="22"/>
      <c r="S9" s="28">
        <v>100</v>
      </c>
      <c r="T9" s="28">
        <v>10</v>
      </c>
    </row>
    <row r="10" spans="1:20" x14ac:dyDescent="0.2">
      <c r="B10" s="24" t="s">
        <v>149</v>
      </c>
      <c r="C10" s="23">
        <v>65</v>
      </c>
      <c r="D10" s="23">
        <v>76.099999999999994</v>
      </c>
      <c r="E10" s="27">
        <v>0</v>
      </c>
      <c r="F10" s="28">
        <v>2.9</v>
      </c>
      <c r="G10" s="28">
        <v>0</v>
      </c>
      <c r="H10" s="28">
        <v>2.9</v>
      </c>
      <c r="I10" s="28">
        <v>0</v>
      </c>
      <c r="J10" s="28">
        <v>2.9</v>
      </c>
      <c r="K10" s="28">
        <v>3.2</v>
      </c>
      <c r="L10" s="28">
        <v>3.6</v>
      </c>
      <c r="M10" s="28">
        <v>5</v>
      </c>
      <c r="N10" s="28">
        <v>8</v>
      </c>
      <c r="O10" s="28">
        <v>11</v>
      </c>
      <c r="P10" s="28">
        <v>16</v>
      </c>
      <c r="Q10" s="22"/>
      <c r="S10" s="28">
        <v>160</v>
      </c>
      <c r="T10" s="28">
        <v>11</v>
      </c>
    </row>
    <row r="11" spans="1:20" x14ac:dyDescent="0.2">
      <c r="B11" s="24" t="s">
        <v>149</v>
      </c>
      <c r="C11" s="23">
        <v>80</v>
      </c>
      <c r="D11" s="23">
        <v>88.9</v>
      </c>
      <c r="E11" s="27">
        <v>0</v>
      </c>
      <c r="F11" s="28">
        <v>3.2</v>
      </c>
      <c r="G11" s="28">
        <v>0</v>
      </c>
      <c r="H11" s="28">
        <v>3.2</v>
      </c>
      <c r="I11" s="28">
        <v>0</v>
      </c>
      <c r="J11" s="28">
        <v>3.2</v>
      </c>
      <c r="K11" s="28">
        <v>3.6</v>
      </c>
      <c r="L11" s="28">
        <v>4</v>
      </c>
      <c r="M11" s="28">
        <v>6.3</v>
      </c>
      <c r="N11" s="28">
        <v>11</v>
      </c>
      <c r="O11" s="28">
        <v>12.5</v>
      </c>
      <c r="P11" s="28">
        <v>17.5</v>
      </c>
      <c r="Q11" s="22"/>
      <c r="S11" s="28">
        <v>250</v>
      </c>
      <c r="T11" s="28">
        <v>12</v>
      </c>
    </row>
    <row r="12" spans="1:20" x14ac:dyDescent="0.2">
      <c r="B12" s="24" t="s">
        <v>149</v>
      </c>
      <c r="C12" s="23">
        <v>100</v>
      </c>
      <c r="D12" s="23">
        <v>114.3</v>
      </c>
      <c r="E12" s="27">
        <v>0</v>
      </c>
      <c r="F12" s="28">
        <v>3.6</v>
      </c>
      <c r="G12" s="28">
        <v>0</v>
      </c>
      <c r="H12" s="28">
        <v>3.6</v>
      </c>
      <c r="I12" s="28">
        <v>0</v>
      </c>
      <c r="J12" s="28">
        <v>3.6</v>
      </c>
      <c r="K12" s="28">
        <v>4</v>
      </c>
      <c r="L12" s="28">
        <v>5</v>
      </c>
      <c r="M12" s="28">
        <v>8</v>
      </c>
      <c r="N12" s="28">
        <v>14.2</v>
      </c>
      <c r="O12" s="28">
        <v>16</v>
      </c>
      <c r="P12" s="28">
        <v>22.2</v>
      </c>
      <c r="Q12" s="22"/>
      <c r="S12" s="28">
        <v>320</v>
      </c>
      <c r="T12" s="28">
        <v>13</v>
      </c>
    </row>
    <row r="13" spans="1:20" x14ac:dyDescent="0.2">
      <c r="B13" s="24" t="s">
        <v>149</v>
      </c>
      <c r="C13" s="23">
        <v>125</v>
      </c>
      <c r="D13" s="23">
        <v>139.69999999999999</v>
      </c>
      <c r="E13" s="27">
        <v>0</v>
      </c>
      <c r="F13" s="28">
        <v>4</v>
      </c>
      <c r="G13" s="28">
        <v>0</v>
      </c>
      <c r="H13" s="28">
        <v>4</v>
      </c>
      <c r="I13" s="28">
        <v>0</v>
      </c>
      <c r="J13" s="28">
        <v>4</v>
      </c>
      <c r="K13" s="28">
        <v>4.5</v>
      </c>
      <c r="L13" s="28">
        <v>6.3</v>
      </c>
      <c r="M13" s="28">
        <v>10</v>
      </c>
      <c r="N13" s="28">
        <v>16</v>
      </c>
      <c r="O13" s="28">
        <v>20</v>
      </c>
      <c r="P13" s="28">
        <v>30</v>
      </c>
      <c r="Q13" s="22"/>
      <c r="S13" s="28">
        <v>400</v>
      </c>
      <c r="T13" s="28">
        <v>14</v>
      </c>
    </row>
    <row r="14" spans="1:20" x14ac:dyDescent="0.2">
      <c r="B14" s="24" t="s">
        <v>149</v>
      </c>
      <c r="C14" s="23">
        <v>150</v>
      </c>
      <c r="D14" s="23">
        <v>168.3</v>
      </c>
      <c r="E14" s="27">
        <v>0</v>
      </c>
      <c r="F14" s="28">
        <v>4.5</v>
      </c>
      <c r="G14" s="28">
        <v>0</v>
      </c>
      <c r="H14" s="28">
        <v>4.5</v>
      </c>
      <c r="I14" s="28">
        <v>0</v>
      </c>
      <c r="J14" s="28">
        <v>4.5</v>
      </c>
      <c r="K14" s="28">
        <v>5.6</v>
      </c>
      <c r="L14" s="28">
        <v>7.1</v>
      </c>
      <c r="M14" s="28">
        <v>12.5</v>
      </c>
      <c r="N14" s="28">
        <v>17.5</v>
      </c>
      <c r="O14" s="28">
        <v>25</v>
      </c>
      <c r="P14" s="28">
        <v>35</v>
      </c>
      <c r="Q14" s="22"/>
    </row>
    <row r="15" spans="1:20" x14ac:dyDescent="0.2">
      <c r="B15" s="24" t="s">
        <v>149</v>
      </c>
      <c r="C15" s="23">
        <v>175</v>
      </c>
      <c r="D15" s="23">
        <v>193.7</v>
      </c>
      <c r="E15" s="27">
        <v>0</v>
      </c>
      <c r="F15" s="28">
        <v>0</v>
      </c>
      <c r="G15" s="28">
        <v>0</v>
      </c>
      <c r="H15" s="28">
        <v>5.4</v>
      </c>
      <c r="I15" s="28">
        <v>5.6</v>
      </c>
      <c r="J15" s="28">
        <v>5.6</v>
      </c>
      <c r="K15" s="28">
        <v>6.3</v>
      </c>
      <c r="L15" s="28">
        <v>8.8000000000000007</v>
      </c>
      <c r="M15" s="28">
        <v>14.2</v>
      </c>
      <c r="N15" s="28">
        <v>0</v>
      </c>
      <c r="O15" s="28">
        <v>28</v>
      </c>
      <c r="P15" s="28">
        <v>0</v>
      </c>
      <c r="Q15" s="22"/>
    </row>
    <row r="16" spans="1:20" x14ac:dyDescent="0.2">
      <c r="B16" s="24" t="s">
        <v>149</v>
      </c>
      <c r="C16" s="23">
        <v>200</v>
      </c>
      <c r="D16" s="23">
        <v>219.1</v>
      </c>
      <c r="E16" s="27">
        <v>0</v>
      </c>
      <c r="F16" s="28">
        <v>5.9</v>
      </c>
      <c r="G16" s="28">
        <v>5.9</v>
      </c>
      <c r="H16" s="28">
        <v>5.9</v>
      </c>
      <c r="I16" s="28">
        <v>6.3</v>
      </c>
      <c r="J16" s="28">
        <v>6.3</v>
      </c>
      <c r="K16" s="28">
        <v>7.1</v>
      </c>
      <c r="L16" s="28">
        <v>10</v>
      </c>
      <c r="M16" s="28">
        <v>16</v>
      </c>
      <c r="N16" s="28">
        <v>25</v>
      </c>
      <c r="O16" s="28">
        <v>30</v>
      </c>
      <c r="P16" s="28">
        <v>40</v>
      </c>
      <c r="Q16" s="22"/>
    </row>
    <row r="17" spans="2:17" x14ac:dyDescent="0.2">
      <c r="B17" s="24" t="s">
        <v>149</v>
      </c>
      <c r="C17" s="23">
        <v>250</v>
      </c>
      <c r="D17" s="23">
        <v>273</v>
      </c>
      <c r="E17" s="27">
        <v>0</v>
      </c>
      <c r="F17" s="28">
        <v>6.3</v>
      </c>
      <c r="G17" s="28">
        <v>6.3</v>
      </c>
      <c r="H17" s="28">
        <v>6.3</v>
      </c>
      <c r="I17" s="28">
        <v>7.1</v>
      </c>
      <c r="J17" s="28">
        <v>7.1</v>
      </c>
      <c r="K17" s="28">
        <v>8.8000000000000007</v>
      </c>
      <c r="L17" s="28">
        <v>12.5</v>
      </c>
      <c r="M17" s="28">
        <v>20</v>
      </c>
      <c r="N17" s="28">
        <v>32</v>
      </c>
      <c r="O17" s="28">
        <v>40</v>
      </c>
      <c r="P17" s="28">
        <v>0</v>
      </c>
      <c r="Q17" s="22"/>
    </row>
    <row r="18" spans="2:17" x14ac:dyDescent="0.2">
      <c r="B18" s="24" t="s">
        <v>149</v>
      </c>
      <c r="C18" s="23">
        <v>300</v>
      </c>
      <c r="D18" s="23">
        <v>323.89999999999998</v>
      </c>
      <c r="E18" s="27">
        <v>0</v>
      </c>
      <c r="F18" s="28">
        <v>7.1</v>
      </c>
      <c r="G18" s="28">
        <v>7.1</v>
      </c>
      <c r="H18" s="28">
        <v>7.1</v>
      </c>
      <c r="I18" s="28">
        <v>8</v>
      </c>
      <c r="J18" s="28">
        <v>8</v>
      </c>
      <c r="K18" s="28">
        <v>11</v>
      </c>
      <c r="L18" s="28">
        <v>14.2</v>
      </c>
      <c r="M18" s="28">
        <v>22.2</v>
      </c>
      <c r="N18" s="28">
        <v>0</v>
      </c>
      <c r="O18" s="28">
        <v>0</v>
      </c>
      <c r="P18" s="28">
        <v>0</v>
      </c>
      <c r="Q18" s="22"/>
    </row>
    <row r="19" spans="2:17" x14ac:dyDescent="0.2">
      <c r="B19" s="24" t="s">
        <v>149</v>
      </c>
      <c r="C19" s="23">
        <v>350</v>
      </c>
      <c r="D19" s="23">
        <v>355.6</v>
      </c>
      <c r="E19" s="27">
        <v>0</v>
      </c>
      <c r="F19" s="28">
        <v>7.1</v>
      </c>
      <c r="G19" s="28">
        <v>7.1</v>
      </c>
      <c r="H19" s="28">
        <v>8</v>
      </c>
      <c r="I19" s="28">
        <v>8</v>
      </c>
      <c r="J19" s="28">
        <v>8.8000000000000007</v>
      </c>
      <c r="K19" s="28">
        <v>12.5</v>
      </c>
      <c r="L19" s="28">
        <v>16</v>
      </c>
      <c r="M19" s="28">
        <v>0</v>
      </c>
      <c r="N19" s="28">
        <v>0</v>
      </c>
      <c r="O19" s="28">
        <v>0</v>
      </c>
      <c r="P19" s="28">
        <v>0</v>
      </c>
      <c r="Q19" s="22"/>
    </row>
    <row r="20" spans="2:17" x14ac:dyDescent="0.2">
      <c r="B20" s="24" t="s">
        <v>149</v>
      </c>
      <c r="C20" s="23">
        <v>400</v>
      </c>
      <c r="D20" s="23">
        <v>406.4</v>
      </c>
      <c r="E20" s="27">
        <v>0</v>
      </c>
      <c r="F20" s="28">
        <v>7.1</v>
      </c>
      <c r="G20" s="28">
        <v>7.1</v>
      </c>
      <c r="H20" s="28">
        <v>8</v>
      </c>
      <c r="I20" s="28">
        <v>8.8000000000000007</v>
      </c>
      <c r="J20" s="28">
        <v>11</v>
      </c>
      <c r="K20" s="28">
        <v>14.2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2"/>
    </row>
    <row r="21" spans="2:17" x14ac:dyDescent="0.2">
      <c r="B21" s="24" t="s">
        <v>149</v>
      </c>
      <c r="C21" s="23">
        <v>500</v>
      </c>
      <c r="D21" s="23">
        <v>508</v>
      </c>
      <c r="E21" s="27">
        <v>0</v>
      </c>
      <c r="F21" s="28">
        <v>7.1</v>
      </c>
      <c r="G21" s="28">
        <v>7.1</v>
      </c>
      <c r="H21" s="28">
        <v>8</v>
      </c>
      <c r="I21" s="28">
        <v>10</v>
      </c>
      <c r="J21" s="28">
        <v>14.2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2"/>
    </row>
    <row r="22" spans="2:17" x14ac:dyDescent="0.2">
      <c r="B22" s="24" t="s">
        <v>149</v>
      </c>
      <c r="C22" s="23">
        <v>600</v>
      </c>
      <c r="D22" s="23">
        <v>610</v>
      </c>
      <c r="E22" s="27">
        <v>0</v>
      </c>
      <c r="F22" s="28">
        <v>7.1</v>
      </c>
      <c r="G22" s="28">
        <v>7.1</v>
      </c>
      <c r="H22" s="25">
        <v>8.8000000000000007</v>
      </c>
      <c r="I22" s="28">
        <v>11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2"/>
    </row>
    <row r="23" spans="2:17" x14ac:dyDescent="0.2">
      <c r="B23" s="24" t="s">
        <v>149</v>
      </c>
      <c r="C23" s="23">
        <v>700</v>
      </c>
      <c r="D23" s="23">
        <v>711</v>
      </c>
      <c r="E23" s="27">
        <v>0</v>
      </c>
      <c r="F23" s="28">
        <v>7.1</v>
      </c>
      <c r="G23" s="28">
        <v>8</v>
      </c>
      <c r="H23" s="28">
        <v>8.8000000000000007</v>
      </c>
      <c r="I23" s="28">
        <v>12.5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2"/>
    </row>
    <row r="24" spans="2:17" x14ac:dyDescent="0.2">
      <c r="B24" s="24" t="s">
        <v>149</v>
      </c>
      <c r="C24" s="23">
        <v>800</v>
      </c>
      <c r="D24" s="23">
        <v>813</v>
      </c>
      <c r="E24" s="27">
        <v>0</v>
      </c>
      <c r="F24" s="28">
        <v>7.1</v>
      </c>
      <c r="G24" s="28">
        <v>8</v>
      </c>
      <c r="H24" s="28">
        <v>10</v>
      </c>
      <c r="I24" s="28">
        <v>14.2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2"/>
    </row>
    <row r="25" spans="2:17" x14ac:dyDescent="0.2">
      <c r="B25" s="24" t="s">
        <v>149</v>
      </c>
      <c r="C25" s="23">
        <v>900</v>
      </c>
      <c r="D25" s="23">
        <v>914</v>
      </c>
      <c r="E25" s="27">
        <v>0</v>
      </c>
      <c r="F25" s="28">
        <v>7.1</v>
      </c>
      <c r="G25" s="28">
        <v>10</v>
      </c>
      <c r="H25" s="28">
        <v>10</v>
      </c>
      <c r="I25" s="28">
        <v>16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2"/>
    </row>
    <row r="26" spans="2:17" x14ac:dyDescent="0.2">
      <c r="B26" s="24" t="s">
        <v>149</v>
      </c>
      <c r="C26" s="23">
        <v>1000</v>
      </c>
      <c r="D26" s="23">
        <v>1016</v>
      </c>
      <c r="E26" s="27">
        <v>0</v>
      </c>
      <c r="F26" s="28">
        <v>7.1</v>
      </c>
      <c r="G26" s="28">
        <v>10</v>
      </c>
      <c r="H26" s="28">
        <v>10</v>
      </c>
      <c r="I26" s="28">
        <v>17.5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2"/>
    </row>
    <row r="27" spans="2:17" x14ac:dyDescent="0.2">
      <c r="B27" s="24" t="s">
        <v>149</v>
      </c>
      <c r="C27" s="23">
        <v>1200</v>
      </c>
      <c r="D27" s="23">
        <v>1220</v>
      </c>
      <c r="E27" s="27">
        <v>7</v>
      </c>
      <c r="F27" s="28">
        <v>8</v>
      </c>
      <c r="G27" s="28">
        <v>11</v>
      </c>
      <c r="H27" s="28">
        <v>12.5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2"/>
    </row>
    <row r="28" spans="2:17" x14ac:dyDescent="0.2">
      <c r="B28" s="24" t="s">
        <v>149</v>
      </c>
      <c r="C28" s="23">
        <v>1400</v>
      </c>
      <c r="D28" s="23">
        <v>1420</v>
      </c>
      <c r="E28" s="27">
        <v>7</v>
      </c>
      <c r="F28" s="28">
        <v>8</v>
      </c>
      <c r="G28" s="28">
        <v>12</v>
      </c>
      <c r="H28" s="28">
        <v>14.2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2"/>
    </row>
    <row r="29" spans="2:17" x14ac:dyDescent="0.2">
      <c r="B29" s="24" t="s">
        <v>149</v>
      </c>
      <c r="C29" s="23">
        <v>1600</v>
      </c>
      <c r="D29" s="23">
        <v>1620</v>
      </c>
      <c r="E29" s="27">
        <v>8</v>
      </c>
      <c r="F29" s="28">
        <v>9</v>
      </c>
      <c r="G29" s="28">
        <v>14</v>
      </c>
      <c r="H29" s="28">
        <v>16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2"/>
    </row>
    <row r="30" spans="2:17" x14ac:dyDescent="0.2">
      <c r="B30" s="24" t="s">
        <v>149</v>
      </c>
      <c r="C30" s="23">
        <v>1800</v>
      </c>
      <c r="D30" s="23">
        <v>1820</v>
      </c>
      <c r="E30" s="27">
        <v>9</v>
      </c>
      <c r="F30" s="28">
        <v>10</v>
      </c>
      <c r="G30" s="28">
        <v>15</v>
      </c>
      <c r="H30" s="28">
        <v>17.5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2"/>
    </row>
    <row r="31" spans="2:17" x14ac:dyDescent="0.2">
      <c r="B31" s="24" t="s">
        <v>149</v>
      </c>
      <c r="C31" s="23">
        <v>2000</v>
      </c>
      <c r="D31" s="23">
        <v>2020</v>
      </c>
      <c r="E31" s="27">
        <v>10</v>
      </c>
      <c r="F31" s="28">
        <v>11</v>
      </c>
      <c r="G31" s="28">
        <v>16</v>
      </c>
      <c r="H31" s="28">
        <v>20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2"/>
    </row>
    <row r="32" spans="2:17" x14ac:dyDescent="0.2">
      <c r="B32" s="24" t="s">
        <v>149</v>
      </c>
      <c r="C32" s="23">
        <v>2200</v>
      </c>
      <c r="D32" s="23">
        <v>2220</v>
      </c>
      <c r="E32" s="27">
        <v>10</v>
      </c>
      <c r="F32" s="28">
        <v>12</v>
      </c>
      <c r="G32" s="28">
        <v>18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2"/>
    </row>
    <row r="33" spans="1:19" x14ac:dyDescent="0.2">
      <c r="B33" s="24" t="s">
        <v>149</v>
      </c>
      <c r="C33" s="23">
        <v>2400</v>
      </c>
      <c r="D33" s="23">
        <v>2420</v>
      </c>
      <c r="E33" s="27">
        <v>10</v>
      </c>
      <c r="F33" s="28">
        <v>13</v>
      </c>
      <c r="G33" s="28">
        <v>20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2"/>
    </row>
    <row r="34" spans="1:19" x14ac:dyDescent="0.2">
      <c r="B34" s="24" t="s">
        <v>149</v>
      </c>
      <c r="C34" s="23">
        <v>2600</v>
      </c>
      <c r="D34" s="23">
        <v>2620</v>
      </c>
      <c r="E34" s="27">
        <v>10</v>
      </c>
      <c r="F34" s="28">
        <v>14</v>
      </c>
      <c r="G34" s="28">
        <v>22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2"/>
    </row>
    <row r="35" spans="1:19" x14ac:dyDescent="0.2">
      <c r="B35" s="24" t="s">
        <v>149</v>
      </c>
      <c r="C35" s="23">
        <v>2800</v>
      </c>
      <c r="D35" s="23">
        <v>2820</v>
      </c>
      <c r="E35" s="27">
        <v>10</v>
      </c>
      <c r="F35" s="28">
        <v>15</v>
      </c>
      <c r="G35" s="28">
        <v>22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2"/>
    </row>
    <row r="36" spans="1:19" x14ac:dyDescent="0.2">
      <c r="B36" s="24" t="s">
        <v>149</v>
      </c>
      <c r="C36" s="23">
        <v>3000</v>
      </c>
      <c r="D36" s="23">
        <v>3020</v>
      </c>
      <c r="E36" s="27">
        <v>10</v>
      </c>
      <c r="F36" s="28">
        <v>16</v>
      </c>
      <c r="G36" s="28">
        <v>24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2"/>
    </row>
    <row r="37" spans="1:19" x14ac:dyDescent="0.2">
      <c r="B37" s="24" t="s">
        <v>149</v>
      </c>
      <c r="C37" s="23">
        <v>3200</v>
      </c>
      <c r="D37" s="23">
        <v>3220</v>
      </c>
      <c r="E37" s="27">
        <v>10</v>
      </c>
      <c r="F37" s="28">
        <v>16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2"/>
    </row>
    <row r="38" spans="1:19" x14ac:dyDescent="0.2">
      <c r="B38" s="24" t="s">
        <v>149</v>
      </c>
      <c r="C38" s="23">
        <v>3400</v>
      </c>
      <c r="D38" s="23">
        <v>3420</v>
      </c>
      <c r="E38" s="27">
        <v>10</v>
      </c>
      <c r="F38" s="28">
        <v>18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2"/>
    </row>
    <row r="39" spans="1:19" x14ac:dyDescent="0.2">
      <c r="B39" s="24" t="s">
        <v>149</v>
      </c>
      <c r="C39" s="23">
        <v>3600</v>
      </c>
      <c r="D39" s="23">
        <v>3620</v>
      </c>
      <c r="E39" s="27">
        <v>10</v>
      </c>
      <c r="F39" s="28">
        <v>18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2"/>
    </row>
    <row r="40" spans="1:19" x14ac:dyDescent="0.2">
      <c r="B40" s="24" t="s">
        <v>149</v>
      </c>
      <c r="C40" s="23">
        <v>3800</v>
      </c>
      <c r="D40" s="23">
        <v>3820</v>
      </c>
      <c r="E40" s="27">
        <v>10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2"/>
    </row>
    <row r="41" spans="1:19" x14ac:dyDescent="0.2">
      <c r="B41" s="24" t="s">
        <v>149</v>
      </c>
      <c r="C41" s="23">
        <v>4000</v>
      </c>
      <c r="D41" s="23">
        <v>4020</v>
      </c>
      <c r="E41" s="27">
        <v>10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2"/>
    </row>
    <row r="43" spans="1:19" x14ac:dyDescent="0.2">
      <c r="D43" s="210" t="s">
        <v>161</v>
      </c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</row>
    <row r="44" spans="1:19" x14ac:dyDescent="0.2">
      <c r="A44" s="22" t="s">
        <v>162</v>
      </c>
      <c r="B44" s="23"/>
      <c r="C44" s="24" t="s">
        <v>154</v>
      </c>
      <c r="D44" s="27">
        <v>1</v>
      </c>
      <c r="E44" s="28">
        <v>6</v>
      </c>
      <c r="F44" s="28">
        <v>10</v>
      </c>
      <c r="G44" s="28">
        <v>16</v>
      </c>
      <c r="H44" s="28">
        <v>25</v>
      </c>
      <c r="I44" s="28">
        <v>40</v>
      </c>
      <c r="J44" s="28">
        <v>64</v>
      </c>
      <c r="K44" s="28">
        <v>100</v>
      </c>
      <c r="L44" s="28">
        <v>160</v>
      </c>
      <c r="M44" s="28">
        <v>250</v>
      </c>
      <c r="N44" s="28">
        <v>320</v>
      </c>
      <c r="O44" s="28">
        <v>400</v>
      </c>
      <c r="R44" s="22" t="s">
        <v>154</v>
      </c>
      <c r="S44" s="22" t="s">
        <v>160</v>
      </c>
    </row>
    <row r="45" spans="1:19" x14ac:dyDescent="0.2">
      <c r="B45" s="24" t="s">
        <v>149</v>
      </c>
      <c r="C45" s="23">
        <v>10</v>
      </c>
      <c r="D45" s="28">
        <v>0</v>
      </c>
      <c r="E45" s="28">
        <v>0.33500000000000002</v>
      </c>
      <c r="F45" s="28">
        <v>0</v>
      </c>
      <c r="G45" s="28">
        <v>0.57999999999999996</v>
      </c>
      <c r="H45" s="28">
        <v>0</v>
      </c>
      <c r="I45" s="28">
        <v>0.66100000000000003</v>
      </c>
      <c r="J45" s="28">
        <v>0</v>
      </c>
      <c r="K45" s="28">
        <v>1.0900000000000001</v>
      </c>
      <c r="L45" s="28">
        <v>1.0900000000000001</v>
      </c>
      <c r="M45" s="28">
        <v>0</v>
      </c>
      <c r="N45" s="28">
        <v>2.08</v>
      </c>
      <c r="O45" s="28">
        <v>2.52</v>
      </c>
      <c r="R45" s="28">
        <v>1</v>
      </c>
      <c r="S45" s="28">
        <v>2</v>
      </c>
    </row>
    <row r="46" spans="1:19" x14ac:dyDescent="0.2">
      <c r="B46" s="24" t="s">
        <v>149</v>
      </c>
      <c r="C46" s="23">
        <v>15</v>
      </c>
      <c r="D46" s="28">
        <v>0</v>
      </c>
      <c r="E46" s="28">
        <v>0.39200000000000002</v>
      </c>
      <c r="F46" s="28">
        <v>0</v>
      </c>
      <c r="G46" s="28">
        <v>0.64800000000000002</v>
      </c>
      <c r="H46" s="28">
        <v>0</v>
      </c>
      <c r="I46" s="28">
        <v>0.746</v>
      </c>
      <c r="J46" s="28">
        <v>0</v>
      </c>
      <c r="K46" s="28">
        <v>1.19</v>
      </c>
      <c r="L46" s="28">
        <v>1.19</v>
      </c>
      <c r="M46" s="28">
        <v>2.4700000000000002</v>
      </c>
      <c r="N46" s="28">
        <v>2.4700000000000002</v>
      </c>
      <c r="O46" s="28">
        <v>3.59</v>
      </c>
      <c r="R46" s="28">
        <v>6</v>
      </c>
      <c r="S46" s="28">
        <v>3</v>
      </c>
    </row>
    <row r="47" spans="1:19" x14ac:dyDescent="0.2">
      <c r="B47" s="24" t="s">
        <v>149</v>
      </c>
      <c r="C47" s="23">
        <v>20</v>
      </c>
      <c r="D47" s="28">
        <v>0</v>
      </c>
      <c r="E47" s="28">
        <v>0.59199999999999997</v>
      </c>
      <c r="F47" s="28">
        <v>0</v>
      </c>
      <c r="G47" s="28">
        <v>0.95199999999999996</v>
      </c>
      <c r="H47" s="28">
        <v>0</v>
      </c>
      <c r="I47" s="28">
        <v>1.06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R47" s="28">
        <v>10</v>
      </c>
      <c r="S47" s="28">
        <v>4</v>
      </c>
    </row>
    <row r="48" spans="1:19" x14ac:dyDescent="0.2">
      <c r="B48" s="24" t="s">
        <v>149</v>
      </c>
      <c r="C48" s="23">
        <v>25</v>
      </c>
      <c r="D48" s="28">
        <v>0</v>
      </c>
      <c r="E48" s="28">
        <v>0.747</v>
      </c>
      <c r="F48" s="28">
        <v>0</v>
      </c>
      <c r="G48" s="28">
        <v>1.1399999999999999</v>
      </c>
      <c r="H48" s="28">
        <v>0</v>
      </c>
      <c r="I48" s="28">
        <v>1.29</v>
      </c>
      <c r="J48" s="28">
        <v>0</v>
      </c>
      <c r="K48" s="28">
        <v>2.66</v>
      </c>
      <c r="L48" s="28">
        <v>2.66</v>
      </c>
      <c r="M48" s="28">
        <v>3.51</v>
      </c>
      <c r="N48" s="28">
        <v>5</v>
      </c>
      <c r="O48" s="28">
        <v>7.43</v>
      </c>
      <c r="R48" s="28">
        <v>16</v>
      </c>
      <c r="S48" s="28">
        <v>5</v>
      </c>
    </row>
    <row r="49" spans="2:19" x14ac:dyDescent="0.2">
      <c r="B49" s="24" t="s">
        <v>149</v>
      </c>
      <c r="C49" s="23">
        <v>32</v>
      </c>
      <c r="D49" s="28">
        <v>0</v>
      </c>
      <c r="E49" s="28">
        <v>1.05</v>
      </c>
      <c r="F49" s="28">
        <v>0</v>
      </c>
      <c r="G49" s="28">
        <v>1.69</v>
      </c>
      <c r="H49" s="28">
        <v>0</v>
      </c>
      <c r="I49" s="28">
        <v>1.88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R49" s="28">
        <v>25</v>
      </c>
      <c r="S49" s="28">
        <v>6</v>
      </c>
    </row>
    <row r="50" spans="2:19" x14ac:dyDescent="0.2">
      <c r="B50" s="24" t="s">
        <v>149</v>
      </c>
      <c r="C50" s="23">
        <v>40</v>
      </c>
      <c r="D50" s="28">
        <v>0</v>
      </c>
      <c r="E50" s="28">
        <v>1.18</v>
      </c>
      <c r="F50" s="28">
        <v>0</v>
      </c>
      <c r="G50" s="28">
        <v>1.86</v>
      </c>
      <c r="H50" s="28">
        <v>0</v>
      </c>
      <c r="I50" s="28">
        <v>2.33</v>
      </c>
      <c r="J50" s="28">
        <v>0</v>
      </c>
      <c r="K50" s="28">
        <v>4.09</v>
      </c>
      <c r="L50" s="28">
        <v>4.3</v>
      </c>
      <c r="M50" s="28">
        <v>6.45</v>
      </c>
      <c r="N50" s="28">
        <v>8.25</v>
      </c>
      <c r="O50" s="28">
        <v>14</v>
      </c>
      <c r="R50" s="28">
        <v>40</v>
      </c>
      <c r="S50" s="28">
        <v>7</v>
      </c>
    </row>
    <row r="51" spans="2:19" x14ac:dyDescent="0.2">
      <c r="B51" s="24" t="s">
        <v>149</v>
      </c>
      <c r="C51" s="23">
        <v>50</v>
      </c>
      <c r="D51" s="28">
        <v>0</v>
      </c>
      <c r="E51" s="28">
        <v>1.34</v>
      </c>
      <c r="F51" s="28">
        <v>0</v>
      </c>
      <c r="G51" s="28">
        <v>2.5299999999999998</v>
      </c>
      <c r="H51" s="28">
        <v>0</v>
      </c>
      <c r="I51" s="28">
        <v>2.82</v>
      </c>
      <c r="J51" s="28">
        <v>4.55</v>
      </c>
      <c r="K51" s="28">
        <v>5.98</v>
      </c>
      <c r="L51" s="28">
        <v>6.25</v>
      </c>
      <c r="M51" s="28">
        <v>7.85</v>
      </c>
      <c r="N51" s="28">
        <v>10.3</v>
      </c>
      <c r="O51" s="28">
        <v>16.7</v>
      </c>
      <c r="R51" s="28">
        <v>64</v>
      </c>
      <c r="S51" s="28">
        <v>8</v>
      </c>
    </row>
    <row r="52" spans="2:19" x14ac:dyDescent="0.2">
      <c r="B52" s="24" t="s">
        <v>149</v>
      </c>
      <c r="C52" s="23">
        <v>65</v>
      </c>
      <c r="D52" s="28">
        <v>0</v>
      </c>
      <c r="E52" s="28">
        <v>1.67</v>
      </c>
      <c r="F52" s="28">
        <v>0</v>
      </c>
      <c r="G52" s="28">
        <v>3.06</v>
      </c>
      <c r="H52" s="28">
        <v>0</v>
      </c>
      <c r="I52" s="28">
        <v>3.74</v>
      </c>
      <c r="J52" s="28">
        <v>5.73</v>
      </c>
      <c r="K52" s="28">
        <v>7.91</v>
      </c>
      <c r="L52" s="28">
        <v>8.35</v>
      </c>
      <c r="M52" s="28">
        <v>12.2</v>
      </c>
      <c r="N52" s="28">
        <v>19.100000000000001</v>
      </c>
      <c r="O52" s="28">
        <v>31.6</v>
      </c>
      <c r="R52" s="28">
        <v>100</v>
      </c>
      <c r="S52" s="28">
        <v>9</v>
      </c>
    </row>
    <row r="53" spans="2:19" x14ac:dyDescent="0.2">
      <c r="B53" s="24" t="s">
        <v>149</v>
      </c>
      <c r="C53" s="23">
        <v>80</v>
      </c>
      <c r="D53" s="28">
        <v>0</v>
      </c>
      <c r="E53" s="28">
        <v>2.71</v>
      </c>
      <c r="F53" s="28">
        <v>0</v>
      </c>
      <c r="G53" s="28">
        <v>3.7</v>
      </c>
      <c r="H53" s="28">
        <v>0</v>
      </c>
      <c r="I53" s="28">
        <v>4.75</v>
      </c>
      <c r="J53" s="28">
        <v>6.69</v>
      </c>
      <c r="K53" s="28">
        <v>8.9499999999999993</v>
      </c>
      <c r="L53" s="28">
        <v>9.75</v>
      </c>
      <c r="M53" s="28">
        <v>16</v>
      </c>
      <c r="N53" s="28">
        <v>24.8</v>
      </c>
      <c r="O53" s="28">
        <v>38.4</v>
      </c>
      <c r="R53" s="28">
        <v>160</v>
      </c>
      <c r="S53" s="28">
        <v>10</v>
      </c>
    </row>
    <row r="54" spans="2:19" x14ac:dyDescent="0.2">
      <c r="B54" s="24" t="s">
        <v>149</v>
      </c>
      <c r="C54" s="23">
        <v>100</v>
      </c>
      <c r="D54" s="28">
        <v>0</v>
      </c>
      <c r="E54" s="28">
        <v>3.24</v>
      </c>
      <c r="F54" s="28">
        <v>0</v>
      </c>
      <c r="G54" s="28">
        <v>4.62</v>
      </c>
      <c r="H54" s="28">
        <v>0</v>
      </c>
      <c r="I54" s="28">
        <v>6.52</v>
      </c>
      <c r="J54" s="28">
        <v>9.66</v>
      </c>
      <c r="K54" s="28">
        <v>13.7</v>
      </c>
      <c r="L54" s="28">
        <v>14.8</v>
      </c>
      <c r="M54" s="28">
        <v>26.3</v>
      </c>
      <c r="N54" s="28">
        <v>42</v>
      </c>
      <c r="O54" s="28">
        <v>67.3</v>
      </c>
      <c r="R54" s="28">
        <v>250</v>
      </c>
      <c r="S54" s="28">
        <v>11</v>
      </c>
    </row>
    <row r="55" spans="2:19" x14ac:dyDescent="0.2">
      <c r="B55" s="24" t="s">
        <v>149</v>
      </c>
      <c r="C55" s="23">
        <v>125</v>
      </c>
      <c r="D55" s="28">
        <v>0</v>
      </c>
      <c r="E55" s="28">
        <v>4.49</v>
      </c>
      <c r="F55" s="28">
        <v>0</v>
      </c>
      <c r="G55" s="28">
        <v>6.3</v>
      </c>
      <c r="H55" s="28">
        <v>0</v>
      </c>
      <c r="I55" s="28">
        <v>9.07</v>
      </c>
      <c r="J55" s="28">
        <v>15.1</v>
      </c>
      <c r="K55" s="28">
        <v>22.7</v>
      </c>
      <c r="L55" s="28">
        <v>23</v>
      </c>
      <c r="M55" s="28">
        <v>37.799999999999997</v>
      </c>
      <c r="N55" s="28">
        <v>64.5</v>
      </c>
      <c r="O55" s="28">
        <v>96</v>
      </c>
      <c r="R55" s="28">
        <v>320</v>
      </c>
      <c r="S55" s="28">
        <v>12</v>
      </c>
    </row>
    <row r="56" spans="2:19" x14ac:dyDescent="0.2">
      <c r="B56" s="24" t="s">
        <v>149</v>
      </c>
      <c r="C56" s="23">
        <v>150</v>
      </c>
      <c r="D56" s="28">
        <v>0</v>
      </c>
      <c r="E56" s="28">
        <v>5.15</v>
      </c>
      <c r="F56" s="28">
        <v>0</v>
      </c>
      <c r="G56" s="28">
        <v>7.75</v>
      </c>
      <c r="H56" s="28">
        <v>0</v>
      </c>
      <c r="I56" s="28">
        <v>11.8</v>
      </c>
      <c r="J56" s="28">
        <v>21.9</v>
      </c>
      <c r="K56" s="28">
        <v>30.2</v>
      </c>
      <c r="L56" s="28">
        <v>32.5</v>
      </c>
      <c r="M56" s="28">
        <v>58</v>
      </c>
      <c r="N56" s="28">
        <v>89.5</v>
      </c>
      <c r="O56" s="28">
        <v>146</v>
      </c>
      <c r="R56" s="28">
        <v>400</v>
      </c>
      <c r="S56" s="28">
        <v>13</v>
      </c>
    </row>
    <row r="57" spans="2:19" x14ac:dyDescent="0.2">
      <c r="B57" s="24" t="s">
        <v>149</v>
      </c>
      <c r="C57" s="23">
        <v>175</v>
      </c>
      <c r="D57" s="28">
        <v>0</v>
      </c>
      <c r="E57" s="28">
        <v>0</v>
      </c>
      <c r="F57" s="28">
        <v>0</v>
      </c>
      <c r="G57" s="28">
        <v>9.85</v>
      </c>
      <c r="H57" s="28">
        <v>13.4</v>
      </c>
      <c r="I57" s="28">
        <v>18.2</v>
      </c>
      <c r="J57" s="28">
        <v>23.7</v>
      </c>
      <c r="K57" s="28">
        <v>38.9</v>
      </c>
      <c r="L57" s="28">
        <v>43.5</v>
      </c>
      <c r="M57" s="28">
        <v>0</v>
      </c>
      <c r="N57" s="28">
        <v>134</v>
      </c>
      <c r="O57" s="28">
        <v>0</v>
      </c>
    </row>
    <row r="58" spans="2:19" x14ac:dyDescent="0.2">
      <c r="B58" s="24" t="s">
        <v>149</v>
      </c>
      <c r="C58" s="23">
        <v>200</v>
      </c>
      <c r="D58" s="28">
        <v>0</v>
      </c>
      <c r="E58" s="28">
        <v>7.78</v>
      </c>
      <c r="F58" s="28">
        <v>11.3</v>
      </c>
      <c r="G58" s="28">
        <v>11</v>
      </c>
      <c r="H58" s="28">
        <v>17</v>
      </c>
      <c r="I58" s="28">
        <v>21.5</v>
      </c>
      <c r="J58" s="28">
        <v>34.9</v>
      </c>
      <c r="K58" s="28">
        <v>52.8</v>
      </c>
      <c r="L58" s="28">
        <v>59.4</v>
      </c>
      <c r="M58" s="28">
        <v>105</v>
      </c>
      <c r="N58" s="28">
        <v>170</v>
      </c>
      <c r="O58" s="28">
        <v>296</v>
      </c>
    </row>
    <row r="59" spans="2:19" x14ac:dyDescent="0.2">
      <c r="B59" s="24" t="s">
        <v>149</v>
      </c>
      <c r="C59" s="23">
        <v>250</v>
      </c>
      <c r="D59" s="28">
        <v>0</v>
      </c>
      <c r="E59" s="28">
        <v>10.8</v>
      </c>
      <c r="F59" s="28">
        <v>14.7</v>
      </c>
      <c r="G59" s="28">
        <v>15.6</v>
      </c>
      <c r="H59" s="28">
        <v>24.4</v>
      </c>
      <c r="I59" s="28">
        <v>34.9</v>
      </c>
      <c r="J59" s="28">
        <v>49.6</v>
      </c>
      <c r="K59" s="28">
        <v>81.400000000000006</v>
      </c>
      <c r="L59" s="28">
        <v>94.5</v>
      </c>
      <c r="M59" s="28">
        <v>182</v>
      </c>
      <c r="N59" s="28">
        <v>308</v>
      </c>
      <c r="O59" s="28">
        <v>0</v>
      </c>
    </row>
    <row r="60" spans="2:19" x14ac:dyDescent="0.2">
      <c r="B60" s="24" t="s">
        <v>149</v>
      </c>
      <c r="C60" s="23">
        <v>300</v>
      </c>
      <c r="D60" s="28">
        <v>0</v>
      </c>
      <c r="E60" s="28">
        <v>14</v>
      </c>
      <c r="F60" s="28">
        <v>17.399999999999999</v>
      </c>
      <c r="G60" s="28">
        <v>22</v>
      </c>
      <c r="H60" s="28">
        <v>31.2</v>
      </c>
      <c r="I60" s="28">
        <v>49.7</v>
      </c>
      <c r="J60" s="28">
        <v>68.7</v>
      </c>
      <c r="K60" s="28">
        <v>122</v>
      </c>
      <c r="L60" s="28">
        <v>136</v>
      </c>
      <c r="M60" s="28">
        <v>0</v>
      </c>
      <c r="N60" s="28">
        <v>0</v>
      </c>
      <c r="O60" s="28">
        <v>0</v>
      </c>
    </row>
    <row r="61" spans="2:19" x14ac:dyDescent="0.2">
      <c r="B61" s="24" t="s">
        <v>149</v>
      </c>
      <c r="C61" s="23">
        <v>350</v>
      </c>
      <c r="D61" s="28">
        <v>0</v>
      </c>
      <c r="E61" s="28">
        <v>18.5</v>
      </c>
      <c r="F61" s="28">
        <v>23.6</v>
      </c>
      <c r="G61" s="28">
        <v>31.2</v>
      </c>
      <c r="H61" s="28">
        <v>47.2</v>
      </c>
      <c r="I61" s="28">
        <v>68.099999999999994</v>
      </c>
      <c r="J61" s="28">
        <v>94.6</v>
      </c>
      <c r="K61" s="28">
        <v>165</v>
      </c>
      <c r="L61" s="28">
        <v>0</v>
      </c>
      <c r="M61" s="28">
        <v>0</v>
      </c>
      <c r="N61" s="28">
        <v>0</v>
      </c>
      <c r="O61" s="28">
        <v>0</v>
      </c>
    </row>
    <row r="62" spans="2:19" x14ac:dyDescent="0.2">
      <c r="B62" s="24" t="s">
        <v>149</v>
      </c>
      <c r="C62" s="23">
        <v>400</v>
      </c>
      <c r="D62" s="28">
        <v>0</v>
      </c>
      <c r="E62" s="28">
        <v>21.2</v>
      </c>
      <c r="F62" s="28">
        <v>28.6</v>
      </c>
      <c r="G62" s="28">
        <v>39.299999999999997</v>
      </c>
      <c r="H62" s="28">
        <v>61.7</v>
      </c>
      <c r="I62" s="28">
        <v>96.5</v>
      </c>
      <c r="J62" s="28">
        <v>124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</row>
    <row r="63" spans="2:19" x14ac:dyDescent="0.2">
      <c r="B63" s="24" t="s">
        <v>149</v>
      </c>
      <c r="C63" s="23">
        <v>500</v>
      </c>
      <c r="D63" s="28">
        <v>0</v>
      </c>
      <c r="E63" s="28">
        <v>28.6</v>
      </c>
      <c r="F63" s="28">
        <v>38.1</v>
      </c>
      <c r="G63" s="28">
        <v>61</v>
      </c>
      <c r="H63" s="28">
        <v>89.6</v>
      </c>
      <c r="I63" s="28">
        <v>117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</row>
    <row r="64" spans="2:19" x14ac:dyDescent="0.2">
      <c r="B64" s="24" t="s">
        <v>149</v>
      </c>
      <c r="C64" s="23">
        <v>600</v>
      </c>
      <c r="D64" s="28">
        <v>0</v>
      </c>
      <c r="E64" s="28">
        <v>31.5</v>
      </c>
      <c r="F64" s="28">
        <v>44.6</v>
      </c>
      <c r="G64" s="28">
        <v>75.400000000000006</v>
      </c>
      <c r="H64" s="28">
        <v>104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</row>
    <row r="65" spans="2:15" x14ac:dyDescent="0.2">
      <c r="B65" s="24" t="s">
        <v>149</v>
      </c>
      <c r="C65" s="23">
        <v>700</v>
      </c>
      <c r="D65" s="28">
        <v>0</v>
      </c>
      <c r="E65" s="28">
        <v>37.4</v>
      </c>
      <c r="F65" s="28">
        <v>62.4</v>
      </c>
      <c r="G65" s="28">
        <v>77</v>
      </c>
      <c r="H65" s="28">
        <v>136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</row>
    <row r="66" spans="2:15" x14ac:dyDescent="0.2">
      <c r="B66" s="24" t="s">
        <v>149</v>
      </c>
      <c r="C66" s="23">
        <v>800</v>
      </c>
      <c r="D66" s="28">
        <v>0</v>
      </c>
      <c r="E66" s="28">
        <v>46.1</v>
      </c>
      <c r="F66" s="28">
        <v>84.1</v>
      </c>
      <c r="G66" s="28">
        <v>101</v>
      </c>
      <c r="H66" s="28">
        <v>186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</row>
    <row r="67" spans="2:15" x14ac:dyDescent="0.2">
      <c r="B67" s="24" t="s">
        <v>149</v>
      </c>
      <c r="C67" s="23">
        <v>900</v>
      </c>
      <c r="D67" s="28">
        <v>0</v>
      </c>
      <c r="E67" s="28">
        <v>55.6</v>
      </c>
      <c r="F67" s="28">
        <v>98.5</v>
      </c>
      <c r="G67" s="28">
        <v>122</v>
      </c>
      <c r="H67" s="28">
        <v>236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</row>
    <row r="68" spans="2:15" x14ac:dyDescent="0.2">
      <c r="B68" s="24" t="s">
        <v>149</v>
      </c>
      <c r="C68" s="23">
        <v>1000</v>
      </c>
      <c r="D68" s="28">
        <v>0</v>
      </c>
      <c r="E68" s="28">
        <v>61.9</v>
      </c>
      <c r="F68" s="28">
        <v>115</v>
      </c>
      <c r="G68" s="28">
        <v>162</v>
      </c>
      <c r="H68" s="28">
        <v>307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</row>
    <row r="69" spans="2:15" x14ac:dyDescent="0.2">
      <c r="B69" s="24" t="s">
        <v>149</v>
      </c>
      <c r="C69" s="23">
        <v>1200</v>
      </c>
      <c r="D69" s="28">
        <v>73.900000000000006</v>
      </c>
      <c r="E69" s="28">
        <v>100</v>
      </c>
      <c r="F69" s="28">
        <v>182</v>
      </c>
      <c r="G69" s="28">
        <v>243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</row>
    <row r="70" spans="2:15" x14ac:dyDescent="0.2">
      <c r="B70" s="24" t="s">
        <v>149</v>
      </c>
      <c r="C70" s="23">
        <v>1400</v>
      </c>
      <c r="D70" s="28">
        <v>85.4</v>
      </c>
      <c r="E70" s="28">
        <v>149</v>
      </c>
      <c r="F70" s="28">
        <v>248</v>
      </c>
      <c r="G70" s="28">
        <v>323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</row>
    <row r="71" spans="2:15" x14ac:dyDescent="0.2">
      <c r="B71" s="24" t="s">
        <v>149</v>
      </c>
      <c r="C71" s="23">
        <v>1600</v>
      </c>
      <c r="D71" s="28">
        <v>108</v>
      </c>
      <c r="E71" s="28">
        <v>180</v>
      </c>
      <c r="F71" s="28">
        <v>347</v>
      </c>
      <c r="G71" s="28">
        <v>479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</row>
    <row r="72" spans="2:15" x14ac:dyDescent="0.2">
      <c r="B72" s="24" t="s">
        <v>149</v>
      </c>
      <c r="C72" s="23">
        <v>1800</v>
      </c>
      <c r="D72" s="28">
        <v>125</v>
      </c>
      <c r="E72" s="28">
        <v>225</v>
      </c>
      <c r="F72" s="28">
        <v>430</v>
      </c>
      <c r="G72" s="28">
        <v>599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</row>
    <row r="73" spans="2:15" x14ac:dyDescent="0.2">
      <c r="B73" s="24" t="s">
        <v>149</v>
      </c>
      <c r="C73" s="23">
        <v>2000</v>
      </c>
      <c r="D73" s="28">
        <v>138</v>
      </c>
      <c r="E73" s="28">
        <v>295</v>
      </c>
      <c r="F73" s="28">
        <v>539</v>
      </c>
      <c r="G73" s="28">
        <v>719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</row>
    <row r="74" spans="2:15" x14ac:dyDescent="0.2">
      <c r="B74" s="24" t="s">
        <v>149</v>
      </c>
      <c r="C74" s="23">
        <v>2200</v>
      </c>
      <c r="D74" s="28">
        <v>172</v>
      </c>
      <c r="E74" s="28">
        <v>361</v>
      </c>
      <c r="F74" s="28">
        <v>658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</row>
    <row r="75" spans="2:15" x14ac:dyDescent="0.2">
      <c r="B75" s="24" t="s">
        <v>149</v>
      </c>
      <c r="C75" s="23">
        <v>2400</v>
      </c>
      <c r="D75" s="28">
        <v>196</v>
      </c>
      <c r="E75" s="28">
        <v>415</v>
      </c>
      <c r="F75" s="28">
        <v>825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</row>
    <row r="76" spans="2:15" x14ac:dyDescent="0.2">
      <c r="B76" s="24" t="s">
        <v>149</v>
      </c>
      <c r="C76" s="23">
        <v>2600</v>
      </c>
      <c r="D76" s="28">
        <v>203</v>
      </c>
      <c r="E76" s="28">
        <v>530</v>
      </c>
      <c r="F76" s="28">
        <v>979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</row>
    <row r="77" spans="2:15" x14ac:dyDescent="0.2">
      <c r="B77" s="24" t="s">
        <v>149</v>
      </c>
      <c r="C77" s="23">
        <v>2800</v>
      </c>
      <c r="D77" s="28">
        <v>259</v>
      </c>
      <c r="E77" s="28">
        <v>643</v>
      </c>
      <c r="F77" s="28">
        <v>1156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</row>
    <row r="78" spans="2:15" x14ac:dyDescent="0.2">
      <c r="B78" s="24" t="s">
        <v>149</v>
      </c>
      <c r="C78" s="23">
        <v>3000</v>
      </c>
      <c r="D78" s="28">
        <v>292</v>
      </c>
      <c r="E78" s="28">
        <v>777</v>
      </c>
      <c r="F78" s="28">
        <v>1402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</row>
    <row r="79" spans="2:15" x14ac:dyDescent="0.2">
      <c r="B79" s="24" t="s">
        <v>149</v>
      </c>
      <c r="C79" s="23">
        <v>3200</v>
      </c>
      <c r="D79" s="28">
        <v>294</v>
      </c>
      <c r="E79" s="28">
        <v>851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</row>
    <row r="80" spans="2:15" x14ac:dyDescent="0.2">
      <c r="B80" s="24" t="s">
        <v>149</v>
      </c>
      <c r="C80" s="23">
        <v>3400</v>
      </c>
      <c r="D80" s="28">
        <v>331</v>
      </c>
      <c r="E80" s="28">
        <v>993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</row>
    <row r="81" spans="1:15" x14ac:dyDescent="0.2">
      <c r="B81" s="24" t="s">
        <v>149</v>
      </c>
      <c r="C81" s="23">
        <v>3600</v>
      </c>
      <c r="D81" s="28">
        <v>402</v>
      </c>
      <c r="E81" s="28">
        <v>1001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</row>
    <row r="82" spans="1:15" x14ac:dyDescent="0.2">
      <c r="B82" s="24" t="s">
        <v>149</v>
      </c>
      <c r="C82" s="23">
        <v>3800</v>
      </c>
      <c r="D82" s="28">
        <v>416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</row>
    <row r="83" spans="1:15" x14ac:dyDescent="0.2">
      <c r="B83" s="24" t="s">
        <v>149</v>
      </c>
      <c r="C83" s="23">
        <v>4000</v>
      </c>
      <c r="D83" s="28">
        <v>437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</row>
    <row r="86" spans="1:15" x14ac:dyDescent="0.2">
      <c r="D86" s="210" t="s">
        <v>163</v>
      </c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</row>
    <row r="87" spans="1:15" x14ac:dyDescent="0.2">
      <c r="A87" s="22" t="s">
        <v>164</v>
      </c>
      <c r="B87" s="23"/>
      <c r="C87" s="24" t="s">
        <v>154</v>
      </c>
      <c r="D87" s="27">
        <v>1</v>
      </c>
      <c r="E87" s="28">
        <v>6</v>
      </c>
      <c r="F87" s="28">
        <v>10</v>
      </c>
      <c r="G87" s="28">
        <v>16</v>
      </c>
      <c r="H87" s="28">
        <v>25</v>
      </c>
      <c r="I87" s="28">
        <v>40</v>
      </c>
      <c r="J87" s="28">
        <v>64</v>
      </c>
      <c r="K87" s="28">
        <v>100</v>
      </c>
      <c r="L87" s="28">
        <v>160</v>
      </c>
      <c r="M87" s="28">
        <v>250</v>
      </c>
      <c r="N87" s="28">
        <v>320</v>
      </c>
      <c r="O87" s="28">
        <v>400</v>
      </c>
    </row>
    <row r="88" spans="1:15" x14ac:dyDescent="0.2">
      <c r="B88" s="24" t="s">
        <v>149</v>
      </c>
      <c r="C88" s="23">
        <v>10</v>
      </c>
      <c r="D88" s="28">
        <v>0</v>
      </c>
      <c r="E88" s="28">
        <v>0.38</v>
      </c>
      <c r="F88" s="28">
        <v>0</v>
      </c>
      <c r="G88" s="28">
        <v>0.63</v>
      </c>
      <c r="H88" s="28">
        <v>0</v>
      </c>
      <c r="I88" s="28">
        <v>0.72</v>
      </c>
      <c r="J88" s="28">
        <v>0</v>
      </c>
      <c r="K88" s="28">
        <v>1</v>
      </c>
      <c r="L88" s="28">
        <v>0</v>
      </c>
      <c r="M88" s="28">
        <v>0</v>
      </c>
      <c r="N88" s="28">
        <v>0</v>
      </c>
      <c r="O88" s="28">
        <v>0</v>
      </c>
    </row>
    <row r="89" spans="1:15" x14ac:dyDescent="0.2">
      <c r="B89" s="24" t="s">
        <v>149</v>
      </c>
      <c r="C89" s="23">
        <v>15</v>
      </c>
      <c r="D89" s="28">
        <v>0</v>
      </c>
      <c r="E89" s="28">
        <v>0.44</v>
      </c>
      <c r="F89" s="28">
        <v>0</v>
      </c>
      <c r="G89" s="28">
        <v>0.72</v>
      </c>
      <c r="H89" s="28">
        <v>0</v>
      </c>
      <c r="I89" s="28">
        <v>0.81</v>
      </c>
      <c r="J89" s="28">
        <v>0</v>
      </c>
      <c r="K89" s="28">
        <v>22</v>
      </c>
      <c r="L89" s="28">
        <v>0</v>
      </c>
      <c r="M89" s="28">
        <v>0</v>
      </c>
      <c r="N89" s="28">
        <v>0</v>
      </c>
      <c r="O89" s="28">
        <v>0</v>
      </c>
    </row>
    <row r="90" spans="1:15" x14ac:dyDescent="0.2">
      <c r="B90" s="24" t="s">
        <v>149</v>
      </c>
      <c r="C90" s="23">
        <v>20</v>
      </c>
      <c r="D90" s="28">
        <v>0</v>
      </c>
      <c r="E90" s="28">
        <v>0.65</v>
      </c>
      <c r="F90" s="28">
        <v>0</v>
      </c>
      <c r="G90" s="28">
        <v>1.01</v>
      </c>
      <c r="H90" s="28">
        <v>0</v>
      </c>
      <c r="I90" s="28">
        <v>1.24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</row>
    <row r="91" spans="1:15" x14ac:dyDescent="0.2">
      <c r="B91" s="24" t="s">
        <v>149</v>
      </c>
      <c r="C91" s="23">
        <v>25</v>
      </c>
      <c r="D91" s="28">
        <v>0</v>
      </c>
      <c r="E91" s="28">
        <v>0.82</v>
      </c>
      <c r="F91" s="28">
        <v>0</v>
      </c>
      <c r="G91" s="28">
        <v>1.23</v>
      </c>
      <c r="H91" s="28">
        <v>0</v>
      </c>
      <c r="I91" s="28">
        <v>1.38</v>
      </c>
      <c r="J91" s="28">
        <v>0</v>
      </c>
      <c r="K91" s="28">
        <v>2.65</v>
      </c>
      <c r="L91" s="28">
        <v>0</v>
      </c>
      <c r="M91" s="28">
        <v>0</v>
      </c>
      <c r="N91" s="28">
        <v>0</v>
      </c>
      <c r="O91" s="28">
        <v>0</v>
      </c>
    </row>
    <row r="92" spans="1:15" x14ac:dyDescent="0.2">
      <c r="B92" s="24" t="s">
        <v>149</v>
      </c>
      <c r="C92" s="23">
        <v>32</v>
      </c>
      <c r="D92" s="28">
        <v>0</v>
      </c>
      <c r="E92" s="28">
        <v>1.17</v>
      </c>
      <c r="F92" s="28">
        <v>0</v>
      </c>
      <c r="G92" s="28">
        <v>1.8</v>
      </c>
      <c r="H92" s="28">
        <v>0</v>
      </c>
      <c r="I92" s="28">
        <v>2.0299999999999998</v>
      </c>
      <c r="J92" s="28">
        <v>0</v>
      </c>
      <c r="K92" s="28">
        <v>3.24</v>
      </c>
      <c r="L92" s="28">
        <v>0</v>
      </c>
      <c r="M92" s="28">
        <v>0</v>
      </c>
      <c r="N92" s="28">
        <v>0</v>
      </c>
      <c r="O92" s="28">
        <v>0</v>
      </c>
    </row>
    <row r="93" spans="1:15" x14ac:dyDescent="0.2">
      <c r="B93" s="24" t="s">
        <v>149</v>
      </c>
      <c r="C93" s="23">
        <v>40</v>
      </c>
      <c r="D93" s="28">
        <v>0</v>
      </c>
      <c r="E93" s="28">
        <v>1.39</v>
      </c>
      <c r="F93" s="28">
        <v>0</v>
      </c>
      <c r="G93" s="28">
        <v>2.09</v>
      </c>
      <c r="H93" s="28">
        <v>0</v>
      </c>
      <c r="I93" s="28">
        <v>2.35</v>
      </c>
      <c r="J93" s="28">
        <v>0</v>
      </c>
      <c r="K93" s="28">
        <v>4.09</v>
      </c>
      <c r="L93" s="28">
        <v>0</v>
      </c>
      <c r="M93" s="28">
        <v>0</v>
      </c>
      <c r="N93" s="28">
        <v>0</v>
      </c>
      <c r="O93" s="28">
        <v>0</v>
      </c>
    </row>
    <row r="94" spans="1:15" x14ac:dyDescent="0.2">
      <c r="B94" s="24" t="s">
        <v>149</v>
      </c>
      <c r="C94" s="23">
        <v>50</v>
      </c>
      <c r="D94" s="28">
        <v>0</v>
      </c>
      <c r="E94" s="28">
        <v>1.62</v>
      </c>
      <c r="F94" s="28">
        <v>0</v>
      </c>
      <c r="G94" s="28">
        <v>2.88</v>
      </c>
      <c r="H94" s="28">
        <v>0</v>
      </c>
      <c r="I94" s="28">
        <v>3.2</v>
      </c>
      <c r="J94" s="28">
        <v>4.51</v>
      </c>
      <c r="K94" s="28">
        <v>5.84</v>
      </c>
      <c r="L94" s="28">
        <v>0</v>
      </c>
      <c r="M94" s="28">
        <v>0</v>
      </c>
      <c r="N94" s="28">
        <v>0</v>
      </c>
      <c r="O94" s="28">
        <v>0</v>
      </c>
    </row>
    <row r="95" spans="1:15" x14ac:dyDescent="0.2">
      <c r="B95" s="24" t="s">
        <v>149</v>
      </c>
      <c r="C95" s="23">
        <v>65</v>
      </c>
      <c r="D95" s="28">
        <v>0</v>
      </c>
      <c r="E95" s="28">
        <v>2.48</v>
      </c>
      <c r="F95" s="28">
        <v>0</v>
      </c>
      <c r="G95" s="28">
        <v>3.7</v>
      </c>
      <c r="H95" s="28">
        <v>0</v>
      </c>
      <c r="I95" s="28">
        <v>4.33</v>
      </c>
      <c r="J95" s="28">
        <v>5.71</v>
      </c>
      <c r="K95" s="28">
        <v>8.0299999999999994</v>
      </c>
      <c r="L95" s="28">
        <v>0</v>
      </c>
      <c r="M95" s="28">
        <v>0</v>
      </c>
      <c r="N95" s="28">
        <v>0</v>
      </c>
      <c r="O95" s="28">
        <v>0</v>
      </c>
    </row>
    <row r="96" spans="1:15" x14ac:dyDescent="0.2">
      <c r="B96" s="24" t="s">
        <v>149</v>
      </c>
      <c r="C96" s="23">
        <v>80</v>
      </c>
      <c r="D96" s="28">
        <v>0</v>
      </c>
      <c r="E96" s="28">
        <v>3.49</v>
      </c>
      <c r="F96" s="28">
        <v>0</v>
      </c>
      <c r="G96" s="28">
        <v>4.83</v>
      </c>
      <c r="H96" s="28">
        <v>0</v>
      </c>
      <c r="I96" s="28">
        <v>5.94</v>
      </c>
      <c r="J96" s="28">
        <v>6.92</v>
      </c>
      <c r="K96" s="28">
        <v>9.43</v>
      </c>
      <c r="L96" s="28">
        <v>0</v>
      </c>
      <c r="M96" s="28">
        <v>0</v>
      </c>
      <c r="N96" s="28">
        <v>0</v>
      </c>
      <c r="O96" s="28">
        <v>0</v>
      </c>
    </row>
    <row r="97" spans="2:15" x14ac:dyDescent="0.2">
      <c r="B97" s="24" t="s">
        <v>149</v>
      </c>
      <c r="C97" s="23">
        <v>100</v>
      </c>
      <c r="D97" s="28">
        <v>0</v>
      </c>
      <c r="E97" s="28">
        <v>4.8600000000000003</v>
      </c>
      <c r="F97" s="28">
        <v>0</v>
      </c>
      <c r="G97" s="28">
        <v>5.75</v>
      </c>
      <c r="H97" s="28">
        <v>0</v>
      </c>
      <c r="I97" s="28">
        <v>7.64</v>
      </c>
      <c r="J97" s="28">
        <v>10.1</v>
      </c>
      <c r="K97" s="28">
        <v>14.3</v>
      </c>
      <c r="L97" s="28">
        <v>0</v>
      </c>
      <c r="M97" s="28">
        <v>0</v>
      </c>
      <c r="N97" s="28">
        <v>0</v>
      </c>
      <c r="O97" s="28">
        <v>0</v>
      </c>
    </row>
    <row r="98" spans="2:15" x14ac:dyDescent="0.2">
      <c r="B98" s="24" t="s">
        <v>149</v>
      </c>
      <c r="C98" s="23">
        <v>125</v>
      </c>
      <c r="D98" s="28">
        <v>0</v>
      </c>
      <c r="E98" s="28">
        <v>6.28</v>
      </c>
      <c r="F98" s="28">
        <v>0</v>
      </c>
      <c r="G98" s="28">
        <v>8.59</v>
      </c>
      <c r="H98" s="28">
        <v>0</v>
      </c>
      <c r="I98" s="28">
        <v>11</v>
      </c>
      <c r="J98" s="28">
        <v>16</v>
      </c>
      <c r="K98" s="28">
        <v>22.6</v>
      </c>
      <c r="L98" s="28">
        <v>0</v>
      </c>
      <c r="M98" s="28">
        <v>0</v>
      </c>
      <c r="N98" s="28">
        <v>0</v>
      </c>
      <c r="O98" s="28">
        <v>0</v>
      </c>
    </row>
    <row r="99" spans="2:15" x14ac:dyDescent="0.2">
      <c r="B99" s="24" t="s">
        <v>149</v>
      </c>
      <c r="C99" s="23">
        <v>150</v>
      </c>
      <c r="D99" s="28">
        <v>0</v>
      </c>
      <c r="E99" s="28">
        <v>7.75</v>
      </c>
      <c r="F99" s="28">
        <v>0</v>
      </c>
      <c r="G99" s="28">
        <v>10.6</v>
      </c>
      <c r="H99" s="28">
        <v>0</v>
      </c>
      <c r="I99" s="28">
        <v>14.7</v>
      </c>
      <c r="J99" s="28">
        <v>23.5</v>
      </c>
      <c r="K99" s="28">
        <v>31.8</v>
      </c>
      <c r="L99" s="28">
        <v>0</v>
      </c>
      <c r="M99" s="28">
        <v>0</v>
      </c>
      <c r="N99" s="28">
        <v>0</v>
      </c>
      <c r="O99" s="28">
        <v>0</v>
      </c>
    </row>
    <row r="100" spans="2:15" x14ac:dyDescent="0.2">
      <c r="B100" s="24" t="s">
        <v>149</v>
      </c>
      <c r="C100" s="23">
        <v>175</v>
      </c>
      <c r="D100" s="28">
        <v>0</v>
      </c>
      <c r="E100" s="28">
        <v>10.7</v>
      </c>
      <c r="F100" s="28">
        <v>0</v>
      </c>
      <c r="G100" s="28">
        <v>14.3</v>
      </c>
      <c r="H100" s="28">
        <v>17.600000000000001</v>
      </c>
      <c r="I100" s="28">
        <v>22.4</v>
      </c>
      <c r="J100" s="28">
        <v>30.8</v>
      </c>
      <c r="K100" s="28">
        <v>41.3</v>
      </c>
      <c r="L100" s="28">
        <v>0</v>
      </c>
      <c r="M100" s="28">
        <v>0</v>
      </c>
      <c r="N100" s="28">
        <v>0</v>
      </c>
      <c r="O100" s="28">
        <v>0</v>
      </c>
    </row>
    <row r="101" spans="2:15" x14ac:dyDescent="0.2">
      <c r="B101" s="24" t="s">
        <v>149</v>
      </c>
      <c r="C101" s="23">
        <v>200</v>
      </c>
      <c r="D101" s="28">
        <v>0</v>
      </c>
      <c r="E101" s="28">
        <v>12.7</v>
      </c>
      <c r="F101" s="28">
        <v>16.899999999999999</v>
      </c>
      <c r="G101" s="28">
        <v>16.5</v>
      </c>
      <c r="H101" s="28">
        <v>22.7</v>
      </c>
      <c r="I101" s="28">
        <v>27.6</v>
      </c>
      <c r="J101" s="28">
        <v>39.700000000000003</v>
      </c>
      <c r="K101" s="28">
        <v>56.1</v>
      </c>
      <c r="L101" s="28">
        <v>0</v>
      </c>
      <c r="M101" s="28">
        <v>0</v>
      </c>
      <c r="N101" s="28">
        <v>0</v>
      </c>
      <c r="O101" s="28">
        <v>0</v>
      </c>
    </row>
    <row r="102" spans="2:15" x14ac:dyDescent="0.2">
      <c r="B102" s="24" t="s">
        <v>149</v>
      </c>
      <c r="C102" s="23">
        <v>250</v>
      </c>
      <c r="D102" s="28">
        <v>0</v>
      </c>
      <c r="E102" s="28">
        <v>19</v>
      </c>
      <c r="F102" s="28">
        <v>24.7</v>
      </c>
      <c r="G102" s="28">
        <v>25.6</v>
      </c>
      <c r="H102" s="28">
        <v>34.200000000000003</v>
      </c>
      <c r="I102" s="28">
        <v>44.5</v>
      </c>
      <c r="J102" s="28">
        <v>57.4</v>
      </c>
      <c r="K102" s="28">
        <v>89.6</v>
      </c>
      <c r="L102" s="28">
        <v>0</v>
      </c>
      <c r="M102" s="28">
        <v>0</v>
      </c>
      <c r="N102" s="28">
        <v>0</v>
      </c>
      <c r="O102" s="28">
        <v>0</v>
      </c>
    </row>
    <row r="103" spans="2:15" x14ac:dyDescent="0.2">
      <c r="B103" s="24" t="s">
        <v>149</v>
      </c>
      <c r="C103" s="23">
        <v>300</v>
      </c>
      <c r="D103" s="28">
        <v>0</v>
      </c>
      <c r="E103" s="28">
        <v>26.3</v>
      </c>
      <c r="F103" s="28">
        <v>31.9</v>
      </c>
      <c r="G103" s="28">
        <v>36.1</v>
      </c>
      <c r="H103" s="28">
        <v>47.3</v>
      </c>
      <c r="I103" s="28">
        <v>64.3</v>
      </c>
      <c r="J103" s="28">
        <v>81</v>
      </c>
      <c r="K103" s="28">
        <v>119</v>
      </c>
      <c r="L103" s="28">
        <v>0</v>
      </c>
      <c r="M103" s="28">
        <v>0</v>
      </c>
      <c r="N103" s="28">
        <v>0</v>
      </c>
      <c r="O103" s="28">
        <v>0</v>
      </c>
    </row>
    <row r="104" spans="2:15" x14ac:dyDescent="0.2">
      <c r="B104" s="24" t="s">
        <v>149</v>
      </c>
      <c r="C104" s="23">
        <v>350</v>
      </c>
      <c r="D104" s="28">
        <v>0</v>
      </c>
      <c r="E104" s="28">
        <v>32.9</v>
      </c>
      <c r="F104" s="28">
        <v>41.9</v>
      </c>
      <c r="G104" s="28">
        <v>49.1</v>
      </c>
      <c r="H104" s="28">
        <v>69.3</v>
      </c>
      <c r="I104" s="28">
        <v>90.8</v>
      </c>
      <c r="J104" s="28">
        <v>114</v>
      </c>
      <c r="K104" s="28">
        <v>175</v>
      </c>
      <c r="L104" s="28">
        <v>0</v>
      </c>
      <c r="M104" s="28">
        <v>0</v>
      </c>
      <c r="N104" s="28">
        <v>0</v>
      </c>
      <c r="O104" s="28">
        <v>0</v>
      </c>
    </row>
    <row r="105" spans="2:15" x14ac:dyDescent="0.2">
      <c r="B105" s="24" t="s">
        <v>149</v>
      </c>
      <c r="C105" s="23">
        <v>400</v>
      </c>
      <c r="D105" s="28">
        <v>0</v>
      </c>
      <c r="E105" s="28">
        <v>40.200000000000003</v>
      </c>
      <c r="F105" s="28">
        <v>51.2</v>
      </c>
      <c r="G105" s="28">
        <v>65.3</v>
      </c>
      <c r="H105" s="28">
        <v>91.5</v>
      </c>
      <c r="I105" s="28">
        <v>129</v>
      </c>
      <c r="J105" s="28">
        <v>153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</row>
    <row r="106" spans="2:15" x14ac:dyDescent="0.2">
      <c r="B106" s="24" t="s">
        <v>149</v>
      </c>
      <c r="C106" s="23">
        <v>500</v>
      </c>
      <c r="D106" s="28">
        <v>0</v>
      </c>
      <c r="E106" s="28">
        <v>63.2</v>
      </c>
      <c r="F106" s="28">
        <v>77.8</v>
      </c>
      <c r="G106" s="28">
        <v>105</v>
      </c>
      <c r="H106" s="28">
        <v>141</v>
      </c>
      <c r="I106" s="28">
        <v>175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</row>
    <row r="107" spans="2:15" x14ac:dyDescent="0.2">
      <c r="B107" s="24" t="s">
        <v>149</v>
      </c>
      <c r="C107" s="23">
        <v>600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</row>
    <row r="108" spans="2:15" x14ac:dyDescent="0.2">
      <c r="B108" s="24" t="s">
        <v>149</v>
      </c>
      <c r="C108" s="23">
        <v>700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</row>
    <row r="109" spans="2:15" x14ac:dyDescent="0.2">
      <c r="B109" s="24" t="s">
        <v>149</v>
      </c>
      <c r="C109" s="23">
        <v>800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</row>
    <row r="110" spans="2:15" x14ac:dyDescent="0.2">
      <c r="B110" s="24" t="s">
        <v>149</v>
      </c>
      <c r="C110" s="23">
        <v>900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</row>
    <row r="111" spans="2:15" x14ac:dyDescent="0.2">
      <c r="B111" s="24" t="s">
        <v>149</v>
      </c>
      <c r="C111" s="23">
        <v>1000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</row>
    <row r="112" spans="2:15" x14ac:dyDescent="0.2">
      <c r="B112" s="24" t="s">
        <v>149</v>
      </c>
      <c r="C112" s="23">
        <v>1200</v>
      </c>
      <c r="D112" s="28">
        <v>0</v>
      </c>
      <c r="E112" s="28">
        <v>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</row>
    <row r="113" spans="2:15" x14ac:dyDescent="0.2">
      <c r="B113" s="24" t="s">
        <v>149</v>
      </c>
      <c r="C113" s="23">
        <v>1400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</row>
    <row r="114" spans="2:15" x14ac:dyDescent="0.2">
      <c r="B114" s="24" t="s">
        <v>149</v>
      </c>
      <c r="C114" s="23">
        <v>1600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</row>
    <row r="115" spans="2:15" x14ac:dyDescent="0.2">
      <c r="B115" s="24" t="s">
        <v>149</v>
      </c>
      <c r="C115" s="23">
        <v>1800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</row>
    <row r="116" spans="2:15" x14ac:dyDescent="0.2">
      <c r="B116" s="24" t="s">
        <v>149</v>
      </c>
      <c r="C116" s="23">
        <v>2000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</row>
    <row r="117" spans="2:15" x14ac:dyDescent="0.2">
      <c r="B117" s="24" t="s">
        <v>149</v>
      </c>
      <c r="C117" s="23">
        <v>2200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</row>
    <row r="118" spans="2:15" x14ac:dyDescent="0.2">
      <c r="B118" s="24" t="s">
        <v>149</v>
      </c>
      <c r="C118" s="23">
        <v>2400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</row>
    <row r="119" spans="2:15" x14ac:dyDescent="0.2">
      <c r="B119" s="24" t="s">
        <v>149</v>
      </c>
      <c r="C119" s="23">
        <v>2600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</row>
    <row r="120" spans="2:15" x14ac:dyDescent="0.2">
      <c r="B120" s="24" t="s">
        <v>149</v>
      </c>
      <c r="C120" s="23">
        <v>2800</v>
      </c>
      <c r="D120" s="28">
        <v>0</v>
      </c>
      <c r="E120" s="28">
        <v>0</v>
      </c>
      <c r="F120" s="28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</row>
    <row r="121" spans="2:15" x14ac:dyDescent="0.2">
      <c r="B121" s="24" t="s">
        <v>149</v>
      </c>
      <c r="C121" s="23">
        <v>3000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</row>
    <row r="122" spans="2:15" x14ac:dyDescent="0.2">
      <c r="B122" s="24" t="s">
        <v>149</v>
      </c>
      <c r="C122" s="23">
        <v>3200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</row>
    <row r="123" spans="2:15" x14ac:dyDescent="0.2">
      <c r="B123" s="24" t="s">
        <v>149</v>
      </c>
      <c r="C123" s="23">
        <v>3400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</row>
    <row r="124" spans="2:15" x14ac:dyDescent="0.2">
      <c r="B124" s="24" t="s">
        <v>149</v>
      </c>
      <c r="C124" s="23">
        <v>3600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</row>
    <row r="125" spans="2:15" x14ac:dyDescent="0.2">
      <c r="B125" s="24" t="s">
        <v>149</v>
      </c>
      <c r="C125" s="23">
        <v>3800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</row>
    <row r="126" spans="2:15" x14ac:dyDescent="0.2">
      <c r="B126" s="24" t="s">
        <v>149</v>
      </c>
      <c r="C126" s="23">
        <v>4000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</row>
    <row r="129" spans="1:34" x14ac:dyDescent="0.2">
      <c r="D129" s="210" t="s">
        <v>165</v>
      </c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AG129" s="22" t="s">
        <v>158</v>
      </c>
      <c r="AH129" s="22" t="s">
        <v>160</v>
      </c>
    </row>
    <row r="130" spans="1:34" x14ac:dyDescent="0.2">
      <c r="A130" s="22" t="s">
        <v>166</v>
      </c>
      <c r="B130" s="209" t="s">
        <v>167</v>
      </c>
      <c r="C130" s="212"/>
      <c r="D130" s="27">
        <v>3</v>
      </c>
      <c r="E130" s="28">
        <v>4</v>
      </c>
      <c r="F130" s="28">
        <v>5</v>
      </c>
      <c r="G130" s="28">
        <v>6</v>
      </c>
      <c r="H130" s="28">
        <v>7</v>
      </c>
      <c r="I130" s="28">
        <v>8</v>
      </c>
      <c r="J130" s="28">
        <v>9</v>
      </c>
      <c r="K130" s="28">
        <v>10</v>
      </c>
      <c r="L130" s="28">
        <v>11</v>
      </c>
      <c r="M130" s="28">
        <v>12</v>
      </c>
      <c r="N130" s="28">
        <v>13</v>
      </c>
      <c r="O130" s="28">
        <v>14</v>
      </c>
      <c r="P130" s="28">
        <v>15</v>
      </c>
      <c r="Q130" s="28">
        <v>16</v>
      </c>
      <c r="R130" s="28">
        <v>17</v>
      </c>
      <c r="S130" s="28">
        <v>18</v>
      </c>
      <c r="T130" s="28">
        <v>19</v>
      </c>
      <c r="U130" s="28">
        <v>20</v>
      </c>
      <c r="V130" s="28">
        <v>21</v>
      </c>
      <c r="W130" s="28">
        <v>22</v>
      </c>
      <c r="X130" s="28">
        <v>23</v>
      </c>
      <c r="Y130" s="28">
        <v>24</v>
      </c>
      <c r="Z130" s="28">
        <v>25</v>
      </c>
      <c r="AA130" s="28">
        <v>26</v>
      </c>
      <c r="AB130" s="28">
        <v>27</v>
      </c>
      <c r="AC130" s="28">
        <v>28</v>
      </c>
      <c r="AD130" s="28">
        <v>29</v>
      </c>
      <c r="AE130" s="28">
        <v>30</v>
      </c>
      <c r="AG130" s="27">
        <v>3</v>
      </c>
      <c r="AH130" s="28">
        <v>2</v>
      </c>
    </row>
    <row r="131" spans="1:34" x14ac:dyDescent="0.2">
      <c r="A131" s="22"/>
      <c r="B131" s="25"/>
      <c r="C131" s="25">
        <v>50</v>
      </c>
      <c r="D131" s="28">
        <v>0.11</v>
      </c>
      <c r="E131" s="28">
        <v>0.17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28">
        <v>0</v>
      </c>
      <c r="S131" s="28">
        <v>0</v>
      </c>
      <c r="T131" s="28">
        <v>0</v>
      </c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G131" s="28">
        <v>4</v>
      </c>
      <c r="AH131" s="28">
        <v>3</v>
      </c>
    </row>
    <row r="132" spans="1:34" x14ac:dyDescent="0.2">
      <c r="B132" s="24" t="s">
        <v>158</v>
      </c>
      <c r="C132" s="23">
        <v>60.3</v>
      </c>
      <c r="D132" s="28">
        <v>0.13</v>
      </c>
      <c r="E132" s="28">
        <v>0.18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28">
        <v>0</v>
      </c>
      <c r="S132" s="28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G132" s="28">
        <v>5</v>
      </c>
      <c r="AH132" s="28">
        <v>4</v>
      </c>
    </row>
    <row r="133" spans="1:34" x14ac:dyDescent="0.2">
      <c r="B133" s="24"/>
      <c r="C133" s="23">
        <v>76.099999999999994</v>
      </c>
      <c r="D133" s="28">
        <v>0.19</v>
      </c>
      <c r="E133" s="28">
        <v>0.25</v>
      </c>
      <c r="F133" s="28">
        <v>0.34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28">
        <v>0</v>
      </c>
      <c r="S133" s="28">
        <v>0</v>
      </c>
      <c r="T133" s="28">
        <v>0</v>
      </c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G133" s="28">
        <v>6</v>
      </c>
      <c r="AH133" s="28">
        <v>5</v>
      </c>
    </row>
    <row r="134" spans="1:34" x14ac:dyDescent="0.2">
      <c r="B134" s="24"/>
      <c r="C134" s="23">
        <v>88.9</v>
      </c>
      <c r="D134" s="28">
        <v>0.25</v>
      </c>
      <c r="E134" s="28">
        <v>0.34</v>
      </c>
      <c r="F134" s="28">
        <v>0.44</v>
      </c>
      <c r="G134" s="28">
        <v>0.63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28">
        <v>0</v>
      </c>
      <c r="S134" s="28">
        <v>0</v>
      </c>
      <c r="T134" s="28">
        <v>0</v>
      </c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G134" s="28">
        <v>7</v>
      </c>
      <c r="AH134" s="28">
        <v>6</v>
      </c>
    </row>
    <row r="135" spans="1:34" x14ac:dyDescent="0.2">
      <c r="B135" s="24"/>
      <c r="C135" s="23">
        <v>114.3</v>
      </c>
      <c r="D135" s="28">
        <v>0.4</v>
      </c>
      <c r="E135" s="28">
        <v>0.55000000000000004</v>
      </c>
      <c r="F135" s="28">
        <v>0.72</v>
      </c>
      <c r="G135" s="28">
        <v>0.91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G135" s="28">
        <v>8</v>
      </c>
      <c r="AH135" s="28">
        <v>7</v>
      </c>
    </row>
    <row r="136" spans="1:34" x14ac:dyDescent="0.2">
      <c r="B136" s="24"/>
      <c r="C136" s="23">
        <v>139.69999999999999</v>
      </c>
      <c r="D136" s="28">
        <v>0.61</v>
      </c>
      <c r="E136" s="28">
        <v>0.81</v>
      </c>
      <c r="F136" s="28">
        <v>1.05</v>
      </c>
      <c r="G136" s="28">
        <v>1.3</v>
      </c>
      <c r="H136" s="28">
        <v>1.57</v>
      </c>
      <c r="I136" s="28">
        <v>1.84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28">
        <v>0</v>
      </c>
      <c r="S136" s="28">
        <v>0</v>
      </c>
      <c r="T136" s="28">
        <v>0</v>
      </c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G136" s="28">
        <v>9</v>
      </c>
      <c r="AH136" s="28">
        <v>8</v>
      </c>
    </row>
    <row r="137" spans="1:34" x14ac:dyDescent="0.2">
      <c r="B137" s="24"/>
      <c r="C137" s="23">
        <v>168.3</v>
      </c>
      <c r="D137" s="28">
        <v>0.91</v>
      </c>
      <c r="E137" s="28">
        <v>1.21</v>
      </c>
      <c r="F137" s="28">
        <v>1.51</v>
      </c>
      <c r="G137" s="28">
        <v>1.9</v>
      </c>
      <c r="H137" s="28">
        <v>2.2999999999999998</v>
      </c>
      <c r="I137" s="28">
        <v>2.65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G137" s="28">
        <v>10</v>
      </c>
      <c r="AH137" s="28">
        <v>9</v>
      </c>
    </row>
    <row r="138" spans="1:34" x14ac:dyDescent="0.2">
      <c r="B138" s="24"/>
      <c r="C138" s="23">
        <v>193.7</v>
      </c>
      <c r="D138" s="28">
        <v>1.22</v>
      </c>
      <c r="E138" s="28">
        <v>1.62</v>
      </c>
      <c r="F138" s="28">
        <v>2.0499999999999998</v>
      </c>
      <c r="G138" s="28">
        <v>2.4500000000000002</v>
      </c>
      <c r="H138" s="28">
        <v>2.85</v>
      </c>
      <c r="I138" s="28">
        <v>3.25</v>
      </c>
      <c r="J138" s="28">
        <v>3.8</v>
      </c>
      <c r="K138" s="28">
        <v>4.4000000000000004</v>
      </c>
      <c r="L138" s="28">
        <v>5</v>
      </c>
      <c r="M138" s="28">
        <v>5.5</v>
      </c>
      <c r="N138" s="28">
        <v>0</v>
      </c>
      <c r="O138" s="28">
        <v>0</v>
      </c>
      <c r="P138" s="28">
        <v>0</v>
      </c>
      <c r="Q138" s="28">
        <v>0</v>
      </c>
      <c r="R138" s="28">
        <v>0</v>
      </c>
      <c r="S138" s="28">
        <v>0</v>
      </c>
      <c r="T138" s="28">
        <v>0</v>
      </c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G138" s="28">
        <v>11</v>
      </c>
      <c r="AH138" s="28">
        <v>10</v>
      </c>
    </row>
    <row r="139" spans="1:34" x14ac:dyDescent="0.2">
      <c r="B139" s="24"/>
      <c r="C139" s="23">
        <v>219.1</v>
      </c>
      <c r="D139" s="28">
        <v>1.58</v>
      </c>
      <c r="E139" s="28">
        <v>2.1</v>
      </c>
      <c r="F139" s="28">
        <v>2.65</v>
      </c>
      <c r="G139" s="28">
        <v>3.15</v>
      </c>
      <c r="H139" s="28">
        <v>3.8</v>
      </c>
      <c r="I139" s="28">
        <v>4.5</v>
      </c>
      <c r="J139" s="28">
        <v>5.75</v>
      </c>
      <c r="K139" s="28">
        <v>6.4</v>
      </c>
      <c r="L139" s="28">
        <v>7.25</v>
      </c>
      <c r="M139" s="28">
        <v>8.15</v>
      </c>
      <c r="N139" s="28">
        <v>0</v>
      </c>
      <c r="O139" s="28">
        <v>0</v>
      </c>
      <c r="P139" s="28">
        <v>0</v>
      </c>
      <c r="Q139" s="28">
        <v>0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G139" s="28">
        <v>12</v>
      </c>
      <c r="AH139" s="28">
        <v>11</v>
      </c>
    </row>
    <row r="140" spans="1:34" x14ac:dyDescent="0.2">
      <c r="B140" s="24"/>
      <c r="C140" s="23">
        <v>273</v>
      </c>
      <c r="D140" s="28">
        <v>2.2999999999999998</v>
      </c>
      <c r="E140" s="28">
        <v>3.05</v>
      </c>
      <c r="F140" s="28">
        <v>3.85</v>
      </c>
      <c r="G140" s="28">
        <v>4.5999999999999996</v>
      </c>
      <c r="H140" s="28">
        <v>5.5</v>
      </c>
      <c r="I140" s="28">
        <v>6.3</v>
      </c>
      <c r="J140" s="28">
        <v>7.3</v>
      </c>
      <c r="K140" s="28">
        <v>8.3000000000000007</v>
      </c>
      <c r="L140" s="28">
        <v>9.4</v>
      </c>
      <c r="M140" s="28">
        <v>11.4</v>
      </c>
      <c r="N140" s="28">
        <v>10.5</v>
      </c>
      <c r="O140" s="28">
        <v>11.6</v>
      </c>
      <c r="P140" s="28">
        <v>15.4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0</v>
      </c>
      <c r="Y140" s="28">
        <v>0</v>
      </c>
      <c r="Z140" s="28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G140" s="28">
        <v>13</v>
      </c>
      <c r="AH140" s="28">
        <v>12</v>
      </c>
    </row>
    <row r="141" spans="1:34" x14ac:dyDescent="0.2">
      <c r="B141" s="24"/>
      <c r="C141" s="23">
        <v>300</v>
      </c>
      <c r="D141" s="28">
        <v>2.64</v>
      </c>
      <c r="E141" s="28">
        <v>3.52</v>
      </c>
      <c r="F141" s="28">
        <v>4.4000000000000004</v>
      </c>
      <c r="G141" s="28">
        <v>5.4</v>
      </c>
      <c r="H141" s="28">
        <v>6.32</v>
      </c>
      <c r="I141" s="28">
        <v>7.4</v>
      </c>
      <c r="J141" s="28">
        <v>8.85</v>
      </c>
      <c r="K141" s="28">
        <v>9.75</v>
      </c>
      <c r="L141" s="28">
        <v>11</v>
      </c>
      <c r="M141" s="28">
        <v>12.3</v>
      </c>
      <c r="N141" s="28">
        <v>13.7</v>
      </c>
      <c r="O141" s="28">
        <v>15.1</v>
      </c>
      <c r="P141" s="28">
        <v>16.7</v>
      </c>
      <c r="Q141" s="28">
        <v>18</v>
      </c>
      <c r="R141" s="28">
        <v>19.2</v>
      </c>
      <c r="S141" s="28">
        <v>20.8</v>
      </c>
      <c r="T141" s="28">
        <v>22.5</v>
      </c>
      <c r="U141" s="28">
        <v>24.2</v>
      </c>
      <c r="V141" s="28">
        <v>25.4</v>
      </c>
      <c r="W141" s="28">
        <v>27.3</v>
      </c>
      <c r="X141" s="28">
        <v>29.1</v>
      </c>
      <c r="Y141" s="28">
        <v>31</v>
      </c>
      <c r="Z141" s="28">
        <v>33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G141" s="28">
        <v>14</v>
      </c>
      <c r="AH141" s="28">
        <v>13</v>
      </c>
    </row>
    <row r="142" spans="1:34" x14ac:dyDescent="0.2">
      <c r="B142" s="24"/>
      <c r="C142" s="23">
        <v>323.89999999999998</v>
      </c>
      <c r="D142" s="28">
        <v>3.15</v>
      </c>
      <c r="E142" s="28">
        <v>4.2</v>
      </c>
      <c r="F142" s="28">
        <v>5.25</v>
      </c>
      <c r="G142" s="28">
        <v>6.3</v>
      </c>
      <c r="H142" s="28">
        <v>7.35</v>
      </c>
      <c r="I142" s="28">
        <v>8.4</v>
      </c>
      <c r="J142" s="28">
        <v>9.6999999999999993</v>
      </c>
      <c r="K142" s="28">
        <v>11</v>
      </c>
      <c r="L142" s="28">
        <v>12.1</v>
      </c>
      <c r="M142" s="28">
        <v>13.6</v>
      </c>
      <c r="N142" s="28">
        <v>13.6</v>
      </c>
      <c r="O142" s="28">
        <v>16.3</v>
      </c>
      <c r="P142" s="28">
        <v>17.8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0</v>
      </c>
      <c r="AG142" s="28">
        <v>15</v>
      </c>
      <c r="AH142" s="28">
        <v>14</v>
      </c>
    </row>
    <row r="143" spans="1:34" x14ac:dyDescent="0.2">
      <c r="B143" s="24"/>
      <c r="C143" s="23">
        <v>350</v>
      </c>
      <c r="D143" s="28">
        <v>3.65</v>
      </c>
      <c r="E143" s="28">
        <v>4.8499999999999996</v>
      </c>
      <c r="F143" s="28">
        <v>6.05</v>
      </c>
      <c r="G143" s="28">
        <v>7.25</v>
      </c>
      <c r="H143" s="28">
        <v>8.3000000000000007</v>
      </c>
      <c r="I143" s="28">
        <v>9.6999999999999993</v>
      </c>
      <c r="J143" s="28">
        <v>11.1</v>
      </c>
      <c r="K143" s="28">
        <v>12.7</v>
      </c>
      <c r="L143" s="28">
        <v>14.3</v>
      </c>
      <c r="M143" s="28">
        <v>15.9</v>
      </c>
      <c r="N143" s="28">
        <v>17.3</v>
      </c>
      <c r="O143" s="28">
        <v>19.899999999999999</v>
      </c>
      <c r="P143" s="28">
        <v>21.3</v>
      </c>
      <c r="Q143" s="28">
        <v>22.7</v>
      </c>
      <c r="R143" s="28">
        <v>24.6</v>
      </c>
      <c r="S143" s="28">
        <v>26.6</v>
      </c>
      <c r="T143" s="28">
        <v>28.6</v>
      </c>
      <c r="U143" s="28">
        <v>30.8</v>
      </c>
      <c r="V143" s="28">
        <v>33</v>
      </c>
      <c r="W143" s="28">
        <v>35.299999999999997</v>
      </c>
      <c r="X143" s="28">
        <v>37.6</v>
      </c>
      <c r="Y143" s="28">
        <v>39.200000000000003</v>
      </c>
      <c r="Z143" s="28">
        <v>41.5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G143" s="28">
        <v>16</v>
      </c>
      <c r="AH143" s="28">
        <v>15</v>
      </c>
    </row>
    <row r="144" spans="1:34" x14ac:dyDescent="0.2">
      <c r="B144" s="24"/>
      <c r="C144" s="23">
        <v>355.6</v>
      </c>
      <c r="D144" s="28">
        <v>3.55</v>
      </c>
      <c r="E144" s="28">
        <v>4.75</v>
      </c>
      <c r="F144" s="28">
        <v>5.9</v>
      </c>
      <c r="G144" s="28">
        <v>6.95</v>
      </c>
      <c r="H144" s="28">
        <v>8.1</v>
      </c>
      <c r="I144" s="28">
        <v>9.3000000000000007</v>
      </c>
      <c r="J144" s="28">
        <v>10.7</v>
      </c>
      <c r="K144" s="28">
        <v>12.1</v>
      </c>
      <c r="L144" s="28">
        <v>13.6</v>
      </c>
      <c r="M144" s="28">
        <v>15.1</v>
      </c>
      <c r="N144" s="28">
        <v>16.600000000000001</v>
      </c>
      <c r="O144" s="28">
        <v>18.2</v>
      </c>
      <c r="P144" s="28">
        <v>19.899999999999999</v>
      </c>
      <c r="Q144" s="28">
        <v>0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0</v>
      </c>
      <c r="AB144" s="28">
        <v>0</v>
      </c>
      <c r="AC144" s="28">
        <v>0</v>
      </c>
      <c r="AD144" s="28">
        <v>0</v>
      </c>
      <c r="AE144" s="28">
        <v>0</v>
      </c>
      <c r="AG144" s="28">
        <v>17</v>
      </c>
      <c r="AH144" s="28">
        <v>16</v>
      </c>
    </row>
    <row r="145" spans="2:34" x14ac:dyDescent="0.2">
      <c r="B145" s="24"/>
      <c r="C145" s="23">
        <v>400</v>
      </c>
      <c r="D145" s="28">
        <v>4.8</v>
      </c>
      <c r="E145" s="28">
        <v>6.4</v>
      </c>
      <c r="F145" s="28">
        <v>8</v>
      </c>
      <c r="G145" s="28">
        <v>9.6</v>
      </c>
      <c r="H145" s="28">
        <v>11.2</v>
      </c>
      <c r="I145" s="28">
        <v>12.8</v>
      </c>
      <c r="J145" s="28">
        <v>14.6</v>
      </c>
      <c r="K145" s="28">
        <v>16.600000000000001</v>
      </c>
      <c r="L145" s="28">
        <v>18.3</v>
      </c>
      <c r="M145" s="28">
        <v>20.399999999999999</v>
      </c>
      <c r="N145" s="28">
        <v>22.4</v>
      </c>
      <c r="O145" s="28">
        <v>24.6</v>
      </c>
      <c r="P145" s="28">
        <v>26.4</v>
      </c>
      <c r="Q145" s="28">
        <v>28.6</v>
      </c>
      <c r="R145" s="28">
        <v>31</v>
      </c>
      <c r="S145" s="28">
        <v>33.4</v>
      </c>
      <c r="T145" s="28">
        <v>36</v>
      </c>
      <c r="U145" s="28">
        <v>38.5</v>
      </c>
      <c r="V145" s="28">
        <v>40.5</v>
      </c>
      <c r="W145" s="28">
        <v>43.4</v>
      </c>
      <c r="X145" s="28">
        <v>46</v>
      </c>
      <c r="Y145" s="28">
        <v>48.8</v>
      </c>
      <c r="Z145" s="28">
        <v>51.7</v>
      </c>
      <c r="AA145" s="28">
        <v>53.8</v>
      </c>
      <c r="AB145" s="28">
        <v>56.8</v>
      </c>
      <c r="AC145" s="28">
        <v>60</v>
      </c>
      <c r="AD145" s="28">
        <v>62</v>
      </c>
      <c r="AE145" s="28">
        <v>65</v>
      </c>
      <c r="AG145" s="28">
        <v>18</v>
      </c>
      <c r="AH145" s="28">
        <v>17</v>
      </c>
    </row>
    <row r="146" spans="2:34" x14ac:dyDescent="0.2">
      <c r="B146" s="24"/>
      <c r="C146" s="23">
        <v>406.4</v>
      </c>
      <c r="D146" s="28">
        <v>4.7</v>
      </c>
      <c r="E146" s="28">
        <v>6.25</v>
      </c>
      <c r="F146" s="28">
        <v>7.85</v>
      </c>
      <c r="G146" s="28">
        <v>9.1999999999999993</v>
      </c>
      <c r="H146" s="28">
        <v>10.7</v>
      </c>
      <c r="I146" s="28">
        <v>12.3</v>
      </c>
      <c r="J146" s="28">
        <v>13.8</v>
      </c>
      <c r="K146" s="28">
        <v>15.6</v>
      </c>
      <c r="L146" s="28">
        <v>17.600000000000001</v>
      </c>
      <c r="M146" s="28">
        <v>19.5</v>
      </c>
      <c r="N146" s="28">
        <v>21.5</v>
      </c>
      <c r="O146" s="28">
        <v>23.5</v>
      </c>
      <c r="P146" s="28">
        <v>25.5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G146" s="28">
        <v>19</v>
      </c>
      <c r="AH146" s="28">
        <v>18</v>
      </c>
    </row>
    <row r="147" spans="2:34" x14ac:dyDescent="0.2">
      <c r="B147" s="24"/>
      <c r="C147" s="23">
        <v>450</v>
      </c>
      <c r="D147" s="28">
        <v>6</v>
      </c>
      <c r="E147" s="28">
        <v>8</v>
      </c>
      <c r="F147" s="28">
        <v>10</v>
      </c>
      <c r="G147" s="28">
        <v>12</v>
      </c>
      <c r="H147" s="28">
        <v>13.7</v>
      </c>
      <c r="I147" s="28">
        <v>15.7</v>
      </c>
      <c r="J147" s="28">
        <v>18</v>
      </c>
      <c r="K147" s="28">
        <v>20.399999999999999</v>
      </c>
      <c r="L147" s="28">
        <v>22.5</v>
      </c>
      <c r="M147" s="28">
        <v>25</v>
      </c>
      <c r="N147" s="28">
        <v>27.5</v>
      </c>
      <c r="O147" s="28">
        <v>30</v>
      </c>
      <c r="P147" s="28">
        <v>33</v>
      </c>
      <c r="Q147" s="28">
        <v>35</v>
      </c>
      <c r="R147" s="28">
        <v>37.799999999999997</v>
      </c>
      <c r="S147" s="28">
        <v>41</v>
      </c>
      <c r="T147" s="28">
        <v>44</v>
      </c>
      <c r="U147" s="28">
        <v>47</v>
      </c>
      <c r="V147" s="28">
        <v>49</v>
      </c>
      <c r="W147" s="28">
        <v>52</v>
      </c>
      <c r="X147" s="28">
        <v>55.5</v>
      </c>
      <c r="Y147" s="28">
        <v>59</v>
      </c>
      <c r="Z147" s="28">
        <v>62.5</v>
      </c>
      <c r="AA147" s="28">
        <v>65</v>
      </c>
      <c r="AB147" s="28">
        <v>68.5</v>
      </c>
      <c r="AC147" s="28">
        <v>72</v>
      </c>
      <c r="AD147" s="28">
        <v>76</v>
      </c>
      <c r="AE147" s="28">
        <v>79.5</v>
      </c>
      <c r="AG147" s="28">
        <v>20</v>
      </c>
      <c r="AH147" s="28">
        <v>19</v>
      </c>
    </row>
    <row r="148" spans="2:34" x14ac:dyDescent="0.2">
      <c r="B148" s="24"/>
      <c r="C148" s="23">
        <v>500</v>
      </c>
      <c r="D148" s="28">
        <v>7.3</v>
      </c>
      <c r="E148" s="28">
        <v>9.8000000000000007</v>
      </c>
      <c r="F148" s="28">
        <v>12.2</v>
      </c>
      <c r="G148" s="28">
        <v>14.4</v>
      </c>
      <c r="H148" s="28">
        <v>16.8</v>
      </c>
      <c r="I148" s="28">
        <v>19.2</v>
      </c>
      <c r="J148" s="28">
        <v>21.9</v>
      </c>
      <c r="K148" s="28">
        <v>24.7</v>
      </c>
      <c r="L148" s="28">
        <v>27.3</v>
      </c>
      <c r="M148" s="28">
        <v>30.2</v>
      </c>
      <c r="N148" s="28">
        <v>33.4</v>
      </c>
      <c r="O148" s="28">
        <v>36.4</v>
      </c>
      <c r="P148" s="28">
        <v>39.799999999999997</v>
      </c>
      <c r="Q148" s="28">
        <v>42.4</v>
      </c>
      <c r="R148" s="28">
        <v>45.6</v>
      </c>
      <c r="S148" s="28">
        <v>49</v>
      </c>
      <c r="T148" s="28">
        <v>52.5</v>
      </c>
      <c r="U148" s="28">
        <v>56.2</v>
      </c>
      <c r="V148" s="28">
        <v>59.8</v>
      </c>
      <c r="W148" s="28">
        <v>63.8</v>
      </c>
      <c r="X148" s="28">
        <v>66.8</v>
      </c>
      <c r="Y148" s="28">
        <v>70.5</v>
      </c>
      <c r="Z148" s="28">
        <v>74.400000000000006</v>
      </c>
      <c r="AA148" s="28">
        <v>78</v>
      </c>
      <c r="AB148" s="28">
        <v>82</v>
      </c>
      <c r="AC148" s="28">
        <v>85</v>
      </c>
      <c r="AD148" s="28">
        <v>89.5</v>
      </c>
      <c r="AE148" s="28">
        <v>93</v>
      </c>
      <c r="AG148" s="28">
        <v>21</v>
      </c>
      <c r="AH148" s="28">
        <v>20</v>
      </c>
    </row>
    <row r="149" spans="2:34" x14ac:dyDescent="0.2">
      <c r="B149" s="24"/>
      <c r="C149" s="23">
        <v>508</v>
      </c>
      <c r="D149" s="28">
        <v>7.8</v>
      </c>
      <c r="E149" s="28">
        <v>12.3</v>
      </c>
      <c r="F149" s="28">
        <v>13</v>
      </c>
      <c r="G149" s="28">
        <v>15.4</v>
      </c>
      <c r="H149" s="28">
        <v>18</v>
      </c>
      <c r="I149" s="28">
        <v>20.5</v>
      </c>
      <c r="J149" s="28">
        <v>23</v>
      </c>
      <c r="K149" s="28">
        <v>26</v>
      </c>
      <c r="L149" s="28">
        <v>29</v>
      </c>
      <c r="M149" s="28">
        <v>32.1</v>
      </c>
      <c r="N149" s="28">
        <v>35.299999999999997</v>
      </c>
      <c r="O149" s="28">
        <v>38.6</v>
      </c>
      <c r="P149" s="28">
        <v>42</v>
      </c>
      <c r="Q149" s="28">
        <v>0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0</v>
      </c>
      <c r="AB149" s="28">
        <v>0</v>
      </c>
      <c r="AC149" s="28">
        <v>0</v>
      </c>
      <c r="AD149" s="28">
        <v>0</v>
      </c>
      <c r="AE149" s="28">
        <v>0</v>
      </c>
      <c r="AG149" s="28">
        <v>22</v>
      </c>
      <c r="AH149" s="28">
        <v>21</v>
      </c>
    </row>
    <row r="150" spans="2:34" x14ac:dyDescent="0.2">
      <c r="B150" s="24"/>
      <c r="C150" s="23">
        <v>550</v>
      </c>
      <c r="D150" s="28">
        <v>8.6999999999999993</v>
      </c>
      <c r="E150" s="28">
        <v>10.6</v>
      </c>
      <c r="F150" s="28">
        <v>14.3</v>
      </c>
      <c r="G150" s="28">
        <v>17.2</v>
      </c>
      <c r="H150" s="28">
        <v>20</v>
      </c>
      <c r="I150" s="28">
        <v>22.8</v>
      </c>
      <c r="J150" s="28">
        <v>26</v>
      </c>
      <c r="K150" s="28">
        <v>29.5</v>
      </c>
      <c r="L150" s="28">
        <v>32.5</v>
      </c>
      <c r="M150" s="28">
        <v>36</v>
      </c>
      <c r="N150" s="28">
        <v>39.5</v>
      </c>
      <c r="O150" s="28">
        <v>43</v>
      </c>
      <c r="P150" s="28">
        <v>47</v>
      </c>
      <c r="Q150" s="28">
        <v>50</v>
      </c>
      <c r="R150" s="28">
        <v>54</v>
      </c>
      <c r="S150" s="28">
        <v>58</v>
      </c>
      <c r="T150" s="28">
        <v>62</v>
      </c>
      <c r="U150" s="28">
        <v>66</v>
      </c>
      <c r="V150" s="28">
        <v>70</v>
      </c>
      <c r="W150" s="28">
        <v>73.5</v>
      </c>
      <c r="X150" s="28">
        <v>78</v>
      </c>
      <c r="Y150" s="28">
        <v>82.5</v>
      </c>
      <c r="Z150" s="28">
        <v>87.5</v>
      </c>
      <c r="AA150" s="28">
        <v>90.5</v>
      </c>
      <c r="AB150" s="28">
        <v>95.5</v>
      </c>
      <c r="AC150" s="28">
        <v>100</v>
      </c>
      <c r="AD150" s="28">
        <v>105</v>
      </c>
      <c r="AE150" s="28">
        <v>110</v>
      </c>
      <c r="AG150" s="28">
        <v>23</v>
      </c>
      <c r="AH150" s="28">
        <v>22</v>
      </c>
    </row>
    <row r="151" spans="2:34" x14ac:dyDescent="0.2">
      <c r="B151" s="24"/>
      <c r="C151" s="23">
        <v>600</v>
      </c>
      <c r="D151" s="28">
        <v>10.1</v>
      </c>
      <c r="E151" s="28">
        <v>13.5</v>
      </c>
      <c r="F151" s="28">
        <v>16.7</v>
      </c>
      <c r="G151" s="28">
        <v>20</v>
      </c>
      <c r="H151" s="28">
        <v>23.3</v>
      </c>
      <c r="I151" s="28">
        <v>26.7</v>
      </c>
      <c r="J151" s="28">
        <v>30.4</v>
      </c>
      <c r="K151" s="28">
        <v>34.200000000000003</v>
      </c>
      <c r="L151" s="28">
        <v>37.700000000000003</v>
      </c>
      <c r="M151" s="28">
        <v>41.6</v>
      </c>
      <c r="N151" s="28">
        <v>45.6</v>
      </c>
      <c r="O151" s="28">
        <v>50.5</v>
      </c>
      <c r="P151" s="28">
        <v>54.9</v>
      </c>
      <c r="Q151" s="28">
        <v>58.5</v>
      </c>
      <c r="R151" s="28">
        <v>63</v>
      </c>
      <c r="S151" s="28">
        <v>67.5</v>
      </c>
      <c r="T151" s="28">
        <v>72.3</v>
      </c>
      <c r="U151" s="28">
        <v>77</v>
      </c>
      <c r="V151" s="28">
        <v>81</v>
      </c>
      <c r="W151" s="28">
        <v>86</v>
      </c>
      <c r="X151" s="28">
        <v>91</v>
      </c>
      <c r="Y151" s="28">
        <v>96</v>
      </c>
      <c r="Z151" s="28">
        <v>101</v>
      </c>
      <c r="AA151" s="28">
        <v>107</v>
      </c>
      <c r="AB151" s="28">
        <v>112</v>
      </c>
      <c r="AC151" s="28">
        <v>118</v>
      </c>
      <c r="AD151" s="28">
        <v>124</v>
      </c>
      <c r="AE151" s="28">
        <v>128</v>
      </c>
      <c r="AG151" s="28">
        <v>24</v>
      </c>
      <c r="AH151" s="28">
        <v>23</v>
      </c>
    </row>
    <row r="152" spans="2:34" x14ac:dyDescent="0.2">
      <c r="B152" s="24"/>
      <c r="C152" s="23">
        <v>650</v>
      </c>
      <c r="D152" s="28">
        <v>11.7</v>
      </c>
      <c r="E152" s="28">
        <v>15.7</v>
      </c>
      <c r="F152" s="28">
        <v>19.600000000000001</v>
      </c>
      <c r="G152" s="28">
        <v>23.5</v>
      </c>
      <c r="H152" s="25">
        <v>27.5</v>
      </c>
      <c r="I152" s="28">
        <v>31.5</v>
      </c>
      <c r="J152" s="28">
        <v>35.5</v>
      </c>
      <c r="K152" s="28">
        <v>39.5</v>
      </c>
      <c r="L152" s="28">
        <v>44</v>
      </c>
      <c r="M152" s="28">
        <v>49</v>
      </c>
      <c r="N152" s="28">
        <v>54</v>
      </c>
      <c r="O152" s="28">
        <v>59</v>
      </c>
      <c r="P152" s="28">
        <v>63</v>
      </c>
      <c r="Q152" s="28">
        <v>68.5</v>
      </c>
      <c r="R152" s="28">
        <v>73.5</v>
      </c>
      <c r="S152" s="28">
        <v>79</v>
      </c>
      <c r="T152" s="28">
        <v>84</v>
      </c>
      <c r="U152" s="28">
        <v>90</v>
      </c>
      <c r="V152" s="28">
        <v>95.5</v>
      </c>
      <c r="W152" s="28">
        <v>100</v>
      </c>
      <c r="X152" s="28">
        <v>106</v>
      </c>
      <c r="Y152" s="28">
        <v>112</v>
      </c>
      <c r="Z152" s="28">
        <v>118</v>
      </c>
      <c r="AA152" s="28">
        <v>122</v>
      </c>
      <c r="AB152" s="28">
        <v>128</v>
      </c>
      <c r="AC152" s="28">
        <v>135</v>
      </c>
      <c r="AD152" s="28">
        <v>140</v>
      </c>
      <c r="AE152" s="28">
        <v>146</v>
      </c>
      <c r="AG152" s="28">
        <v>25</v>
      </c>
      <c r="AH152" s="28">
        <v>24</v>
      </c>
    </row>
    <row r="153" spans="2:34" x14ac:dyDescent="0.2">
      <c r="B153" s="24"/>
      <c r="C153" s="23">
        <v>700</v>
      </c>
      <c r="D153" s="28">
        <v>13.4</v>
      </c>
      <c r="E153" s="28">
        <v>17.8</v>
      </c>
      <c r="F153" s="28">
        <v>22.1</v>
      </c>
      <c r="G153" s="28">
        <v>26.5</v>
      </c>
      <c r="H153" s="28">
        <v>30.9</v>
      </c>
      <c r="I153" s="28">
        <v>35.4</v>
      </c>
      <c r="J153" s="28">
        <v>40.200000000000003</v>
      </c>
      <c r="K153" s="28">
        <v>45.3</v>
      </c>
      <c r="L153" s="28">
        <v>50.3</v>
      </c>
      <c r="M153" s="28">
        <v>55.6</v>
      </c>
      <c r="N153" s="28">
        <v>60.8</v>
      </c>
      <c r="O153" s="28">
        <v>66.2</v>
      </c>
      <c r="P153" s="28">
        <v>71.8</v>
      </c>
      <c r="Q153" s="28">
        <v>76.599999999999994</v>
      </c>
      <c r="R153" s="28">
        <v>82.5</v>
      </c>
      <c r="S153" s="28">
        <v>88</v>
      </c>
      <c r="T153" s="28">
        <v>94</v>
      </c>
      <c r="U153" s="28">
        <v>101</v>
      </c>
      <c r="V153" s="28">
        <v>105</v>
      </c>
      <c r="W153" s="28">
        <v>112</v>
      </c>
      <c r="X153" s="28">
        <v>119</v>
      </c>
      <c r="Y153" s="28">
        <v>126</v>
      </c>
      <c r="Z153" s="28">
        <v>132</v>
      </c>
      <c r="AA153" s="28">
        <v>138</v>
      </c>
      <c r="AB153" s="28">
        <v>144</v>
      </c>
      <c r="AC153" s="28">
        <v>151</v>
      </c>
      <c r="AD153" s="28">
        <v>158</v>
      </c>
      <c r="AE153" s="28">
        <v>165</v>
      </c>
      <c r="AG153" s="28">
        <v>26</v>
      </c>
      <c r="AH153" s="28">
        <v>25</v>
      </c>
    </row>
    <row r="154" spans="2:34" x14ac:dyDescent="0.2">
      <c r="B154" s="24"/>
      <c r="C154" s="23">
        <v>750</v>
      </c>
      <c r="D154" s="28">
        <v>15.6</v>
      </c>
      <c r="E154" s="28">
        <v>20.8</v>
      </c>
      <c r="F154" s="28">
        <v>26</v>
      </c>
      <c r="G154" s="28">
        <v>31</v>
      </c>
      <c r="H154" s="28">
        <v>36.5</v>
      </c>
      <c r="I154" s="28">
        <v>42</v>
      </c>
      <c r="J154" s="28">
        <v>47</v>
      </c>
      <c r="K154" s="28">
        <v>52</v>
      </c>
      <c r="L154" s="28">
        <v>58</v>
      </c>
      <c r="M154" s="28">
        <v>64</v>
      </c>
      <c r="N154" s="28">
        <v>70.8</v>
      </c>
      <c r="O154" s="28">
        <v>76</v>
      </c>
      <c r="P154" s="28">
        <v>83</v>
      </c>
      <c r="Q154" s="28">
        <v>87</v>
      </c>
      <c r="R154" s="28">
        <v>93.5</v>
      </c>
      <c r="S154" s="28">
        <v>100</v>
      </c>
      <c r="T154" s="28">
        <v>107</v>
      </c>
      <c r="U154" s="28">
        <v>114</v>
      </c>
      <c r="V154" s="28">
        <v>120</v>
      </c>
      <c r="W154" s="28">
        <v>127</v>
      </c>
      <c r="X154" s="28">
        <v>133</v>
      </c>
      <c r="Y154" s="28">
        <v>141</v>
      </c>
      <c r="Z154" s="28">
        <v>148</v>
      </c>
      <c r="AA154" s="28">
        <v>154</v>
      </c>
      <c r="AB154" s="28">
        <v>161</v>
      </c>
      <c r="AC154" s="28">
        <v>169</v>
      </c>
      <c r="AD154" s="28">
        <v>177</v>
      </c>
      <c r="AE154" s="28">
        <v>185</v>
      </c>
      <c r="AG154" s="28">
        <v>27</v>
      </c>
      <c r="AH154" s="28">
        <v>26</v>
      </c>
    </row>
    <row r="155" spans="2:34" x14ac:dyDescent="0.2">
      <c r="B155" s="24"/>
      <c r="C155" s="23">
        <v>800</v>
      </c>
      <c r="D155" s="28">
        <v>17.600000000000001</v>
      </c>
      <c r="E155" s="28">
        <v>23.4</v>
      </c>
      <c r="F155" s="28">
        <v>28.8</v>
      </c>
      <c r="G155" s="28">
        <v>34.6</v>
      </c>
      <c r="H155" s="28">
        <v>40.4</v>
      </c>
      <c r="I155" s="28">
        <v>46.2</v>
      </c>
      <c r="J155" s="28">
        <v>51.8</v>
      </c>
      <c r="K155" s="28">
        <v>57.7</v>
      </c>
      <c r="L155" s="28">
        <v>64</v>
      </c>
      <c r="M155" s="28">
        <v>70.599999999999994</v>
      </c>
      <c r="N155" s="28">
        <v>77.3</v>
      </c>
      <c r="O155" s="28">
        <v>84</v>
      </c>
      <c r="P155" s="28">
        <v>91</v>
      </c>
      <c r="Q155" s="28">
        <v>98</v>
      </c>
      <c r="R155" s="28">
        <v>106</v>
      </c>
      <c r="S155" s="28">
        <v>113</v>
      </c>
      <c r="T155" s="28">
        <v>120</v>
      </c>
      <c r="U155" s="28">
        <v>128</v>
      </c>
      <c r="V155" s="28">
        <v>135</v>
      </c>
      <c r="W155" s="28">
        <v>143</v>
      </c>
      <c r="X155" s="28">
        <v>151</v>
      </c>
      <c r="Y155" s="28">
        <v>159</v>
      </c>
      <c r="Z155" s="28">
        <v>167</v>
      </c>
      <c r="AA155" s="28">
        <v>174</v>
      </c>
      <c r="AB155" s="28">
        <v>182</v>
      </c>
      <c r="AC155" s="28">
        <v>191</v>
      </c>
      <c r="AD155" s="28">
        <v>200</v>
      </c>
      <c r="AE155" s="28">
        <v>208</v>
      </c>
      <c r="AG155" s="28">
        <v>28</v>
      </c>
      <c r="AH155" s="28">
        <v>27</v>
      </c>
    </row>
    <row r="156" spans="2:34" x14ac:dyDescent="0.2">
      <c r="B156" s="24"/>
      <c r="C156" s="23">
        <v>850</v>
      </c>
      <c r="D156" s="28">
        <v>19.399999999999999</v>
      </c>
      <c r="E156" s="28">
        <v>26</v>
      </c>
      <c r="F156" s="28">
        <v>32.5</v>
      </c>
      <c r="G156" s="28">
        <v>39</v>
      </c>
      <c r="H156" s="28">
        <v>45.5</v>
      </c>
      <c r="I156" s="28">
        <v>52</v>
      </c>
      <c r="J156" s="28">
        <v>59</v>
      </c>
      <c r="K156" s="28">
        <v>65</v>
      </c>
      <c r="L156" s="28">
        <v>73</v>
      </c>
      <c r="M156" s="28">
        <v>80</v>
      </c>
      <c r="N156" s="28">
        <v>87</v>
      </c>
      <c r="O156" s="28">
        <v>95</v>
      </c>
      <c r="P156" s="28">
        <v>102</v>
      </c>
      <c r="Q156" s="28">
        <v>110</v>
      </c>
      <c r="R156" s="28">
        <v>118</v>
      </c>
      <c r="S156" s="28">
        <v>126</v>
      </c>
      <c r="T156" s="28">
        <v>134</v>
      </c>
      <c r="U156" s="28">
        <v>142</v>
      </c>
      <c r="V156" s="28">
        <v>151</v>
      </c>
      <c r="W156" s="28">
        <v>160</v>
      </c>
      <c r="X156" s="28">
        <v>167</v>
      </c>
      <c r="Y156" s="28">
        <v>176</v>
      </c>
      <c r="Z156" s="28">
        <v>185</v>
      </c>
      <c r="AA156" s="28">
        <v>194</v>
      </c>
      <c r="AB156" s="28">
        <v>203</v>
      </c>
      <c r="AC156" s="28">
        <v>213</v>
      </c>
      <c r="AD156" s="28">
        <v>222</v>
      </c>
      <c r="AE156" s="28">
        <v>232</v>
      </c>
      <c r="AG156" s="28">
        <v>29</v>
      </c>
      <c r="AH156" s="28">
        <v>28</v>
      </c>
    </row>
    <row r="157" spans="2:34" x14ac:dyDescent="0.2">
      <c r="B157" s="24"/>
      <c r="C157" s="23">
        <v>900</v>
      </c>
      <c r="D157" s="28">
        <v>21.5</v>
      </c>
      <c r="E157" s="28">
        <v>28.7</v>
      </c>
      <c r="F157" s="28">
        <v>35.799999999999997</v>
      </c>
      <c r="G157" s="28">
        <v>43</v>
      </c>
      <c r="H157" s="28">
        <v>50</v>
      </c>
      <c r="I157" s="28">
        <v>57.8</v>
      </c>
      <c r="J157" s="28">
        <v>65.3</v>
      </c>
      <c r="K157" s="28">
        <v>72.599999999999994</v>
      </c>
      <c r="L157" s="28">
        <v>80.3</v>
      </c>
      <c r="M157" s="28">
        <v>88.3</v>
      </c>
      <c r="N157" s="28">
        <v>96.5</v>
      </c>
      <c r="O157" s="28">
        <v>105</v>
      </c>
      <c r="P157" s="28">
        <v>113</v>
      </c>
      <c r="Q157" s="28">
        <v>122</v>
      </c>
      <c r="R157" s="28">
        <v>131</v>
      </c>
      <c r="S157" s="28">
        <v>140</v>
      </c>
      <c r="T157" s="28">
        <v>149</v>
      </c>
      <c r="U157" s="28">
        <v>158</v>
      </c>
      <c r="V157" s="28">
        <v>168</v>
      </c>
      <c r="W157" s="28">
        <v>177</v>
      </c>
      <c r="X157" s="28">
        <v>187</v>
      </c>
      <c r="Y157" s="28">
        <v>197</v>
      </c>
      <c r="Z157" s="28">
        <v>207</v>
      </c>
      <c r="AA157" s="28">
        <v>215</v>
      </c>
      <c r="AB157" s="28">
        <v>224</v>
      </c>
      <c r="AC157" s="28">
        <v>234</v>
      </c>
      <c r="AD157" s="28">
        <v>244</v>
      </c>
      <c r="AE157" s="28">
        <v>255</v>
      </c>
      <c r="AG157" s="28">
        <v>30</v>
      </c>
      <c r="AH157" s="28">
        <v>29</v>
      </c>
    </row>
    <row r="158" spans="2:34" x14ac:dyDescent="0.2">
      <c r="B158" s="24"/>
      <c r="C158" s="23">
        <v>950</v>
      </c>
      <c r="D158" s="28">
        <v>23.8</v>
      </c>
      <c r="E158" s="28">
        <v>32</v>
      </c>
      <c r="F158" s="28">
        <v>40</v>
      </c>
      <c r="G158" s="28">
        <v>48</v>
      </c>
      <c r="H158" s="28">
        <v>56</v>
      </c>
      <c r="I158" s="28">
        <v>64</v>
      </c>
      <c r="J158" s="28">
        <v>72</v>
      </c>
      <c r="K158" s="28">
        <v>80</v>
      </c>
      <c r="L158" s="28">
        <v>89</v>
      </c>
      <c r="M158" s="28">
        <v>98</v>
      </c>
      <c r="N158" s="28">
        <v>107</v>
      </c>
      <c r="O158" s="28">
        <v>116</v>
      </c>
      <c r="P158" s="28">
        <v>126</v>
      </c>
      <c r="Q158" s="28">
        <v>135</v>
      </c>
      <c r="R158" s="28">
        <v>145</v>
      </c>
      <c r="S158" s="28">
        <v>155</v>
      </c>
      <c r="T158" s="28">
        <v>165</v>
      </c>
      <c r="U158" s="28">
        <v>175</v>
      </c>
      <c r="V158" s="28">
        <v>185</v>
      </c>
      <c r="W158" s="28">
        <v>196</v>
      </c>
      <c r="X158" s="28">
        <v>205</v>
      </c>
      <c r="Y158" s="28">
        <v>216</v>
      </c>
      <c r="Z158" s="28">
        <v>226</v>
      </c>
      <c r="AA158" s="28">
        <v>237</v>
      </c>
      <c r="AB158" s="28">
        <v>248</v>
      </c>
      <c r="AC158" s="28">
        <v>260</v>
      </c>
      <c r="AD158" s="28">
        <v>271</v>
      </c>
      <c r="AE158" s="28">
        <v>283</v>
      </c>
    </row>
    <row r="159" spans="2:34" x14ac:dyDescent="0.2">
      <c r="B159" s="24"/>
      <c r="C159" s="23">
        <v>1000</v>
      </c>
      <c r="D159" s="28">
        <v>26.2</v>
      </c>
      <c r="E159" s="28">
        <v>35</v>
      </c>
      <c r="F159" s="28">
        <v>43.6</v>
      </c>
      <c r="G159" s="28">
        <v>63</v>
      </c>
      <c r="H159" s="28">
        <v>61</v>
      </c>
      <c r="I159" s="28">
        <v>69.400000000000006</v>
      </c>
      <c r="J159" s="28">
        <v>79.5</v>
      </c>
      <c r="K159" s="28">
        <v>88.5</v>
      </c>
      <c r="L159" s="28">
        <v>98.5</v>
      </c>
      <c r="M159" s="28">
        <v>108</v>
      </c>
      <c r="N159" s="28">
        <v>118</v>
      </c>
      <c r="O159" s="28">
        <v>128</v>
      </c>
      <c r="P159" s="28">
        <v>139</v>
      </c>
      <c r="Q159" s="28">
        <v>149</v>
      </c>
      <c r="R159" s="28">
        <v>158</v>
      </c>
      <c r="S159" s="28">
        <v>169</v>
      </c>
      <c r="T159" s="28">
        <v>180</v>
      </c>
      <c r="U159" s="28">
        <v>191</v>
      </c>
      <c r="V159" s="28">
        <v>202</v>
      </c>
      <c r="W159" s="28">
        <v>213</v>
      </c>
      <c r="X159" s="28">
        <v>223</v>
      </c>
      <c r="Y159" s="28">
        <v>234</v>
      </c>
      <c r="Z159" s="28">
        <v>246</v>
      </c>
      <c r="AA159" s="28">
        <v>258</v>
      </c>
      <c r="AB159" s="28">
        <v>269</v>
      </c>
      <c r="AC159" s="28">
        <v>282</v>
      </c>
      <c r="AD159" s="28">
        <v>294</v>
      </c>
      <c r="AE159" s="28">
        <v>309</v>
      </c>
    </row>
    <row r="160" spans="2:34" x14ac:dyDescent="0.2">
      <c r="B160" s="24"/>
      <c r="C160" s="23">
        <v>1050</v>
      </c>
      <c r="D160" s="28">
        <v>28.5</v>
      </c>
      <c r="E160" s="28">
        <v>38</v>
      </c>
      <c r="F160" s="28">
        <v>48</v>
      </c>
      <c r="G160" s="28">
        <v>58</v>
      </c>
      <c r="H160" s="28">
        <v>68</v>
      </c>
      <c r="I160" s="28">
        <v>78</v>
      </c>
      <c r="J160" s="28">
        <v>88</v>
      </c>
      <c r="K160" s="28">
        <v>97</v>
      </c>
      <c r="L160" s="28">
        <v>108</v>
      </c>
      <c r="M160" s="28">
        <v>119</v>
      </c>
      <c r="N160" s="28">
        <v>129</v>
      </c>
      <c r="O160" s="28">
        <v>140</v>
      </c>
      <c r="P160" s="28">
        <v>152</v>
      </c>
      <c r="Q160" s="28">
        <v>162</v>
      </c>
      <c r="R160" s="28">
        <v>174</v>
      </c>
      <c r="S160" s="28">
        <v>185</v>
      </c>
      <c r="T160" s="28">
        <v>197</v>
      </c>
      <c r="U160" s="28">
        <v>209</v>
      </c>
      <c r="V160" s="28">
        <v>221</v>
      </c>
      <c r="W160" s="28">
        <v>234</v>
      </c>
      <c r="X160" s="28">
        <v>244</v>
      </c>
      <c r="Y160" s="28">
        <v>257</v>
      </c>
      <c r="Z160" s="28">
        <v>270</v>
      </c>
      <c r="AA160" s="28">
        <v>282</v>
      </c>
      <c r="AB160" s="28">
        <v>286</v>
      </c>
      <c r="AC160" s="28">
        <v>309</v>
      </c>
      <c r="AD160" s="28">
        <v>332</v>
      </c>
      <c r="AE160" s="28">
        <v>336</v>
      </c>
    </row>
    <row r="161" spans="2:31" x14ac:dyDescent="0.2">
      <c r="B161" s="24"/>
      <c r="C161" s="23">
        <v>1100</v>
      </c>
      <c r="D161" s="28">
        <v>31</v>
      </c>
      <c r="E161" s="28">
        <v>41.3</v>
      </c>
      <c r="F161" s="28">
        <v>52</v>
      </c>
      <c r="G161" s="28">
        <v>62.5</v>
      </c>
      <c r="H161" s="28">
        <v>74</v>
      </c>
      <c r="I161" s="28">
        <v>84.5</v>
      </c>
      <c r="J161" s="28">
        <v>95</v>
      </c>
      <c r="K161" s="28">
        <v>106</v>
      </c>
      <c r="L161" s="28">
        <v>118</v>
      </c>
      <c r="M161" s="28">
        <v>130</v>
      </c>
      <c r="N161" s="28">
        <v>142</v>
      </c>
      <c r="O161" s="28">
        <v>154</v>
      </c>
      <c r="P161" s="28">
        <v>166</v>
      </c>
      <c r="Q161" s="28">
        <v>177</v>
      </c>
      <c r="R161" s="28">
        <v>189</v>
      </c>
      <c r="S161" s="28">
        <v>202</v>
      </c>
      <c r="T161" s="28">
        <v>215</v>
      </c>
      <c r="U161" s="28">
        <v>228</v>
      </c>
      <c r="V161" s="28">
        <v>240</v>
      </c>
      <c r="W161" s="28">
        <v>253</v>
      </c>
      <c r="X161" s="28">
        <v>267</v>
      </c>
      <c r="Y161" s="28">
        <v>280</v>
      </c>
      <c r="Z161" s="28">
        <v>294</v>
      </c>
      <c r="AA161" s="28">
        <v>308</v>
      </c>
      <c r="AB161" s="28">
        <v>322</v>
      </c>
      <c r="AC161" s="28">
        <v>335</v>
      </c>
      <c r="AD161" s="28">
        <v>350</v>
      </c>
      <c r="AE161" s="28">
        <v>365</v>
      </c>
    </row>
    <row r="162" spans="2:31" x14ac:dyDescent="0.2">
      <c r="B162" s="24"/>
      <c r="C162" s="23">
        <v>1150</v>
      </c>
      <c r="D162" s="28">
        <v>34</v>
      </c>
      <c r="E162" s="28">
        <v>46</v>
      </c>
      <c r="F162" s="28">
        <v>57</v>
      </c>
      <c r="G162" s="28">
        <v>68.5</v>
      </c>
      <c r="H162" s="28">
        <v>81</v>
      </c>
      <c r="I162" s="28">
        <v>92.5</v>
      </c>
      <c r="J162" s="28">
        <v>104</v>
      </c>
      <c r="K162" s="28">
        <v>116</v>
      </c>
      <c r="L162" s="28">
        <v>128</v>
      </c>
      <c r="M162" s="28">
        <v>141</v>
      </c>
      <c r="N162" s="28">
        <v>154</v>
      </c>
      <c r="O162" s="28">
        <v>167</v>
      </c>
      <c r="P162" s="28">
        <v>180</v>
      </c>
      <c r="Q162" s="28">
        <v>194</v>
      </c>
      <c r="R162" s="28">
        <v>208</v>
      </c>
      <c r="S162" s="28">
        <v>223</v>
      </c>
      <c r="T162" s="28">
        <v>236</v>
      </c>
      <c r="U162" s="28">
        <v>250</v>
      </c>
      <c r="V162" s="28">
        <v>264</v>
      </c>
      <c r="W162" s="28">
        <v>279</v>
      </c>
      <c r="X162" s="28">
        <v>291</v>
      </c>
      <c r="Y162" s="28">
        <v>306</v>
      </c>
      <c r="Z162" s="28">
        <v>321</v>
      </c>
      <c r="AA162" s="28">
        <v>336</v>
      </c>
      <c r="AB162" s="28">
        <v>352</v>
      </c>
      <c r="AC162" s="28">
        <v>365</v>
      </c>
      <c r="AD162" s="28">
        <v>380</v>
      </c>
      <c r="AE162" s="28">
        <v>396</v>
      </c>
    </row>
    <row r="163" spans="2:31" x14ac:dyDescent="0.2">
      <c r="B163" s="24"/>
      <c r="C163" s="23">
        <v>1200</v>
      </c>
      <c r="D163" s="28">
        <v>36.5</v>
      </c>
      <c r="E163" s="28">
        <v>48.6</v>
      </c>
      <c r="F163" s="28">
        <v>61.3</v>
      </c>
      <c r="G163" s="28">
        <v>73.599999999999994</v>
      </c>
      <c r="H163" s="28">
        <v>85.8</v>
      </c>
      <c r="I163" s="28">
        <v>99.5</v>
      </c>
      <c r="J163" s="28">
        <v>112</v>
      </c>
      <c r="K163" s="28">
        <v>124</v>
      </c>
      <c r="L163" s="28">
        <v>139</v>
      </c>
      <c r="M163" s="28">
        <v>152</v>
      </c>
      <c r="N163" s="28">
        <v>166</v>
      </c>
      <c r="O163" s="28">
        <v>182</v>
      </c>
      <c r="P163" s="28">
        <v>196</v>
      </c>
      <c r="Q163" s="28">
        <v>208</v>
      </c>
      <c r="R163" s="28">
        <v>223</v>
      </c>
      <c r="S163" s="28">
        <v>237</v>
      </c>
      <c r="T163" s="28">
        <v>253</v>
      </c>
      <c r="U163" s="28">
        <v>268</v>
      </c>
      <c r="V163" s="28">
        <v>282</v>
      </c>
      <c r="W163" s="28">
        <v>297</v>
      </c>
      <c r="X163" s="28">
        <v>312</v>
      </c>
      <c r="Y163" s="28">
        <v>327</v>
      </c>
      <c r="Z163" s="28">
        <v>344</v>
      </c>
      <c r="AA163" s="28">
        <v>358</v>
      </c>
      <c r="AB163" s="28">
        <v>374</v>
      </c>
      <c r="AC163" s="28">
        <v>390</v>
      </c>
      <c r="AD163" s="28">
        <v>408</v>
      </c>
      <c r="AE163" s="28">
        <v>424</v>
      </c>
    </row>
    <row r="164" spans="2:31" x14ac:dyDescent="0.2">
      <c r="B164" s="24"/>
      <c r="C164" s="23">
        <v>1250</v>
      </c>
      <c r="D164" s="28">
        <v>0</v>
      </c>
      <c r="E164" s="28">
        <v>53.36</v>
      </c>
      <c r="F164" s="28">
        <v>67.2</v>
      </c>
      <c r="G164" s="28">
        <v>80.5</v>
      </c>
      <c r="H164" s="28">
        <v>95.3</v>
      </c>
      <c r="I164" s="28">
        <v>109</v>
      </c>
      <c r="J164" s="28">
        <v>123</v>
      </c>
      <c r="K164" s="28">
        <v>136</v>
      </c>
      <c r="L164" s="28">
        <v>151</v>
      </c>
      <c r="M164" s="28">
        <v>166</v>
      </c>
      <c r="N164" s="28">
        <v>181</v>
      </c>
      <c r="O164" s="28">
        <v>196</v>
      </c>
      <c r="P164" s="28">
        <v>211</v>
      </c>
      <c r="Q164" s="28">
        <v>226</v>
      </c>
      <c r="R164" s="28">
        <v>242</v>
      </c>
      <c r="S164" s="28">
        <v>258</v>
      </c>
      <c r="T164" s="28">
        <v>274</v>
      </c>
      <c r="U164" s="28">
        <v>290</v>
      </c>
      <c r="V164" s="28">
        <v>307</v>
      </c>
      <c r="W164" s="28">
        <v>324</v>
      </c>
      <c r="X164" s="28">
        <v>340</v>
      </c>
      <c r="Y164" s="28">
        <v>358</v>
      </c>
      <c r="Z164" s="28">
        <v>375</v>
      </c>
      <c r="AA164" s="28">
        <v>393</v>
      </c>
      <c r="AB164" s="28">
        <v>410</v>
      </c>
      <c r="AC164" s="28">
        <v>428</v>
      </c>
      <c r="AD164" s="28">
        <v>446</v>
      </c>
      <c r="AE164" s="28">
        <v>465</v>
      </c>
    </row>
    <row r="165" spans="2:31" x14ac:dyDescent="0.2">
      <c r="B165" s="24"/>
      <c r="C165" s="23">
        <v>1300</v>
      </c>
      <c r="D165" s="28">
        <v>0</v>
      </c>
      <c r="E165" s="28">
        <v>57</v>
      </c>
      <c r="F165" s="28">
        <v>72</v>
      </c>
      <c r="G165" s="28">
        <v>86</v>
      </c>
      <c r="H165" s="28">
        <v>101</v>
      </c>
      <c r="I165" s="28">
        <v>115</v>
      </c>
      <c r="J165" s="28">
        <v>131</v>
      </c>
      <c r="K165" s="28">
        <v>145</v>
      </c>
      <c r="L165" s="28">
        <v>161</v>
      </c>
      <c r="M165" s="28">
        <v>177</v>
      </c>
      <c r="N165" s="28">
        <v>194</v>
      </c>
      <c r="O165" s="28">
        <v>211</v>
      </c>
      <c r="P165" s="28">
        <v>227</v>
      </c>
      <c r="Q165" s="28">
        <v>244</v>
      </c>
      <c r="R165" s="28">
        <v>258</v>
      </c>
      <c r="S165" s="28">
        <v>275</v>
      </c>
      <c r="T165" s="28">
        <v>293</v>
      </c>
      <c r="U165" s="28">
        <v>310</v>
      </c>
      <c r="V165" s="28">
        <v>326</v>
      </c>
      <c r="W165" s="28">
        <v>344</v>
      </c>
      <c r="X165" s="28">
        <v>361</v>
      </c>
      <c r="Y165" s="28">
        <v>379</v>
      </c>
      <c r="Z165" s="28">
        <v>400</v>
      </c>
      <c r="AA165" s="28">
        <v>416</v>
      </c>
      <c r="AB165" s="28">
        <v>433</v>
      </c>
      <c r="AC165" s="28">
        <v>452</v>
      </c>
      <c r="AD165" s="28">
        <v>472</v>
      </c>
      <c r="AE165" s="28">
        <v>490</v>
      </c>
    </row>
    <row r="166" spans="2:31" x14ac:dyDescent="0.2">
      <c r="B166" s="24"/>
      <c r="C166" s="23">
        <v>1350</v>
      </c>
      <c r="D166" s="28">
        <v>0</v>
      </c>
      <c r="E166" s="28">
        <v>0</v>
      </c>
      <c r="F166" s="28">
        <v>77.2</v>
      </c>
      <c r="G166" s="28">
        <v>92.6</v>
      </c>
      <c r="H166" s="28">
        <v>108</v>
      </c>
      <c r="I166" s="28">
        <v>124</v>
      </c>
      <c r="J166" s="28">
        <v>141</v>
      </c>
      <c r="K166" s="28">
        <v>156</v>
      </c>
      <c r="L166" s="28">
        <v>173</v>
      </c>
      <c r="M166" s="28">
        <v>190</v>
      </c>
      <c r="N166" s="28">
        <v>207</v>
      </c>
      <c r="O166" s="28">
        <v>224</v>
      </c>
      <c r="P166" s="28">
        <v>242</v>
      </c>
      <c r="Q166" s="28">
        <v>260</v>
      </c>
      <c r="R166" s="28">
        <v>278</v>
      </c>
      <c r="S166" s="28">
        <v>297</v>
      </c>
      <c r="T166" s="28">
        <v>315</v>
      </c>
      <c r="U166" s="28">
        <v>334</v>
      </c>
      <c r="V166" s="28">
        <v>353</v>
      </c>
      <c r="W166" s="28">
        <v>372</v>
      </c>
      <c r="X166" s="28">
        <v>391</v>
      </c>
      <c r="Y166" s="28">
        <v>410</v>
      </c>
      <c r="Z166" s="28">
        <v>430</v>
      </c>
      <c r="AA166" s="28">
        <v>450</v>
      </c>
      <c r="AB166" s="28">
        <v>470</v>
      </c>
      <c r="AC166" s="28">
        <v>490</v>
      </c>
      <c r="AD166" s="28">
        <v>511</v>
      </c>
      <c r="AE166" s="28">
        <v>532</v>
      </c>
    </row>
    <row r="167" spans="2:31" x14ac:dyDescent="0.2">
      <c r="B167" s="24"/>
      <c r="C167" s="23">
        <v>1400</v>
      </c>
      <c r="D167" s="28">
        <v>0</v>
      </c>
      <c r="E167" s="28">
        <v>0</v>
      </c>
      <c r="F167" s="28">
        <v>82.5</v>
      </c>
      <c r="G167" s="28">
        <v>99</v>
      </c>
      <c r="H167" s="28">
        <v>115</v>
      </c>
      <c r="I167" s="28">
        <v>132</v>
      </c>
      <c r="J167" s="28">
        <v>151</v>
      </c>
      <c r="K167" s="28">
        <v>167</v>
      </c>
      <c r="L167" s="28">
        <v>186</v>
      </c>
      <c r="M167" s="28">
        <v>204</v>
      </c>
      <c r="N167" s="28">
        <v>223</v>
      </c>
      <c r="O167" s="28">
        <v>241</v>
      </c>
      <c r="P167" s="28">
        <v>260</v>
      </c>
      <c r="Q167" s="28">
        <v>278</v>
      </c>
      <c r="R167" s="28">
        <v>297</v>
      </c>
      <c r="S167" s="28">
        <v>316</v>
      </c>
      <c r="T167" s="28">
        <v>336</v>
      </c>
      <c r="U167" s="28">
        <v>357</v>
      </c>
      <c r="V167" s="28">
        <v>375</v>
      </c>
      <c r="W167" s="28">
        <v>395</v>
      </c>
      <c r="X167" s="28">
        <v>415</v>
      </c>
      <c r="Y167" s="28">
        <v>436</v>
      </c>
      <c r="Z167" s="28">
        <v>458</v>
      </c>
      <c r="AA167" s="28">
        <v>475</v>
      </c>
      <c r="AB167" s="28">
        <v>496</v>
      </c>
      <c r="AC167" s="28">
        <v>518</v>
      </c>
      <c r="AD167" s="28">
        <v>540</v>
      </c>
      <c r="AE167" s="28">
        <v>565</v>
      </c>
    </row>
    <row r="168" spans="2:31" x14ac:dyDescent="0.2">
      <c r="B168" s="24"/>
      <c r="C168" s="23">
        <v>1450</v>
      </c>
      <c r="D168" s="28">
        <v>0</v>
      </c>
      <c r="E168" s="28">
        <v>0</v>
      </c>
      <c r="F168" s="28">
        <v>89</v>
      </c>
      <c r="G168" s="28">
        <v>107</v>
      </c>
      <c r="H168" s="28">
        <v>125</v>
      </c>
      <c r="I168" s="28">
        <v>143</v>
      </c>
      <c r="J168" s="28">
        <v>161</v>
      </c>
      <c r="K168" s="28">
        <v>178</v>
      </c>
      <c r="L168" s="28">
        <v>196</v>
      </c>
      <c r="M168" s="28">
        <v>214</v>
      </c>
      <c r="N168" s="28">
        <v>232</v>
      </c>
      <c r="O168" s="28">
        <v>250</v>
      </c>
      <c r="P168" s="28">
        <v>267</v>
      </c>
      <c r="Q168" s="28">
        <v>318</v>
      </c>
      <c r="R168" s="28">
        <v>341</v>
      </c>
      <c r="S168" s="28">
        <v>363</v>
      </c>
      <c r="T168" s="28">
        <v>395</v>
      </c>
      <c r="U168" s="28">
        <v>407</v>
      </c>
      <c r="V168" s="28">
        <v>427</v>
      </c>
      <c r="W168" s="28">
        <v>448</v>
      </c>
      <c r="X168" s="28">
        <v>472</v>
      </c>
      <c r="Y168" s="28">
        <v>496</v>
      </c>
      <c r="Z168" s="28">
        <v>521</v>
      </c>
      <c r="AA168" s="28">
        <v>542</v>
      </c>
      <c r="AB168" s="28">
        <v>565</v>
      </c>
      <c r="AC168" s="28">
        <v>589</v>
      </c>
      <c r="AD168" s="28">
        <v>615</v>
      </c>
      <c r="AE168" s="28">
        <v>642</v>
      </c>
    </row>
    <row r="169" spans="2:31" x14ac:dyDescent="0.2">
      <c r="B169" s="24"/>
      <c r="C169" s="23">
        <v>1500</v>
      </c>
      <c r="D169" s="28">
        <v>0</v>
      </c>
      <c r="E169" s="28">
        <v>0</v>
      </c>
      <c r="F169" s="28">
        <v>95.8</v>
      </c>
      <c r="G169" s="28">
        <v>115</v>
      </c>
      <c r="H169" s="28">
        <v>134</v>
      </c>
      <c r="I169" s="28">
        <v>153</v>
      </c>
      <c r="J169" s="28">
        <v>1725</v>
      </c>
      <c r="K169" s="28">
        <v>193</v>
      </c>
      <c r="L169" s="28">
        <v>213</v>
      </c>
      <c r="M169" s="28">
        <v>234</v>
      </c>
      <c r="N169" s="28">
        <v>255</v>
      </c>
      <c r="O169" s="28">
        <v>276</v>
      </c>
      <c r="P169" s="28">
        <v>297</v>
      </c>
      <c r="Q169" s="28">
        <v>359</v>
      </c>
      <c r="R169" s="28">
        <v>384</v>
      </c>
      <c r="S169" s="28">
        <v>408</v>
      </c>
      <c r="T169" s="28">
        <v>433</v>
      </c>
      <c r="U169" s="28">
        <v>458</v>
      </c>
      <c r="V169" s="28">
        <v>483</v>
      </c>
      <c r="W169" s="28">
        <v>508</v>
      </c>
      <c r="X169" s="28">
        <v>533</v>
      </c>
      <c r="Y169" s="28">
        <v>558</v>
      </c>
      <c r="Z169" s="28">
        <v>584</v>
      </c>
      <c r="AA169" s="28">
        <v>612</v>
      </c>
      <c r="AB169" s="28">
        <v>640</v>
      </c>
      <c r="AC169" s="28">
        <v>668</v>
      </c>
      <c r="AD169" s="28">
        <v>696</v>
      </c>
      <c r="AE169" s="28">
        <v>722</v>
      </c>
    </row>
    <row r="170" spans="2:31" x14ac:dyDescent="0.2">
      <c r="B170" s="24"/>
      <c r="C170" s="23">
        <v>1550</v>
      </c>
      <c r="D170" s="28">
        <v>0</v>
      </c>
      <c r="E170" s="28">
        <v>0</v>
      </c>
      <c r="F170" s="28">
        <v>103</v>
      </c>
      <c r="G170" s="28">
        <v>123</v>
      </c>
      <c r="H170" s="28">
        <v>144</v>
      </c>
      <c r="I170" s="28">
        <v>164</v>
      </c>
      <c r="J170" s="28">
        <v>185</v>
      </c>
      <c r="K170" s="28">
        <v>205</v>
      </c>
      <c r="L170" s="28">
        <v>225</v>
      </c>
      <c r="M170" s="28">
        <v>246</v>
      </c>
      <c r="N170" s="28">
        <v>266</v>
      </c>
      <c r="O170" s="28">
        <v>287</v>
      </c>
      <c r="P170" s="28">
        <v>307</v>
      </c>
      <c r="Q170" s="28">
        <v>403</v>
      </c>
      <c r="R170" s="28">
        <v>428</v>
      </c>
      <c r="S170" s="28">
        <v>458</v>
      </c>
      <c r="T170" s="28">
        <v>485</v>
      </c>
      <c r="U170" s="28">
        <v>510</v>
      </c>
      <c r="V170" s="28">
        <v>543</v>
      </c>
      <c r="W170" s="28">
        <v>570</v>
      </c>
      <c r="X170" s="28">
        <v>598</v>
      </c>
      <c r="Y170" s="28">
        <v>628</v>
      </c>
      <c r="Z170" s="28">
        <v>658</v>
      </c>
      <c r="AA170" s="28">
        <v>688</v>
      </c>
      <c r="AB170" s="28">
        <v>715</v>
      </c>
      <c r="AC170" s="28">
        <v>748</v>
      </c>
      <c r="AD170" s="28">
        <v>778</v>
      </c>
      <c r="AE170" s="28">
        <v>810</v>
      </c>
    </row>
    <row r="171" spans="2:31" x14ac:dyDescent="0.2">
      <c r="B171" s="24"/>
      <c r="C171" s="23">
        <v>1600</v>
      </c>
      <c r="D171" s="28">
        <v>0</v>
      </c>
      <c r="E171" s="28">
        <v>0</v>
      </c>
      <c r="F171" s="28">
        <v>108</v>
      </c>
      <c r="G171" s="28">
        <v>129</v>
      </c>
      <c r="H171" s="28">
        <v>152</v>
      </c>
      <c r="I171" s="28">
        <v>173</v>
      </c>
      <c r="J171" s="28">
        <v>194</v>
      </c>
      <c r="K171" s="28">
        <v>216</v>
      </c>
      <c r="L171" s="28">
        <v>241</v>
      </c>
      <c r="M171" s="28">
        <v>264</v>
      </c>
      <c r="N171" s="28">
        <v>287</v>
      </c>
      <c r="O171" s="28">
        <v>311</v>
      </c>
      <c r="P171" s="28">
        <v>335</v>
      </c>
      <c r="Q171" s="28">
        <v>459</v>
      </c>
      <c r="R171" s="28">
        <v>489</v>
      </c>
      <c r="S171" s="28">
        <v>520</v>
      </c>
      <c r="T171" s="28">
        <v>555</v>
      </c>
      <c r="U171" s="28">
        <v>584</v>
      </c>
      <c r="V171" s="28">
        <v>615</v>
      </c>
      <c r="W171" s="28">
        <v>649</v>
      </c>
      <c r="X171" s="28">
        <v>680</v>
      </c>
      <c r="Y171" s="28">
        <v>713</v>
      </c>
      <c r="Z171" s="28">
        <v>747</v>
      </c>
      <c r="AA171" s="28">
        <v>780</v>
      </c>
      <c r="AB171" s="28">
        <v>813</v>
      </c>
      <c r="AC171" s="28">
        <v>848</v>
      </c>
      <c r="AD171" s="28">
        <v>883</v>
      </c>
      <c r="AE171" s="28">
        <v>920</v>
      </c>
    </row>
    <row r="172" spans="2:31" x14ac:dyDescent="0.2">
      <c r="B172" s="24"/>
      <c r="C172" s="23">
        <v>1650</v>
      </c>
      <c r="D172" s="28">
        <v>0</v>
      </c>
      <c r="E172" s="28">
        <v>0</v>
      </c>
      <c r="F172" s="28">
        <v>115</v>
      </c>
      <c r="G172" s="28">
        <v>138</v>
      </c>
      <c r="H172" s="28">
        <v>160</v>
      </c>
      <c r="I172" s="28">
        <v>183</v>
      </c>
      <c r="J172" s="28">
        <v>206</v>
      </c>
      <c r="K172" s="28">
        <v>229</v>
      </c>
      <c r="L172" s="28">
        <v>252</v>
      </c>
      <c r="M172" s="28">
        <v>274</v>
      </c>
      <c r="N172" s="28">
        <v>297</v>
      </c>
      <c r="O172" s="28">
        <v>320</v>
      </c>
      <c r="P172" s="28">
        <v>343</v>
      </c>
      <c r="Q172" s="28">
        <v>507</v>
      </c>
      <c r="R172" s="28">
        <v>543</v>
      </c>
      <c r="S172" s="28">
        <v>578</v>
      </c>
      <c r="T172" s="28">
        <v>613</v>
      </c>
      <c r="U172" s="28">
        <v>648</v>
      </c>
      <c r="V172" s="28">
        <v>683</v>
      </c>
      <c r="W172" s="28">
        <v>718</v>
      </c>
      <c r="X172" s="28">
        <v>755</v>
      </c>
      <c r="Y172" s="28">
        <v>790</v>
      </c>
      <c r="Z172" s="28">
        <v>827</v>
      </c>
      <c r="AA172" s="28">
        <v>865</v>
      </c>
      <c r="AB172" s="28">
        <v>902</v>
      </c>
      <c r="AC172" s="28">
        <v>940</v>
      </c>
      <c r="AD172" s="28">
        <v>978</v>
      </c>
      <c r="AE172" s="28">
        <v>1015</v>
      </c>
    </row>
    <row r="173" spans="2:31" x14ac:dyDescent="0.2">
      <c r="B173" s="24"/>
      <c r="C173" s="23">
        <v>1700</v>
      </c>
      <c r="D173" s="28">
        <v>0</v>
      </c>
      <c r="E173" s="28">
        <v>0</v>
      </c>
      <c r="F173" s="28">
        <v>122</v>
      </c>
      <c r="G173" s="28">
        <v>146</v>
      </c>
      <c r="H173" s="28">
        <v>171</v>
      </c>
      <c r="I173" s="28">
        <v>195</v>
      </c>
      <c r="J173" s="28">
        <v>220</v>
      </c>
      <c r="K173" s="28">
        <v>244</v>
      </c>
      <c r="L173" s="28">
        <v>272</v>
      </c>
      <c r="M173" s="28">
        <v>297</v>
      </c>
      <c r="N173" s="28">
        <v>324</v>
      </c>
      <c r="O173" s="28">
        <v>350</v>
      </c>
      <c r="P173" s="28">
        <v>376</v>
      </c>
      <c r="Q173" s="28">
        <v>560</v>
      </c>
      <c r="R173" s="28">
        <v>597</v>
      </c>
      <c r="S173" s="28">
        <v>635</v>
      </c>
      <c r="T173" s="28">
        <v>673</v>
      </c>
      <c r="U173" s="28">
        <v>712</v>
      </c>
      <c r="V173" s="28">
        <v>750</v>
      </c>
      <c r="W173" s="28">
        <v>790</v>
      </c>
      <c r="X173" s="28">
        <v>830</v>
      </c>
      <c r="Y173" s="28">
        <v>870</v>
      </c>
      <c r="Z173" s="28">
        <v>910</v>
      </c>
      <c r="AA173" s="28">
        <v>950</v>
      </c>
      <c r="AB173" s="28">
        <v>995</v>
      </c>
      <c r="AC173" s="28">
        <v>1035</v>
      </c>
      <c r="AD173" s="28">
        <v>1075</v>
      </c>
      <c r="AE173" s="28">
        <v>1120</v>
      </c>
    </row>
    <row r="174" spans="2:31" x14ac:dyDescent="0.2">
      <c r="B174" s="24"/>
      <c r="C174" s="23">
        <v>1750</v>
      </c>
      <c r="D174" s="28">
        <v>0</v>
      </c>
      <c r="E174" s="28">
        <v>0</v>
      </c>
      <c r="F174" s="28">
        <v>129</v>
      </c>
      <c r="G174" s="28">
        <v>155</v>
      </c>
      <c r="H174" s="28">
        <v>180</v>
      </c>
      <c r="I174" s="28">
        <v>206</v>
      </c>
      <c r="J174" s="28">
        <v>231</v>
      </c>
      <c r="K174" s="28">
        <v>257</v>
      </c>
      <c r="L174" s="28">
        <v>282</v>
      </c>
      <c r="M174" s="28">
        <v>308</v>
      </c>
      <c r="N174" s="28">
        <v>334</v>
      </c>
      <c r="O174" s="28">
        <v>360</v>
      </c>
      <c r="P174" s="28">
        <v>385</v>
      </c>
      <c r="Q174" s="28">
        <v>0</v>
      </c>
      <c r="R174" s="28">
        <v>0</v>
      </c>
      <c r="S174" s="28">
        <v>0</v>
      </c>
      <c r="T174" s="28">
        <v>0</v>
      </c>
      <c r="U174" s="28">
        <v>0</v>
      </c>
      <c r="V174" s="28">
        <v>0</v>
      </c>
      <c r="W174" s="28">
        <v>0</v>
      </c>
      <c r="X174" s="28">
        <v>0</v>
      </c>
      <c r="Y174" s="28">
        <v>0</v>
      </c>
      <c r="Z174" s="28">
        <v>0</v>
      </c>
      <c r="AA174" s="28">
        <v>0</v>
      </c>
      <c r="AB174" s="28">
        <v>0</v>
      </c>
      <c r="AC174" s="28">
        <v>0</v>
      </c>
      <c r="AD174" s="28">
        <v>0</v>
      </c>
      <c r="AE174" s="28">
        <v>0</v>
      </c>
    </row>
    <row r="175" spans="2:31" x14ac:dyDescent="0.2">
      <c r="B175" s="24"/>
      <c r="C175" s="23">
        <v>1800</v>
      </c>
      <c r="D175" s="28">
        <v>0</v>
      </c>
      <c r="E175" s="28">
        <v>0</v>
      </c>
      <c r="F175" s="28">
        <v>134</v>
      </c>
      <c r="G175" s="28">
        <v>159</v>
      </c>
      <c r="H175" s="28">
        <v>187</v>
      </c>
      <c r="I175" s="28">
        <v>213</v>
      </c>
      <c r="J175" s="28">
        <v>240</v>
      </c>
      <c r="K175" s="28">
        <v>267</v>
      </c>
      <c r="L175" s="28">
        <v>306</v>
      </c>
      <c r="M175" s="28">
        <v>336</v>
      </c>
      <c r="N175" s="28">
        <v>365</v>
      </c>
      <c r="O175" s="28">
        <v>397</v>
      </c>
      <c r="P175" s="28">
        <v>427</v>
      </c>
      <c r="Q175" s="28">
        <v>0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0</v>
      </c>
      <c r="X175" s="28">
        <v>0</v>
      </c>
      <c r="Y175" s="28">
        <v>0</v>
      </c>
      <c r="Z175" s="28">
        <v>0</v>
      </c>
      <c r="AA175" s="28">
        <v>0</v>
      </c>
      <c r="AB175" s="28">
        <v>0</v>
      </c>
      <c r="AC175" s="28">
        <v>0</v>
      </c>
      <c r="AD175" s="28">
        <v>0</v>
      </c>
      <c r="AE175" s="28">
        <v>0</v>
      </c>
    </row>
    <row r="176" spans="2:31" x14ac:dyDescent="0.2">
      <c r="B176" s="23"/>
      <c r="C176" s="23">
        <v>1900</v>
      </c>
      <c r="D176" s="28">
        <v>0</v>
      </c>
      <c r="E176" s="28">
        <v>0</v>
      </c>
      <c r="F176" s="28">
        <v>148</v>
      </c>
      <c r="G176" s="28">
        <v>177</v>
      </c>
      <c r="H176" s="28">
        <v>207</v>
      </c>
      <c r="I176" s="28">
        <v>237</v>
      </c>
      <c r="J176" s="28">
        <v>266</v>
      </c>
      <c r="K176" s="28">
        <v>296</v>
      </c>
      <c r="L176" s="28">
        <v>340</v>
      </c>
      <c r="M176" s="28">
        <v>373</v>
      </c>
      <c r="N176" s="28">
        <v>406</v>
      </c>
      <c r="O176" s="28">
        <v>439</v>
      </c>
      <c r="P176" s="28">
        <v>473</v>
      </c>
      <c r="Q176" s="28">
        <v>0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0</v>
      </c>
      <c r="Y176" s="28">
        <v>0</v>
      </c>
      <c r="Z176" s="28">
        <v>0</v>
      </c>
      <c r="AA176" s="28">
        <v>0</v>
      </c>
      <c r="AB176" s="28">
        <v>0</v>
      </c>
      <c r="AC176" s="28">
        <v>0</v>
      </c>
      <c r="AD176" s="28">
        <v>0</v>
      </c>
      <c r="AE176" s="28">
        <v>0</v>
      </c>
    </row>
    <row r="177" spans="2:31" x14ac:dyDescent="0.2">
      <c r="B177" s="23"/>
      <c r="C177" s="23">
        <v>2000</v>
      </c>
      <c r="D177" s="28">
        <v>0</v>
      </c>
      <c r="E177" s="28">
        <v>0</v>
      </c>
      <c r="F177" s="28">
        <v>163</v>
      </c>
      <c r="G177" s="28">
        <v>195</v>
      </c>
      <c r="H177" s="28">
        <v>228</v>
      </c>
      <c r="I177" s="28">
        <v>260</v>
      </c>
      <c r="J177" s="28">
        <v>293</v>
      </c>
      <c r="K177" s="28">
        <v>325</v>
      </c>
      <c r="L177" s="28">
        <v>376</v>
      </c>
      <c r="M177" s="28">
        <v>411</v>
      </c>
      <c r="N177" s="28">
        <v>455</v>
      </c>
      <c r="O177" s="28">
        <v>479</v>
      </c>
      <c r="P177" s="28">
        <v>514</v>
      </c>
      <c r="Q177" s="28">
        <v>0</v>
      </c>
      <c r="R177" s="28">
        <v>0</v>
      </c>
      <c r="S177" s="28">
        <v>0</v>
      </c>
      <c r="T177" s="28">
        <v>0</v>
      </c>
      <c r="U177" s="28">
        <v>0</v>
      </c>
      <c r="V177" s="28">
        <v>0</v>
      </c>
      <c r="W177" s="28">
        <v>0</v>
      </c>
      <c r="X177" s="28">
        <v>0</v>
      </c>
      <c r="Y177" s="28">
        <v>0</v>
      </c>
      <c r="Z177" s="28">
        <v>0</v>
      </c>
      <c r="AA177" s="28">
        <v>0</v>
      </c>
      <c r="AB177" s="28">
        <v>0</v>
      </c>
      <c r="AC177" s="28">
        <v>0</v>
      </c>
      <c r="AD177" s="28">
        <v>0</v>
      </c>
      <c r="AE177" s="28">
        <v>0</v>
      </c>
    </row>
    <row r="178" spans="2:31" x14ac:dyDescent="0.2">
      <c r="B178" s="23"/>
      <c r="C178" s="23">
        <v>2100</v>
      </c>
      <c r="D178" s="28">
        <v>0</v>
      </c>
      <c r="E178" s="28">
        <v>0</v>
      </c>
      <c r="F178" s="28">
        <v>181</v>
      </c>
      <c r="G178" s="28">
        <v>217</v>
      </c>
      <c r="H178" s="28">
        <v>253</v>
      </c>
      <c r="I178" s="28">
        <v>289</v>
      </c>
      <c r="J178" s="28">
        <v>326</v>
      </c>
      <c r="K178" s="28">
        <v>362</v>
      </c>
      <c r="L178" s="28">
        <v>398</v>
      </c>
      <c r="M178" s="28">
        <v>434</v>
      </c>
      <c r="N178" s="28">
        <v>470</v>
      </c>
      <c r="O178" s="28">
        <v>507</v>
      </c>
      <c r="P178" s="28">
        <v>543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</row>
    <row r="179" spans="2:31" x14ac:dyDescent="0.2">
      <c r="B179" s="23"/>
      <c r="C179" s="23">
        <v>2200</v>
      </c>
      <c r="D179" s="28">
        <v>0</v>
      </c>
      <c r="E179" s="28">
        <v>0</v>
      </c>
      <c r="F179" s="28">
        <v>197</v>
      </c>
      <c r="G179" s="28">
        <v>236</v>
      </c>
      <c r="H179" s="28">
        <v>275</v>
      </c>
      <c r="I179" s="28">
        <v>315</v>
      </c>
      <c r="J179" s="28">
        <v>354</v>
      </c>
      <c r="K179" s="28">
        <v>393</v>
      </c>
      <c r="L179" s="28">
        <v>432</v>
      </c>
      <c r="M179" s="28">
        <v>472</v>
      </c>
      <c r="N179" s="28">
        <v>511</v>
      </c>
      <c r="O179" s="28">
        <v>550</v>
      </c>
      <c r="P179" s="28">
        <v>589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</row>
    <row r="180" spans="2:31" x14ac:dyDescent="0.2">
      <c r="B180" s="23"/>
      <c r="C180" s="23">
        <v>2300</v>
      </c>
      <c r="D180" s="28">
        <v>0</v>
      </c>
      <c r="E180" s="28">
        <v>0</v>
      </c>
      <c r="F180" s="28">
        <v>214</v>
      </c>
      <c r="G180" s="28">
        <v>257</v>
      </c>
      <c r="H180" s="28">
        <v>300</v>
      </c>
      <c r="I180" s="28">
        <v>343</v>
      </c>
      <c r="J180" s="28">
        <v>385</v>
      </c>
      <c r="K180" s="28">
        <v>428</v>
      </c>
      <c r="L180" s="28">
        <v>471</v>
      </c>
      <c r="M180" s="28">
        <v>513</v>
      </c>
      <c r="N180" s="28">
        <v>556</v>
      </c>
      <c r="O180" s="28">
        <v>599</v>
      </c>
      <c r="P180" s="28">
        <v>642</v>
      </c>
      <c r="Q180" s="28">
        <v>0</v>
      </c>
      <c r="R180" s="28">
        <v>0</v>
      </c>
      <c r="S180" s="28">
        <v>0</v>
      </c>
      <c r="T180" s="28">
        <v>0</v>
      </c>
      <c r="U180" s="28">
        <v>0</v>
      </c>
      <c r="V180" s="28">
        <v>0</v>
      </c>
      <c r="W180" s="28">
        <v>0</v>
      </c>
      <c r="X180" s="28">
        <v>0</v>
      </c>
      <c r="Y180" s="28">
        <v>0</v>
      </c>
      <c r="Z180" s="28">
        <v>0</v>
      </c>
      <c r="AA180" s="28">
        <v>0</v>
      </c>
      <c r="AB180" s="28">
        <v>0</v>
      </c>
      <c r="AC180" s="28">
        <v>0</v>
      </c>
      <c r="AD180" s="28">
        <v>0</v>
      </c>
      <c r="AE180" s="28">
        <v>0</v>
      </c>
    </row>
    <row r="181" spans="2:31" x14ac:dyDescent="0.2">
      <c r="B181" s="23"/>
      <c r="C181" s="23">
        <v>2400</v>
      </c>
      <c r="D181" s="28">
        <v>0</v>
      </c>
      <c r="E181" s="28">
        <v>0</v>
      </c>
      <c r="F181" s="28">
        <v>233</v>
      </c>
      <c r="G181" s="28">
        <v>279</v>
      </c>
      <c r="H181" s="28">
        <v>325</v>
      </c>
      <c r="I181" s="28">
        <v>372</v>
      </c>
      <c r="J181" s="28">
        <v>418</v>
      </c>
      <c r="K181" s="28">
        <v>465</v>
      </c>
      <c r="L181" s="28">
        <v>511</v>
      </c>
      <c r="M181" s="28">
        <v>557</v>
      </c>
      <c r="N181" s="28">
        <v>603</v>
      </c>
      <c r="O181" s="28">
        <v>650</v>
      </c>
      <c r="P181" s="28">
        <v>696</v>
      </c>
      <c r="Q181" s="28">
        <v>0</v>
      </c>
      <c r="R181" s="28">
        <v>0</v>
      </c>
      <c r="S181" s="28">
        <v>0</v>
      </c>
      <c r="T181" s="28">
        <v>0</v>
      </c>
      <c r="U181" s="28">
        <v>0</v>
      </c>
      <c r="V181" s="28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28">
        <v>0</v>
      </c>
      <c r="AC181" s="28">
        <v>0</v>
      </c>
      <c r="AD181" s="28">
        <v>0</v>
      </c>
      <c r="AE181" s="28">
        <v>0</v>
      </c>
    </row>
    <row r="182" spans="2:31" x14ac:dyDescent="0.2">
      <c r="B182" s="23"/>
      <c r="C182" s="23">
        <v>2500</v>
      </c>
      <c r="D182" s="28">
        <v>0</v>
      </c>
      <c r="E182" s="28">
        <v>0</v>
      </c>
      <c r="F182" s="28">
        <v>250</v>
      </c>
      <c r="G182" s="28">
        <v>300</v>
      </c>
      <c r="H182" s="28">
        <v>350</v>
      </c>
      <c r="I182" s="28">
        <v>400</v>
      </c>
      <c r="J182" s="28">
        <v>450</v>
      </c>
      <c r="K182" s="28">
        <v>500</v>
      </c>
      <c r="L182" s="28">
        <v>550</v>
      </c>
      <c r="M182" s="28">
        <v>600</v>
      </c>
      <c r="N182" s="28">
        <v>650</v>
      </c>
      <c r="O182" s="28">
        <v>700</v>
      </c>
      <c r="P182" s="28">
        <v>750</v>
      </c>
      <c r="Q182" s="28">
        <v>0</v>
      </c>
      <c r="R182" s="28">
        <v>0</v>
      </c>
      <c r="S182" s="28">
        <v>0</v>
      </c>
      <c r="T182" s="28">
        <v>0</v>
      </c>
      <c r="U182" s="28">
        <v>0</v>
      </c>
      <c r="V182" s="28">
        <v>0</v>
      </c>
      <c r="W182" s="28">
        <v>0</v>
      </c>
      <c r="X182" s="28">
        <v>0</v>
      </c>
      <c r="Y182" s="28">
        <v>0</v>
      </c>
      <c r="Z182" s="28">
        <v>0</v>
      </c>
      <c r="AA182" s="28">
        <v>0</v>
      </c>
      <c r="AB182" s="28">
        <v>0</v>
      </c>
      <c r="AC182" s="28">
        <v>0</v>
      </c>
      <c r="AD182" s="28">
        <v>0</v>
      </c>
      <c r="AE182" s="28">
        <v>0</v>
      </c>
    </row>
    <row r="183" spans="2:31" x14ac:dyDescent="0.2">
      <c r="B183" s="23"/>
      <c r="C183" s="23">
        <v>2600</v>
      </c>
      <c r="D183" s="28">
        <v>0</v>
      </c>
      <c r="E183" s="28">
        <v>0</v>
      </c>
      <c r="F183" s="28">
        <v>270</v>
      </c>
      <c r="G183" s="28">
        <v>324</v>
      </c>
      <c r="H183" s="28">
        <v>378</v>
      </c>
      <c r="I183" s="28">
        <v>432</v>
      </c>
      <c r="J183" s="28">
        <v>486</v>
      </c>
      <c r="K183" s="28">
        <v>540</v>
      </c>
      <c r="L183" s="28">
        <v>594</v>
      </c>
      <c r="M183" s="28">
        <v>648</v>
      </c>
      <c r="N183" s="28">
        <v>702</v>
      </c>
      <c r="O183" s="28">
        <v>756</v>
      </c>
      <c r="P183" s="28">
        <v>810</v>
      </c>
      <c r="Q183" s="28">
        <v>0</v>
      </c>
      <c r="R183" s="28">
        <v>0</v>
      </c>
      <c r="S183" s="28">
        <v>0</v>
      </c>
      <c r="T183" s="28">
        <v>0</v>
      </c>
      <c r="U183" s="28">
        <v>0</v>
      </c>
      <c r="V183" s="28">
        <v>0</v>
      </c>
      <c r="W183" s="28">
        <v>0</v>
      </c>
      <c r="X183" s="28">
        <v>0</v>
      </c>
      <c r="Y183" s="28">
        <v>0</v>
      </c>
      <c r="Z183" s="28">
        <v>0</v>
      </c>
      <c r="AA183" s="28">
        <v>0</v>
      </c>
      <c r="AB183" s="28">
        <v>0</v>
      </c>
      <c r="AC183" s="28">
        <v>0</v>
      </c>
      <c r="AD183" s="28">
        <v>0</v>
      </c>
      <c r="AE183" s="28">
        <v>0</v>
      </c>
    </row>
    <row r="184" spans="2:31" x14ac:dyDescent="0.2">
      <c r="B184" s="23"/>
      <c r="C184" s="23">
        <v>2700</v>
      </c>
      <c r="D184" s="28">
        <v>0</v>
      </c>
      <c r="E184" s="28">
        <v>0</v>
      </c>
      <c r="F184" s="28">
        <v>290.5</v>
      </c>
      <c r="G184" s="28">
        <v>348.5</v>
      </c>
      <c r="H184" s="28">
        <v>407</v>
      </c>
      <c r="I184" s="28">
        <v>464</v>
      </c>
      <c r="J184" s="28">
        <v>523</v>
      </c>
      <c r="K184" s="28">
        <v>581</v>
      </c>
      <c r="L184" s="28">
        <v>639</v>
      </c>
      <c r="M184" s="28">
        <v>697</v>
      </c>
      <c r="N184" s="28">
        <v>755</v>
      </c>
      <c r="O184" s="28">
        <v>813</v>
      </c>
      <c r="P184" s="28">
        <v>871</v>
      </c>
      <c r="Q184" s="28">
        <v>0</v>
      </c>
      <c r="R184" s="28">
        <v>0</v>
      </c>
      <c r="S184" s="28">
        <v>0</v>
      </c>
      <c r="T184" s="28">
        <v>0</v>
      </c>
      <c r="U184" s="28">
        <v>0</v>
      </c>
      <c r="V184" s="28">
        <v>0</v>
      </c>
      <c r="W184" s="28">
        <v>0</v>
      </c>
      <c r="X184" s="28">
        <v>0</v>
      </c>
      <c r="Y184" s="28">
        <v>0</v>
      </c>
      <c r="Z184" s="28">
        <v>0</v>
      </c>
      <c r="AA184" s="28">
        <v>0</v>
      </c>
      <c r="AB184" s="28">
        <v>0</v>
      </c>
      <c r="AC184" s="28">
        <v>0</v>
      </c>
      <c r="AD184" s="28">
        <v>0</v>
      </c>
      <c r="AE184" s="28">
        <v>0</v>
      </c>
    </row>
    <row r="185" spans="2:31" x14ac:dyDescent="0.2">
      <c r="B185" s="23"/>
      <c r="C185" s="23">
        <v>2800</v>
      </c>
      <c r="D185" s="28">
        <v>0</v>
      </c>
      <c r="E185" s="28">
        <v>0</v>
      </c>
      <c r="F185" s="28">
        <v>312</v>
      </c>
      <c r="G185" s="28">
        <v>375</v>
      </c>
      <c r="H185" s="28">
        <v>437</v>
      </c>
      <c r="I185" s="28">
        <v>500</v>
      </c>
      <c r="J185" s="28">
        <v>562</v>
      </c>
      <c r="K185" s="28">
        <v>624</v>
      </c>
      <c r="L185" s="28">
        <v>687</v>
      </c>
      <c r="M185" s="28">
        <v>749</v>
      </c>
      <c r="N185" s="28">
        <v>811</v>
      </c>
      <c r="O185" s="28">
        <v>873</v>
      </c>
      <c r="P185" s="28">
        <v>935</v>
      </c>
      <c r="Q185" s="28">
        <v>0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W185" s="28">
        <v>0</v>
      </c>
      <c r="X185" s="28">
        <v>0</v>
      </c>
      <c r="Y185" s="28">
        <v>0</v>
      </c>
      <c r="Z185" s="28">
        <v>0</v>
      </c>
      <c r="AA185" s="28">
        <v>0</v>
      </c>
      <c r="AB185" s="28">
        <v>0</v>
      </c>
      <c r="AC185" s="28">
        <v>0</v>
      </c>
      <c r="AD185" s="28">
        <v>0</v>
      </c>
      <c r="AE185" s="28">
        <v>0</v>
      </c>
    </row>
    <row r="186" spans="2:31" x14ac:dyDescent="0.2">
      <c r="B186" s="23"/>
      <c r="C186" s="23">
        <v>2900</v>
      </c>
      <c r="D186" s="28">
        <v>0</v>
      </c>
      <c r="E186" s="28">
        <v>0</v>
      </c>
      <c r="F186" s="28">
        <v>0</v>
      </c>
      <c r="G186" s="28">
        <v>400.5</v>
      </c>
      <c r="H186" s="28">
        <v>467</v>
      </c>
      <c r="I186" s="28">
        <v>535</v>
      </c>
      <c r="J186" s="28">
        <v>602</v>
      </c>
      <c r="K186" s="28">
        <v>668</v>
      </c>
      <c r="L186" s="28">
        <v>734</v>
      </c>
      <c r="M186" s="28">
        <v>801</v>
      </c>
      <c r="N186" s="28">
        <v>868</v>
      </c>
      <c r="O186" s="28">
        <v>934</v>
      </c>
      <c r="P186" s="28">
        <v>1000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</row>
    <row r="187" spans="2:31" x14ac:dyDescent="0.2">
      <c r="B187" s="23"/>
      <c r="C187" s="23">
        <v>3000</v>
      </c>
      <c r="D187" s="28">
        <v>0</v>
      </c>
      <c r="E187" s="28">
        <v>0</v>
      </c>
      <c r="F187" s="28">
        <v>0</v>
      </c>
      <c r="G187" s="28">
        <v>430</v>
      </c>
      <c r="H187" s="28">
        <v>500</v>
      </c>
      <c r="I187" s="28">
        <v>572</v>
      </c>
      <c r="J187" s="28">
        <v>643</v>
      </c>
      <c r="K187" s="28">
        <v>715</v>
      </c>
      <c r="L187" s="28">
        <v>785</v>
      </c>
      <c r="M187" s="28">
        <v>860</v>
      </c>
      <c r="N187" s="28">
        <v>930</v>
      </c>
      <c r="O187" s="28">
        <v>1000</v>
      </c>
      <c r="P187" s="28">
        <v>1075</v>
      </c>
      <c r="Q187" s="28">
        <v>0</v>
      </c>
      <c r="R187" s="28">
        <v>0</v>
      </c>
      <c r="S187" s="28">
        <v>0</v>
      </c>
      <c r="T187" s="28">
        <v>0</v>
      </c>
      <c r="U187" s="28">
        <v>0</v>
      </c>
      <c r="V187" s="28"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D187" s="28">
        <v>0</v>
      </c>
      <c r="AE187" s="28">
        <v>0</v>
      </c>
    </row>
    <row r="188" spans="2:31" x14ac:dyDescent="0.2"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 spans="2:31" x14ac:dyDescent="0.2"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 spans="2:31" x14ac:dyDescent="0.2"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 spans="2:31" x14ac:dyDescent="0.2"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 spans="2:31" x14ac:dyDescent="0.2"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 spans="4:31" x14ac:dyDescent="0.2"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 spans="4:31" x14ac:dyDescent="0.2"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 spans="4:31" x14ac:dyDescent="0.2"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 spans="4:31" x14ac:dyDescent="0.2"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 spans="4:31" x14ac:dyDescent="0.2"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 spans="4:31" x14ac:dyDescent="0.2"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 spans="4:31" x14ac:dyDescent="0.2"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</sheetData>
  <mergeCells count="5">
    <mergeCell ref="E1:P1"/>
    <mergeCell ref="D43:O43"/>
    <mergeCell ref="D86:O86"/>
    <mergeCell ref="D129:O129"/>
    <mergeCell ref="B130:C130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D4D0-3BF0-4165-A668-B227D60B06E2}">
  <sheetPr transitionEvaluation="1" codeName="Tabelle12"/>
  <dimension ref="A1:G68"/>
  <sheetViews>
    <sheetView showGridLines="0" topLeftCell="A25" zoomScaleNormal="100" workbookViewId="0">
      <selection activeCell="G57" sqref="G57"/>
    </sheetView>
  </sheetViews>
  <sheetFormatPr defaultColWidth="9.6640625" defaultRowHeight="12.6" x14ac:dyDescent="0.25"/>
  <cols>
    <col min="1" max="1" width="33.6640625" style="71" customWidth="1"/>
    <col min="2" max="2" width="11.6640625" style="71" customWidth="1"/>
    <col min="3" max="3" width="19.88671875" style="71" customWidth="1"/>
    <col min="4" max="4" width="11.6640625" style="71" customWidth="1"/>
    <col min="5" max="5" width="7.109375" style="71" customWidth="1"/>
    <col min="6" max="6" width="18.6640625" style="71" customWidth="1"/>
    <col min="7" max="256" width="9.6640625" style="71"/>
    <col min="257" max="257" width="33.6640625" style="71" customWidth="1"/>
    <col min="258" max="258" width="11.6640625" style="71" customWidth="1"/>
    <col min="259" max="259" width="16.44140625" style="71" customWidth="1"/>
    <col min="260" max="260" width="11.6640625" style="71" customWidth="1"/>
    <col min="261" max="261" width="7.109375" style="71" customWidth="1"/>
    <col min="262" max="262" width="18.6640625" style="71" customWidth="1"/>
    <col min="263" max="512" width="9.6640625" style="71"/>
    <col min="513" max="513" width="33.6640625" style="71" customWidth="1"/>
    <col min="514" max="514" width="11.6640625" style="71" customWidth="1"/>
    <col min="515" max="515" width="16.44140625" style="71" customWidth="1"/>
    <col min="516" max="516" width="11.6640625" style="71" customWidth="1"/>
    <col min="517" max="517" width="7.109375" style="71" customWidth="1"/>
    <col min="518" max="518" width="18.6640625" style="71" customWidth="1"/>
    <col min="519" max="768" width="9.6640625" style="71"/>
    <col min="769" max="769" width="33.6640625" style="71" customWidth="1"/>
    <col min="770" max="770" width="11.6640625" style="71" customWidth="1"/>
    <col min="771" max="771" width="16.44140625" style="71" customWidth="1"/>
    <col min="772" max="772" width="11.6640625" style="71" customWidth="1"/>
    <col min="773" max="773" width="7.109375" style="71" customWidth="1"/>
    <col min="774" max="774" width="18.6640625" style="71" customWidth="1"/>
    <col min="775" max="1024" width="9.6640625" style="71"/>
    <col min="1025" max="1025" width="33.6640625" style="71" customWidth="1"/>
    <col min="1026" max="1026" width="11.6640625" style="71" customWidth="1"/>
    <col min="1027" max="1027" width="16.44140625" style="71" customWidth="1"/>
    <col min="1028" max="1028" width="11.6640625" style="71" customWidth="1"/>
    <col min="1029" max="1029" width="7.109375" style="71" customWidth="1"/>
    <col min="1030" max="1030" width="18.6640625" style="71" customWidth="1"/>
    <col min="1031" max="1280" width="9.6640625" style="71"/>
    <col min="1281" max="1281" width="33.6640625" style="71" customWidth="1"/>
    <col min="1282" max="1282" width="11.6640625" style="71" customWidth="1"/>
    <col min="1283" max="1283" width="16.44140625" style="71" customWidth="1"/>
    <col min="1284" max="1284" width="11.6640625" style="71" customWidth="1"/>
    <col min="1285" max="1285" width="7.109375" style="71" customWidth="1"/>
    <col min="1286" max="1286" width="18.6640625" style="71" customWidth="1"/>
    <col min="1287" max="1536" width="9.6640625" style="71"/>
    <col min="1537" max="1537" width="33.6640625" style="71" customWidth="1"/>
    <col min="1538" max="1538" width="11.6640625" style="71" customWidth="1"/>
    <col min="1539" max="1539" width="16.44140625" style="71" customWidth="1"/>
    <col min="1540" max="1540" width="11.6640625" style="71" customWidth="1"/>
    <col min="1541" max="1541" width="7.109375" style="71" customWidth="1"/>
    <col min="1542" max="1542" width="18.6640625" style="71" customWidth="1"/>
    <col min="1543" max="1792" width="9.6640625" style="71"/>
    <col min="1793" max="1793" width="33.6640625" style="71" customWidth="1"/>
    <col min="1794" max="1794" width="11.6640625" style="71" customWidth="1"/>
    <col min="1795" max="1795" width="16.44140625" style="71" customWidth="1"/>
    <col min="1796" max="1796" width="11.6640625" style="71" customWidth="1"/>
    <col min="1797" max="1797" width="7.109375" style="71" customWidth="1"/>
    <col min="1798" max="1798" width="18.6640625" style="71" customWidth="1"/>
    <col min="1799" max="2048" width="9.6640625" style="71"/>
    <col min="2049" max="2049" width="33.6640625" style="71" customWidth="1"/>
    <col min="2050" max="2050" width="11.6640625" style="71" customWidth="1"/>
    <col min="2051" max="2051" width="16.44140625" style="71" customWidth="1"/>
    <col min="2052" max="2052" width="11.6640625" style="71" customWidth="1"/>
    <col min="2053" max="2053" width="7.109375" style="71" customWidth="1"/>
    <col min="2054" max="2054" width="18.6640625" style="71" customWidth="1"/>
    <col min="2055" max="2304" width="9.6640625" style="71"/>
    <col min="2305" max="2305" width="33.6640625" style="71" customWidth="1"/>
    <col min="2306" max="2306" width="11.6640625" style="71" customWidth="1"/>
    <col min="2307" max="2307" width="16.44140625" style="71" customWidth="1"/>
    <col min="2308" max="2308" width="11.6640625" style="71" customWidth="1"/>
    <col min="2309" max="2309" width="7.109375" style="71" customWidth="1"/>
    <col min="2310" max="2310" width="18.6640625" style="71" customWidth="1"/>
    <col min="2311" max="2560" width="9.6640625" style="71"/>
    <col min="2561" max="2561" width="33.6640625" style="71" customWidth="1"/>
    <col min="2562" max="2562" width="11.6640625" style="71" customWidth="1"/>
    <col min="2563" max="2563" width="16.44140625" style="71" customWidth="1"/>
    <col min="2564" max="2564" width="11.6640625" style="71" customWidth="1"/>
    <col min="2565" max="2565" width="7.109375" style="71" customWidth="1"/>
    <col min="2566" max="2566" width="18.6640625" style="71" customWidth="1"/>
    <col min="2567" max="2816" width="9.6640625" style="71"/>
    <col min="2817" max="2817" width="33.6640625" style="71" customWidth="1"/>
    <col min="2818" max="2818" width="11.6640625" style="71" customWidth="1"/>
    <col min="2819" max="2819" width="16.44140625" style="71" customWidth="1"/>
    <col min="2820" max="2820" width="11.6640625" style="71" customWidth="1"/>
    <col min="2821" max="2821" width="7.109375" style="71" customWidth="1"/>
    <col min="2822" max="2822" width="18.6640625" style="71" customWidth="1"/>
    <col min="2823" max="3072" width="9.6640625" style="71"/>
    <col min="3073" max="3073" width="33.6640625" style="71" customWidth="1"/>
    <col min="3074" max="3074" width="11.6640625" style="71" customWidth="1"/>
    <col min="3075" max="3075" width="16.44140625" style="71" customWidth="1"/>
    <col min="3076" max="3076" width="11.6640625" style="71" customWidth="1"/>
    <col min="3077" max="3077" width="7.109375" style="71" customWidth="1"/>
    <col min="3078" max="3078" width="18.6640625" style="71" customWidth="1"/>
    <col min="3079" max="3328" width="9.6640625" style="71"/>
    <col min="3329" max="3329" width="33.6640625" style="71" customWidth="1"/>
    <col min="3330" max="3330" width="11.6640625" style="71" customWidth="1"/>
    <col min="3331" max="3331" width="16.44140625" style="71" customWidth="1"/>
    <col min="3332" max="3332" width="11.6640625" style="71" customWidth="1"/>
    <col min="3333" max="3333" width="7.109375" style="71" customWidth="1"/>
    <col min="3334" max="3334" width="18.6640625" style="71" customWidth="1"/>
    <col min="3335" max="3584" width="9.6640625" style="71"/>
    <col min="3585" max="3585" width="33.6640625" style="71" customWidth="1"/>
    <col min="3586" max="3586" width="11.6640625" style="71" customWidth="1"/>
    <col min="3587" max="3587" width="16.44140625" style="71" customWidth="1"/>
    <col min="3588" max="3588" width="11.6640625" style="71" customWidth="1"/>
    <col min="3589" max="3589" width="7.109375" style="71" customWidth="1"/>
    <col min="3590" max="3590" width="18.6640625" style="71" customWidth="1"/>
    <col min="3591" max="3840" width="9.6640625" style="71"/>
    <col min="3841" max="3841" width="33.6640625" style="71" customWidth="1"/>
    <col min="3842" max="3842" width="11.6640625" style="71" customWidth="1"/>
    <col min="3843" max="3843" width="16.44140625" style="71" customWidth="1"/>
    <col min="3844" max="3844" width="11.6640625" style="71" customWidth="1"/>
    <col min="3845" max="3845" width="7.109375" style="71" customWidth="1"/>
    <col min="3846" max="3846" width="18.6640625" style="71" customWidth="1"/>
    <col min="3847" max="4096" width="9.6640625" style="71"/>
    <col min="4097" max="4097" width="33.6640625" style="71" customWidth="1"/>
    <col min="4098" max="4098" width="11.6640625" style="71" customWidth="1"/>
    <col min="4099" max="4099" width="16.44140625" style="71" customWidth="1"/>
    <col min="4100" max="4100" width="11.6640625" style="71" customWidth="1"/>
    <col min="4101" max="4101" width="7.109375" style="71" customWidth="1"/>
    <col min="4102" max="4102" width="18.6640625" style="71" customWidth="1"/>
    <col min="4103" max="4352" width="9.6640625" style="71"/>
    <col min="4353" max="4353" width="33.6640625" style="71" customWidth="1"/>
    <col min="4354" max="4354" width="11.6640625" style="71" customWidth="1"/>
    <col min="4355" max="4355" width="16.44140625" style="71" customWidth="1"/>
    <col min="4356" max="4356" width="11.6640625" style="71" customWidth="1"/>
    <col min="4357" max="4357" width="7.109375" style="71" customWidth="1"/>
    <col min="4358" max="4358" width="18.6640625" style="71" customWidth="1"/>
    <col min="4359" max="4608" width="9.6640625" style="71"/>
    <col min="4609" max="4609" width="33.6640625" style="71" customWidth="1"/>
    <col min="4610" max="4610" width="11.6640625" style="71" customWidth="1"/>
    <col min="4611" max="4611" width="16.44140625" style="71" customWidth="1"/>
    <col min="4612" max="4612" width="11.6640625" style="71" customWidth="1"/>
    <col min="4613" max="4613" width="7.109375" style="71" customWidth="1"/>
    <col min="4614" max="4614" width="18.6640625" style="71" customWidth="1"/>
    <col min="4615" max="4864" width="9.6640625" style="71"/>
    <col min="4865" max="4865" width="33.6640625" style="71" customWidth="1"/>
    <col min="4866" max="4866" width="11.6640625" style="71" customWidth="1"/>
    <col min="4867" max="4867" width="16.44140625" style="71" customWidth="1"/>
    <col min="4868" max="4868" width="11.6640625" style="71" customWidth="1"/>
    <col min="4869" max="4869" width="7.109375" style="71" customWidth="1"/>
    <col min="4870" max="4870" width="18.6640625" style="71" customWidth="1"/>
    <col min="4871" max="5120" width="9.6640625" style="71"/>
    <col min="5121" max="5121" width="33.6640625" style="71" customWidth="1"/>
    <col min="5122" max="5122" width="11.6640625" style="71" customWidth="1"/>
    <col min="5123" max="5123" width="16.44140625" style="71" customWidth="1"/>
    <col min="5124" max="5124" width="11.6640625" style="71" customWidth="1"/>
    <col min="5125" max="5125" width="7.109375" style="71" customWidth="1"/>
    <col min="5126" max="5126" width="18.6640625" style="71" customWidth="1"/>
    <col min="5127" max="5376" width="9.6640625" style="71"/>
    <col min="5377" max="5377" width="33.6640625" style="71" customWidth="1"/>
    <col min="5378" max="5378" width="11.6640625" style="71" customWidth="1"/>
    <col min="5379" max="5379" width="16.44140625" style="71" customWidth="1"/>
    <col min="5380" max="5380" width="11.6640625" style="71" customWidth="1"/>
    <col min="5381" max="5381" width="7.109375" style="71" customWidth="1"/>
    <col min="5382" max="5382" width="18.6640625" style="71" customWidth="1"/>
    <col min="5383" max="5632" width="9.6640625" style="71"/>
    <col min="5633" max="5633" width="33.6640625" style="71" customWidth="1"/>
    <col min="5634" max="5634" width="11.6640625" style="71" customWidth="1"/>
    <col min="5635" max="5635" width="16.44140625" style="71" customWidth="1"/>
    <col min="5636" max="5636" width="11.6640625" style="71" customWidth="1"/>
    <col min="5637" max="5637" width="7.109375" style="71" customWidth="1"/>
    <col min="5638" max="5638" width="18.6640625" style="71" customWidth="1"/>
    <col min="5639" max="5888" width="9.6640625" style="71"/>
    <col min="5889" max="5889" width="33.6640625" style="71" customWidth="1"/>
    <col min="5890" max="5890" width="11.6640625" style="71" customWidth="1"/>
    <col min="5891" max="5891" width="16.44140625" style="71" customWidth="1"/>
    <col min="5892" max="5892" width="11.6640625" style="71" customWidth="1"/>
    <col min="5893" max="5893" width="7.109375" style="71" customWidth="1"/>
    <col min="5894" max="5894" width="18.6640625" style="71" customWidth="1"/>
    <col min="5895" max="6144" width="9.6640625" style="71"/>
    <col min="6145" max="6145" width="33.6640625" style="71" customWidth="1"/>
    <col min="6146" max="6146" width="11.6640625" style="71" customWidth="1"/>
    <col min="6147" max="6147" width="16.44140625" style="71" customWidth="1"/>
    <col min="6148" max="6148" width="11.6640625" style="71" customWidth="1"/>
    <col min="6149" max="6149" width="7.109375" style="71" customWidth="1"/>
    <col min="6150" max="6150" width="18.6640625" style="71" customWidth="1"/>
    <col min="6151" max="6400" width="9.6640625" style="71"/>
    <col min="6401" max="6401" width="33.6640625" style="71" customWidth="1"/>
    <col min="6402" max="6402" width="11.6640625" style="71" customWidth="1"/>
    <col min="6403" max="6403" width="16.44140625" style="71" customWidth="1"/>
    <col min="6404" max="6404" width="11.6640625" style="71" customWidth="1"/>
    <col min="6405" max="6405" width="7.109375" style="71" customWidth="1"/>
    <col min="6406" max="6406" width="18.6640625" style="71" customWidth="1"/>
    <col min="6407" max="6656" width="9.6640625" style="71"/>
    <col min="6657" max="6657" width="33.6640625" style="71" customWidth="1"/>
    <col min="6658" max="6658" width="11.6640625" style="71" customWidth="1"/>
    <col min="6659" max="6659" width="16.44140625" style="71" customWidth="1"/>
    <col min="6660" max="6660" width="11.6640625" style="71" customWidth="1"/>
    <col min="6661" max="6661" width="7.109375" style="71" customWidth="1"/>
    <col min="6662" max="6662" width="18.6640625" style="71" customWidth="1"/>
    <col min="6663" max="6912" width="9.6640625" style="71"/>
    <col min="6913" max="6913" width="33.6640625" style="71" customWidth="1"/>
    <col min="6914" max="6914" width="11.6640625" style="71" customWidth="1"/>
    <col min="6915" max="6915" width="16.44140625" style="71" customWidth="1"/>
    <col min="6916" max="6916" width="11.6640625" style="71" customWidth="1"/>
    <col min="6917" max="6917" width="7.109375" style="71" customWidth="1"/>
    <col min="6918" max="6918" width="18.6640625" style="71" customWidth="1"/>
    <col min="6919" max="7168" width="9.6640625" style="71"/>
    <col min="7169" max="7169" width="33.6640625" style="71" customWidth="1"/>
    <col min="7170" max="7170" width="11.6640625" style="71" customWidth="1"/>
    <col min="7171" max="7171" width="16.44140625" style="71" customWidth="1"/>
    <col min="7172" max="7172" width="11.6640625" style="71" customWidth="1"/>
    <col min="7173" max="7173" width="7.109375" style="71" customWidth="1"/>
    <col min="7174" max="7174" width="18.6640625" style="71" customWidth="1"/>
    <col min="7175" max="7424" width="9.6640625" style="71"/>
    <col min="7425" max="7425" width="33.6640625" style="71" customWidth="1"/>
    <col min="7426" max="7426" width="11.6640625" style="71" customWidth="1"/>
    <col min="7427" max="7427" width="16.44140625" style="71" customWidth="1"/>
    <col min="7428" max="7428" width="11.6640625" style="71" customWidth="1"/>
    <col min="7429" max="7429" width="7.109375" style="71" customWidth="1"/>
    <col min="7430" max="7430" width="18.6640625" style="71" customWidth="1"/>
    <col min="7431" max="7680" width="9.6640625" style="71"/>
    <col min="7681" max="7681" width="33.6640625" style="71" customWidth="1"/>
    <col min="7682" max="7682" width="11.6640625" style="71" customWidth="1"/>
    <col min="7683" max="7683" width="16.44140625" style="71" customWidth="1"/>
    <col min="7684" max="7684" width="11.6640625" style="71" customWidth="1"/>
    <col min="7685" max="7685" width="7.109375" style="71" customWidth="1"/>
    <col min="7686" max="7686" width="18.6640625" style="71" customWidth="1"/>
    <col min="7687" max="7936" width="9.6640625" style="71"/>
    <col min="7937" max="7937" width="33.6640625" style="71" customWidth="1"/>
    <col min="7938" max="7938" width="11.6640625" style="71" customWidth="1"/>
    <col min="7939" max="7939" width="16.44140625" style="71" customWidth="1"/>
    <col min="7940" max="7940" width="11.6640625" style="71" customWidth="1"/>
    <col min="7941" max="7941" width="7.109375" style="71" customWidth="1"/>
    <col min="7942" max="7942" width="18.6640625" style="71" customWidth="1"/>
    <col min="7943" max="8192" width="9.6640625" style="71"/>
    <col min="8193" max="8193" width="33.6640625" style="71" customWidth="1"/>
    <col min="8194" max="8194" width="11.6640625" style="71" customWidth="1"/>
    <col min="8195" max="8195" width="16.44140625" style="71" customWidth="1"/>
    <col min="8196" max="8196" width="11.6640625" style="71" customWidth="1"/>
    <col min="8197" max="8197" width="7.109375" style="71" customWidth="1"/>
    <col min="8198" max="8198" width="18.6640625" style="71" customWidth="1"/>
    <col min="8199" max="8448" width="9.6640625" style="71"/>
    <col min="8449" max="8449" width="33.6640625" style="71" customWidth="1"/>
    <col min="8450" max="8450" width="11.6640625" style="71" customWidth="1"/>
    <col min="8451" max="8451" width="16.44140625" style="71" customWidth="1"/>
    <col min="8452" max="8452" width="11.6640625" style="71" customWidth="1"/>
    <col min="8453" max="8453" width="7.109375" style="71" customWidth="1"/>
    <col min="8454" max="8454" width="18.6640625" style="71" customWidth="1"/>
    <col min="8455" max="8704" width="9.6640625" style="71"/>
    <col min="8705" max="8705" width="33.6640625" style="71" customWidth="1"/>
    <col min="8706" max="8706" width="11.6640625" style="71" customWidth="1"/>
    <col min="8707" max="8707" width="16.44140625" style="71" customWidth="1"/>
    <col min="8708" max="8708" width="11.6640625" style="71" customWidth="1"/>
    <col min="8709" max="8709" width="7.109375" style="71" customWidth="1"/>
    <col min="8710" max="8710" width="18.6640625" style="71" customWidth="1"/>
    <col min="8711" max="8960" width="9.6640625" style="71"/>
    <col min="8961" max="8961" width="33.6640625" style="71" customWidth="1"/>
    <col min="8962" max="8962" width="11.6640625" style="71" customWidth="1"/>
    <col min="8963" max="8963" width="16.44140625" style="71" customWidth="1"/>
    <col min="8964" max="8964" width="11.6640625" style="71" customWidth="1"/>
    <col min="8965" max="8965" width="7.109375" style="71" customWidth="1"/>
    <col min="8966" max="8966" width="18.6640625" style="71" customWidth="1"/>
    <col min="8967" max="9216" width="9.6640625" style="71"/>
    <col min="9217" max="9217" width="33.6640625" style="71" customWidth="1"/>
    <col min="9218" max="9218" width="11.6640625" style="71" customWidth="1"/>
    <col min="9219" max="9219" width="16.44140625" style="71" customWidth="1"/>
    <col min="9220" max="9220" width="11.6640625" style="71" customWidth="1"/>
    <col min="9221" max="9221" width="7.109375" style="71" customWidth="1"/>
    <col min="9222" max="9222" width="18.6640625" style="71" customWidth="1"/>
    <col min="9223" max="9472" width="9.6640625" style="71"/>
    <col min="9473" max="9473" width="33.6640625" style="71" customWidth="1"/>
    <col min="9474" max="9474" width="11.6640625" style="71" customWidth="1"/>
    <col min="9475" max="9475" width="16.44140625" style="71" customWidth="1"/>
    <col min="9476" max="9476" width="11.6640625" style="71" customWidth="1"/>
    <col min="9477" max="9477" width="7.109375" style="71" customWidth="1"/>
    <col min="9478" max="9478" width="18.6640625" style="71" customWidth="1"/>
    <col min="9479" max="9728" width="9.6640625" style="71"/>
    <col min="9729" max="9729" width="33.6640625" style="71" customWidth="1"/>
    <col min="9730" max="9730" width="11.6640625" style="71" customWidth="1"/>
    <col min="9731" max="9731" width="16.44140625" style="71" customWidth="1"/>
    <col min="9732" max="9732" width="11.6640625" style="71" customWidth="1"/>
    <col min="9733" max="9733" width="7.109375" style="71" customWidth="1"/>
    <col min="9734" max="9734" width="18.6640625" style="71" customWidth="1"/>
    <col min="9735" max="9984" width="9.6640625" style="71"/>
    <col min="9985" max="9985" width="33.6640625" style="71" customWidth="1"/>
    <col min="9986" max="9986" width="11.6640625" style="71" customWidth="1"/>
    <col min="9987" max="9987" width="16.44140625" style="71" customWidth="1"/>
    <col min="9988" max="9988" width="11.6640625" style="71" customWidth="1"/>
    <col min="9989" max="9989" width="7.109375" style="71" customWidth="1"/>
    <col min="9990" max="9990" width="18.6640625" style="71" customWidth="1"/>
    <col min="9991" max="10240" width="9.6640625" style="71"/>
    <col min="10241" max="10241" width="33.6640625" style="71" customWidth="1"/>
    <col min="10242" max="10242" width="11.6640625" style="71" customWidth="1"/>
    <col min="10243" max="10243" width="16.44140625" style="71" customWidth="1"/>
    <col min="10244" max="10244" width="11.6640625" style="71" customWidth="1"/>
    <col min="10245" max="10245" width="7.109375" style="71" customWidth="1"/>
    <col min="10246" max="10246" width="18.6640625" style="71" customWidth="1"/>
    <col min="10247" max="10496" width="9.6640625" style="71"/>
    <col min="10497" max="10497" width="33.6640625" style="71" customWidth="1"/>
    <col min="10498" max="10498" width="11.6640625" style="71" customWidth="1"/>
    <col min="10499" max="10499" width="16.44140625" style="71" customWidth="1"/>
    <col min="10500" max="10500" width="11.6640625" style="71" customWidth="1"/>
    <col min="10501" max="10501" width="7.109375" style="71" customWidth="1"/>
    <col min="10502" max="10502" width="18.6640625" style="71" customWidth="1"/>
    <col min="10503" max="10752" width="9.6640625" style="71"/>
    <col min="10753" max="10753" width="33.6640625" style="71" customWidth="1"/>
    <col min="10754" max="10754" width="11.6640625" style="71" customWidth="1"/>
    <col min="10755" max="10755" width="16.44140625" style="71" customWidth="1"/>
    <col min="10756" max="10756" width="11.6640625" style="71" customWidth="1"/>
    <col min="10757" max="10757" width="7.109375" style="71" customWidth="1"/>
    <col min="10758" max="10758" width="18.6640625" style="71" customWidth="1"/>
    <col min="10759" max="11008" width="9.6640625" style="71"/>
    <col min="11009" max="11009" width="33.6640625" style="71" customWidth="1"/>
    <col min="11010" max="11010" width="11.6640625" style="71" customWidth="1"/>
    <col min="11011" max="11011" width="16.44140625" style="71" customWidth="1"/>
    <col min="11012" max="11012" width="11.6640625" style="71" customWidth="1"/>
    <col min="11013" max="11013" width="7.109375" style="71" customWidth="1"/>
    <col min="11014" max="11014" width="18.6640625" style="71" customWidth="1"/>
    <col min="11015" max="11264" width="9.6640625" style="71"/>
    <col min="11265" max="11265" width="33.6640625" style="71" customWidth="1"/>
    <col min="11266" max="11266" width="11.6640625" style="71" customWidth="1"/>
    <col min="11267" max="11267" width="16.44140625" style="71" customWidth="1"/>
    <col min="11268" max="11268" width="11.6640625" style="71" customWidth="1"/>
    <col min="11269" max="11269" width="7.109375" style="71" customWidth="1"/>
    <col min="11270" max="11270" width="18.6640625" style="71" customWidth="1"/>
    <col min="11271" max="11520" width="9.6640625" style="71"/>
    <col min="11521" max="11521" width="33.6640625" style="71" customWidth="1"/>
    <col min="11522" max="11522" width="11.6640625" style="71" customWidth="1"/>
    <col min="11523" max="11523" width="16.44140625" style="71" customWidth="1"/>
    <col min="11524" max="11524" width="11.6640625" style="71" customWidth="1"/>
    <col min="11525" max="11525" width="7.109375" style="71" customWidth="1"/>
    <col min="11526" max="11526" width="18.6640625" style="71" customWidth="1"/>
    <col min="11527" max="11776" width="9.6640625" style="71"/>
    <col min="11777" max="11777" width="33.6640625" style="71" customWidth="1"/>
    <col min="11778" max="11778" width="11.6640625" style="71" customWidth="1"/>
    <col min="11779" max="11779" width="16.44140625" style="71" customWidth="1"/>
    <col min="11780" max="11780" width="11.6640625" style="71" customWidth="1"/>
    <col min="11781" max="11781" width="7.109375" style="71" customWidth="1"/>
    <col min="11782" max="11782" width="18.6640625" style="71" customWidth="1"/>
    <col min="11783" max="12032" width="9.6640625" style="71"/>
    <col min="12033" max="12033" width="33.6640625" style="71" customWidth="1"/>
    <col min="12034" max="12034" width="11.6640625" style="71" customWidth="1"/>
    <col min="12035" max="12035" width="16.44140625" style="71" customWidth="1"/>
    <col min="12036" max="12036" width="11.6640625" style="71" customWidth="1"/>
    <col min="12037" max="12037" width="7.109375" style="71" customWidth="1"/>
    <col min="12038" max="12038" width="18.6640625" style="71" customWidth="1"/>
    <col min="12039" max="12288" width="9.6640625" style="71"/>
    <col min="12289" max="12289" width="33.6640625" style="71" customWidth="1"/>
    <col min="12290" max="12290" width="11.6640625" style="71" customWidth="1"/>
    <col min="12291" max="12291" width="16.44140625" style="71" customWidth="1"/>
    <col min="12292" max="12292" width="11.6640625" style="71" customWidth="1"/>
    <col min="12293" max="12293" width="7.109375" style="71" customWidth="1"/>
    <col min="12294" max="12294" width="18.6640625" style="71" customWidth="1"/>
    <col min="12295" max="12544" width="9.6640625" style="71"/>
    <col min="12545" max="12545" width="33.6640625" style="71" customWidth="1"/>
    <col min="12546" max="12546" width="11.6640625" style="71" customWidth="1"/>
    <col min="12547" max="12547" width="16.44140625" style="71" customWidth="1"/>
    <col min="12548" max="12548" width="11.6640625" style="71" customWidth="1"/>
    <col min="12549" max="12549" width="7.109375" style="71" customWidth="1"/>
    <col min="12550" max="12550" width="18.6640625" style="71" customWidth="1"/>
    <col min="12551" max="12800" width="9.6640625" style="71"/>
    <col min="12801" max="12801" width="33.6640625" style="71" customWidth="1"/>
    <col min="12802" max="12802" width="11.6640625" style="71" customWidth="1"/>
    <col min="12803" max="12803" width="16.44140625" style="71" customWidth="1"/>
    <col min="12804" max="12804" width="11.6640625" style="71" customWidth="1"/>
    <col min="12805" max="12805" width="7.109375" style="71" customWidth="1"/>
    <col min="12806" max="12806" width="18.6640625" style="71" customWidth="1"/>
    <col min="12807" max="13056" width="9.6640625" style="71"/>
    <col min="13057" max="13057" width="33.6640625" style="71" customWidth="1"/>
    <col min="13058" max="13058" width="11.6640625" style="71" customWidth="1"/>
    <col min="13059" max="13059" width="16.44140625" style="71" customWidth="1"/>
    <col min="13060" max="13060" width="11.6640625" style="71" customWidth="1"/>
    <col min="13061" max="13061" width="7.109375" style="71" customWidth="1"/>
    <col min="13062" max="13062" width="18.6640625" style="71" customWidth="1"/>
    <col min="13063" max="13312" width="9.6640625" style="71"/>
    <col min="13313" max="13313" width="33.6640625" style="71" customWidth="1"/>
    <col min="13314" max="13314" width="11.6640625" style="71" customWidth="1"/>
    <col min="13315" max="13315" width="16.44140625" style="71" customWidth="1"/>
    <col min="13316" max="13316" width="11.6640625" style="71" customWidth="1"/>
    <col min="13317" max="13317" width="7.109375" style="71" customWidth="1"/>
    <col min="13318" max="13318" width="18.6640625" style="71" customWidth="1"/>
    <col min="13319" max="13568" width="9.6640625" style="71"/>
    <col min="13569" max="13569" width="33.6640625" style="71" customWidth="1"/>
    <col min="13570" max="13570" width="11.6640625" style="71" customWidth="1"/>
    <col min="13571" max="13571" width="16.44140625" style="71" customWidth="1"/>
    <col min="13572" max="13572" width="11.6640625" style="71" customWidth="1"/>
    <col min="13573" max="13573" width="7.109375" style="71" customWidth="1"/>
    <col min="13574" max="13574" width="18.6640625" style="71" customWidth="1"/>
    <col min="13575" max="13824" width="9.6640625" style="71"/>
    <col min="13825" max="13825" width="33.6640625" style="71" customWidth="1"/>
    <col min="13826" max="13826" width="11.6640625" style="71" customWidth="1"/>
    <col min="13827" max="13827" width="16.44140625" style="71" customWidth="1"/>
    <col min="13828" max="13828" width="11.6640625" style="71" customWidth="1"/>
    <col min="13829" max="13829" width="7.109375" style="71" customWidth="1"/>
    <col min="13830" max="13830" width="18.6640625" style="71" customWidth="1"/>
    <col min="13831" max="14080" width="9.6640625" style="71"/>
    <col min="14081" max="14081" width="33.6640625" style="71" customWidth="1"/>
    <col min="14082" max="14082" width="11.6640625" style="71" customWidth="1"/>
    <col min="14083" max="14083" width="16.44140625" style="71" customWidth="1"/>
    <col min="14084" max="14084" width="11.6640625" style="71" customWidth="1"/>
    <col min="14085" max="14085" width="7.109375" style="71" customWidth="1"/>
    <col min="14086" max="14086" width="18.6640625" style="71" customWidth="1"/>
    <col min="14087" max="14336" width="9.6640625" style="71"/>
    <col min="14337" max="14337" width="33.6640625" style="71" customWidth="1"/>
    <col min="14338" max="14338" width="11.6640625" style="71" customWidth="1"/>
    <col min="14339" max="14339" width="16.44140625" style="71" customWidth="1"/>
    <col min="14340" max="14340" width="11.6640625" style="71" customWidth="1"/>
    <col min="14341" max="14341" width="7.109375" style="71" customWidth="1"/>
    <col min="14342" max="14342" width="18.6640625" style="71" customWidth="1"/>
    <col min="14343" max="14592" width="9.6640625" style="71"/>
    <col min="14593" max="14593" width="33.6640625" style="71" customWidth="1"/>
    <col min="14594" max="14594" width="11.6640625" style="71" customWidth="1"/>
    <col min="14595" max="14595" width="16.44140625" style="71" customWidth="1"/>
    <col min="14596" max="14596" width="11.6640625" style="71" customWidth="1"/>
    <col min="14597" max="14597" width="7.109375" style="71" customWidth="1"/>
    <col min="14598" max="14598" width="18.6640625" style="71" customWidth="1"/>
    <col min="14599" max="14848" width="9.6640625" style="71"/>
    <col min="14849" max="14849" width="33.6640625" style="71" customWidth="1"/>
    <col min="14850" max="14850" width="11.6640625" style="71" customWidth="1"/>
    <col min="14851" max="14851" width="16.44140625" style="71" customWidth="1"/>
    <col min="14852" max="14852" width="11.6640625" style="71" customWidth="1"/>
    <col min="14853" max="14853" width="7.109375" style="71" customWidth="1"/>
    <col min="14854" max="14854" width="18.6640625" style="71" customWidth="1"/>
    <col min="14855" max="15104" width="9.6640625" style="71"/>
    <col min="15105" max="15105" width="33.6640625" style="71" customWidth="1"/>
    <col min="15106" max="15106" width="11.6640625" style="71" customWidth="1"/>
    <col min="15107" max="15107" width="16.44140625" style="71" customWidth="1"/>
    <col min="15108" max="15108" width="11.6640625" style="71" customWidth="1"/>
    <col min="15109" max="15109" width="7.109375" style="71" customWidth="1"/>
    <col min="15110" max="15110" width="18.6640625" style="71" customWidth="1"/>
    <col min="15111" max="15360" width="9.6640625" style="71"/>
    <col min="15361" max="15361" width="33.6640625" style="71" customWidth="1"/>
    <col min="15362" max="15362" width="11.6640625" style="71" customWidth="1"/>
    <col min="15363" max="15363" width="16.44140625" style="71" customWidth="1"/>
    <col min="15364" max="15364" width="11.6640625" style="71" customWidth="1"/>
    <col min="15365" max="15365" width="7.109375" style="71" customWidth="1"/>
    <col min="15366" max="15366" width="18.6640625" style="71" customWidth="1"/>
    <col min="15367" max="15616" width="9.6640625" style="71"/>
    <col min="15617" max="15617" width="33.6640625" style="71" customWidth="1"/>
    <col min="15618" max="15618" width="11.6640625" style="71" customWidth="1"/>
    <col min="15619" max="15619" width="16.44140625" style="71" customWidth="1"/>
    <col min="15620" max="15620" width="11.6640625" style="71" customWidth="1"/>
    <col min="15621" max="15621" width="7.109375" style="71" customWidth="1"/>
    <col min="15622" max="15622" width="18.6640625" style="71" customWidth="1"/>
    <col min="15623" max="15872" width="9.6640625" style="71"/>
    <col min="15873" max="15873" width="33.6640625" style="71" customWidth="1"/>
    <col min="15874" max="15874" width="11.6640625" style="71" customWidth="1"/>
    <col min="15875" max="15875" width="16.44140625" style="71" customWidth="1"/>
    <col min="15876" max="15876" width="11.6640625" style="71" customWidth="1"/>
    <col min="15877" max="15877" width="7.109375" style="71" customWidth="1"/>
    <col min="15878" max="15878" width="18.6640625" style="71" customWidth="1"/>
    <col min="15879" max="16128" width="9.6640625" style="71"/>
    <col min="16129" max="16129" width="33.6640625" style="71" customWidth="1"/>
    <col min="16130" max="16130" width="11.6640625" style="71" customWidth="1"/>
    <col min="16131" max="16131" width="16.44140625" style="71" customWidth="1"/>
    <col min="16132" max="16132" width="11.6640625" style="71" customWidth="1"/>
    <col min="16133" max="16133" width="7.109375" style="71" customWidth="1"/>
    <col min="16134" max="16134" width="18.6640625" style="71" customWidth="1"/>
    <col min="16135" max="16384" width="9.6640625" style="71"/>
  </cols>
  <sheetData>
    <row r="1" spans="1:7" x14ac:dyDescent="0.25">
      <c r="A1" s="70" t="str">
        <f>"dp Trockner_Betrieb "&amp;TEXT([2]Behälter!B9,"0000")</f>
        <v>dp Trockner_Betrieb 12960</v>
      </c>
    </row>
    <row r="2" spans="1:7" ht="27" customHeight="1" x14ac:dyDescent="0.35">
      <c r="B2" s="72" t="s">
        <v>232</v>
      </c>
      <c r="C2" s="73"/>
      <c r="D2" s="73"/>
    </row>
    <row r="3" spans="1:7" ht="48" customHeight="1" x14ac:dyDescent="0.25">
      <c r="A3" s="74" t="s">
        <v>233</v>
      </c>
    </row>
    <row r="5" spans="1:7" ht="29.1" customHeight="1" x14ac:dyDescent="0.25"/>
    <row r="6" spans="1:7" ht="29.1" customHeight="1" x14ac:dyDescent="0.3">
      <c r="A6" s="75" t="s">
        <v>234</v>
      </c>
      <c r="B6" s="76"/>
      <c r="C6" s="76"/>
      <c r="D6" s="76"/>
      <c r="E6" s="77"/>
      <c r="F6" s="78"/>
      <c r="G6" s="78"/>
    </row>
    <row r="7" spans="1:7" ht="29.1" customHeight="1" x14ac:dyDescent="0.3">
      <c r="A7" s="79" t="s">
        <v>235</v>
      </c>
      <c r="B7" s="80"/>
      <c r="C7" s="80"/>
      <c r="D7" s="80"/>
      <c r="E7" s="81"/>
    </row>
    <row r="8" spans="1:7" ht="29.1" customHeight="1" x14ac:dyDescent="0.25">
      <c r="A8" s="78"/>
      <c r="B8" s="78"/>
      <c r="C8" s="78"/>
    </row>
    <row r="9" spans="1:7" ht="15.9" customHeight="1" x14ac:dyDescent="0.25">
      <c r="A9" s="82" t="s">
        <v>236</v>
      </c>
      <c r="B9" s="70"/>
      <c r="C9" s="82">
        <v>9.8000000000000007</v>
      </c>
      <c r="D9" s="71" t="s">
        <v>237</v>
      </c>
    </row>
    <row r="10" spans="1:7" ht="15.9" customHeight="1" x14ac:dyDescent="0.25">
      <c r="A10" s="82" t="s">
        <v>238</v>
      </c>
      <c r="C10" s="82" t="s">
        <v>239</v>
      </c>
    </row>
    <row r="11" spans="1:7" ht="15.9" customHeight="1" x14ac:dyDescent="0.25">
      <c r="A11" s="82" t="s">
        <v>240</v>
      </c>
      <c r="C11" s="82" t="s">
        <v>241</v>
      </c>
    </row>
    <row r="12" spans="1:7" ht="15.9" customHeight="1" x14ac:dyDescent="0.25">
      <c r="A12" s="82" t="s">
        <v>242</v>
      </c>
      <c r="C12" s="82" t="s">
        <v>143</v>
      </c>
    </row>
    <row r="13" spans="1:7" ht="15.9" customHeight="1" x14ac:dyDescent="0.25">
      <c r="A13" s="82" t="s">
        <v>243</v>
      </c>
      <c r="C13" s="70"/>
    </row>
    <row r="14" spans="1:7" ht="15.9" customHeight="1" x14ac:dyDescent="0.25">
      <c r="A14" s="82" t="s">
        <v>244</v>
      </c>
      <c r="C14" s="82" t="s">
        <v>33</v>
      </c>
    </row>
    <row r="15" spans="1:7" ht="15.9" customHeight="1" x14ac:dyDescent="0.25">
      <c r="A15" s="82" t="s">
        <v>245</v>
      </c>
      <c r="C15" s="82" t="s">
        <v>246</v>
      </c>
    </row>
    <row r="16" spans="1:7" ht="15.9" customHeight="1" x14ac:dyDescent="0.25">
      <c r="A16" s="82" t="s">
        <v>247</v>
      </c>
      <c r="C16" s="70"/>
    </row>
    <row r="17" spans="1:6" ht="15.9" customHeight="1" x14ac:dyDescent="0.25">
      <c r="A17" s="82" t="s">
        <v>248</v>
      </c>
    </row>
    <row r="18" spans="1:6" ht="15.9" customHeight="1" x14ac:dyDescent="0.25">
      <c r="A18" s="82" t="s">
        <v>249</v>
      </c>
    </row>
    <row r="20" spans="1:6" ht="39.9" customHeight="1" x14ac:dyDescent="0.25"/>
    <row r="21" spans="1:6" ht="20.100000000000001" customHeight="1" x14ac:dyDescent="0.25">
      <c r="A21" s="83"/>
      <c r="B21" s="84" t="s">
        <v>250</v>
      </c>
      <c r="C21" s="84" t="s">
        <v>251</v>
      </c>
      <c r="D21" s="84" t="s">
        <v>252</v>
      </c>
      <c r="E21" s="84" t="s">
        <v>253</v>
      </c>
    </row>
    <row r="22" spans="1:6" ht="20.100000000000001" customHeight="1" x14ac:dyDescent="0.25">
      <c r="A22" s="85" t="s">
        <v>254</v>
      </c>
      <c r="B22" s="83">
        <v>0.37</v>
      </c>
      <c r="C22" s="83">
        <v>3.8999999999999998E-3</v>
      </c>
      <c r="D22" s="83">
        <v>200</v>
      </c>
      <c r="E22" s="83">
        <v>1.754</v>
      </c>
    </row>
    <row r="23" spans="1:6" ht="20.100000000000001" customHeight="1" x14ac:dyDescent="0.25">
      <c r="A23" s="85" t="s">
        <v>255</v>
      </c>
      <c r="B23" s="83">
        <v>0.45</v>
      </c>
      <c r="C23" s="83">
        <v>3.0000000000000001E-3</v>
      </c>
      <c r="D23" s="83">
        <v>150</v>
      </c>
      <c r="E23" s="83">
        <v>1.75</v>
      </c>
    </row>
    <row r="24" spans="1:6" ht="20.100000000000001" customHeight="1" x14ac:dyDescent="0.25">
      <c r="A24" s="85" t="s">
        <v>256</v>
      </c>
      <c r="B24" s="83">
        <v>0.37</v>
      </c>
      <c r="C24" s="83">
        <v>3.7000000000000002E-3</v>
      </c>
      <c r="D24" s="83">
        <v>150</v>
      </c>
      <c r="E24" s="83">
        <v>1.75</v>
      </c>
    </row>
    <row r="25" spans="1:6" ht="20.100000000000001" customHeight="1" x14ac:dyDescent="0.25">
      <c r="A25" s="85" t="s">
        <v>257</v>
      </c>
      <c r="B25" s="83">
        <v>0.42</v>
      </c>
      <c r="C25" s="83">
        <v>7.0000000000000001E-3</v>
      </c>
      <c r="D25" s="83">
        <v>150</v>
      </c>
      <c r="E25" s="83">
        <v>1.75</v>
      </c>
    </row>
    <row r="28" spans="1:6" x14ac:dyDescent="0.25">
      <c r="A28" s="82" t="s">
        <v>258</v>
      </c>
    </row>
    <row r="29" spans="1:6" x14ac:dyDescent="0.25">
      <c r="F29" s="86" t="s">
        <v>259</v>
      </c>
    </row>
    <row r="30" spans="1:6" x14ac:dyDescent="0.25">
      <c r="A30" s="74" t="s">
        <v>260</v>
      </c>
      <c r="C30" s="87" t="s">
        <v>306</v>
      </c>
    </row>
    <row r="31" spans="1:6" x14ac:dyDescent="0.25">
      <c r="A31" s="74" t="s">
        <v>261</v>
      </c>
      <c r="C31" s="78">
        <f>'Total-Power-Consumption'!D2</f>
        <v>12000</v>
      </c>
      <c r="D31" s="74" t="s">
        <v>262</v>
      </c>
    </row>
    <row r="32" spans="1:6" x14ac:dyDescent="0.25">
      <c r="A32" s="74" t="s">
        <v>263</v>
      </c>
      <c r="C32" s="88">
        <f>1.013*C31/273*(273+C34)/C33</f>
        <v>420.85643388869187</v>
      </c>
      <c r="D32" s="74" t="s">
        <v>54</v>
      </c>
    </row>
    <row r="33" spans="1:6" x14ac:dyDescent="0.25">
      <c r="A33" s="74" t="s">
        <v>264</v>
      </c>
      <c r="C33" s="78">
        <f>[2]Behälter!C15</f>
        <v>31</v>
      </c>
      <c r="D33" s="74" t="s">
        <v>265</v>
      </c>
    </row>
    <row r="34" spans="1:6" x14ac:dyDescent="0.25">
      <c r="A34" s="74" t="s">
        <v>266</v>
      </c>
      <c r="C34" s="78">
        <f>[2]Behälter!C16</f>
        <v>20</v>
      </c>
      <c r="D34" s="74" t="s">
        <v>4</v>
      </c>
    </row>
    <row r="35" spans="1:6" x14ac:dyDescent="0.25">
      <c r="A35" s="74" t="s">
        <v>267</v>
      </c>
      <c r="C35" s="78">
        <f>'Vessel&amp;Mol_Sieve'!B12</f>
        <v>4756.9947929122454</v>
      </c>
      <c r="D35" s="74" t="s">
        <v>268</v>
      </c>
    </row>
    <row r="36" spans="1:6" x14ac:dyDescent="0.25">
      <c r="A36" s="74" t="s">
        <v>269</v>
      </c>
      <c r="C36" s="89">
        <f>C31/C35*1000</f>
        <v>2522.6010375036731</v>
      </c>
      <c r="D36" s="74" t="s">
        <v>270</v>
      </c>
    </row>
    <row r="37" spans="1:6" x14ac:dyDescent="0.25">
      <c r="A37" s="74" t="s">
        <v>271</v>
      </c>
      <c r="C37" s="78">
        <v>0.72</v>
      </c>
      <c r="D37" s="74" t="s">
        <v>272</v>
      </c>
    </row>
    <row r="38" spans="1:6" x14ac:dyDescent="0.25">
      <c r="A38" s="74" t="s">
        <v>273</v>
      </c>
      <c r="C38" s="89">
        <f>'Vessel&amp;Mol_Sieve'!B13</f>
        <v>1816.2727470026446</v>
      </c>
      <c r="D38" s="74" t="s">
        <v>62</v>
      </c>
    </row>
    <row r="39" spans="1:6" x14ac:dyDescent="0.25">
      <c r="A39" s="74" t="s">
        <v>274</v>
      </c>
      <c r="C39" s="78">
        <f>'Vessel&amp;Mol_Sieve'!N22</f>
        <v>1016</v>
      </c>
      <c r="D39" s="74" t="s">
        <v>239</v>
      </c>
    </row>
    <row r="40" spans="1:6" x14ac:dyDescent="0.25">
      <c r="A40" s="74" t="s">
        <v>275</v>
      </c>
      <c r="C40" s="78">
        <f>'Vessel&amp;Mol_Sieve'!N29</f>
        <v>18.550863723608444</v>
      </c>
      <c r="D40" s="74" t="s">
        <v>239</v>
      </c>
    </row>
    <row r="41" spans="1:6" x14ac:dyDescent="0.25">
      <c r="A41" s="74" t="s">
        <v>276</v>
      </c>
      <c r="B41" s="74" t="s">
        <v>277</v>
      </c>
      <c r="C41" s="90">
        <f>4*C36/((C39-2*C40)^2*PI())*1000</f>
        <v>3.3518421996047087</v>
      </c>
      <c r="D41" s="74" t="s">
        <v>33</v>
      </c>
    </row>
    <row r="42" spans="1:6" x14ac:dyDescent="0.25">
      <c r="A42" s="74" t="s">
        <v>278</v>
      </c>
      <c r="B42" s="91" t="s">
        <v>149</v>
      </c>
      <c r="C42" s="78">
        <v>100</v>
      </c>
    </row>
    <row r="43" spans="1:6" x14ac:dyDescent="0.25">
      <c r="A43" s="74" t="s">
        <v>279</v>
      </c>
      <c r="C43" s="78">
        <v>30</v>
      </c>
      <c r="D43" s="74" t="s">
        <v>143</v>
      </c>
    </row>
    <row r="44" spans="1:6" x14ac:dyDescent="0.25">
      <c r="A44" s="74" t="s">
        <v>280</v>
      </c>
      <c r="C44" s="89">
        <f>SQRT(4*C32/(C43*3600*PI()))*1000</f>
        <v>70.438511028815071</v>
      </c>
      <c r="D44" s="74" t="s">
        <v>239</v>
      </c>
    </row>
    <row r="45" spans="1:6" x14ac:dyDescent="0.25">
      <c r="A45" s="74" t="s">
        <v>281</v>
      </c>
      <c r="B45" s="74" t="s">
        <v>282</v>
      </c>
      <c r="C45" s="71">
        <v>9.8000000000000007</v>
      </c>
      <c r="D45" s="74" t="s">
        <v>143</v>
      </c>
    </row>
    <row r="46" spans="1:6" x14ac:dyDescent="0.25">
      <c r="A46" s="74" t="s">
        <v>283</v>
      </c>
      <c r="B46" s="74" t="s">
        <v>284</v>
      </c>
      <c r="C46" s="92">
        <v>8.8000000000000004E-6</v>
      </c>
      <c r="D46" s="74" t="s">
        <v>241</v>
      </c>
      <c r="F46" s="86" t="s">
        <v>259</v>
      </c>
    </row>
    <row r="47" spans="1:6" x14ac:dyDescent="0.25">
      <c r="A47" s="74" t="s">
        <v>285</v>
      </c>
      <c r="B47" s="74" t="s">
        <v>286</v>
      </c>
      <c r="C47" s="88">
        <f>C32*4/(((C39-(2*C40))/1000)^2*PI()*3600)</f>
        <v>0.15533397805051277</v>
      </c>
      <c r="D47" s="74" t="s">
        <v>143</v>
      </c>
    </row>
    <row r="48" spans="1:6" x14ac:dyDescent="0.25">
      <c r="A48" s="74" t="s">
        <v>287</v>
      </c>
      <c r="D48" s="74" t="s">
        <v>288</v>
      </c>
    </row>
    <row r="49" spans="1:6" x14ac:dyDescent="0.25">
      <c r="A49" s="74" t="s">
        <v>289</v>
      </c>
      <c r="B49" s="74" t="s">
        <v>290</v>
      </c>
      <c r="C49" s="78">
        <f>VLOOKUP(B56,A22:E25,3)</f>
        <v>3.8999999999999998E-3</v>
      </c>
      <c r="D49" s="74" t="s">
        <v>33</v>
      </c>
    </row>
    <row r="50" spans="1:6" x14ac:dyDescent="0.25">
      <c r="A50" s="74" t="s">
        <v>291</v>
      </c>
      <c r="B50" s="74" t="s">
        <v>292</v>
      </c>
      <c r="C50" s="78">
        <f>2.517</f>
        <v>2.5169999999999999</v>
      </c>
      <c r="D50" s="74" t="s">
        <v>246</v>
      </c>
      <c r="F50" s="86" t="s">
        <v>259</v>
      </c>
    </row>
    <row r="51" spans="1:6" x14ac:dyDescent="0.25">
      <c r="A51" s="74" t="s">
        <v>293</v>
      </c>
      <c r="B51" s="74" t="s">
        <v>294</v>
      </c>
      <c r="C51" s="78">
        <f>VLOOKUP(B56,A22:E25,2)</f>
        <v>0.37</v>
      </c>
      <c r="D51" s="74" t="s">
        <v>288</v>
      </c>
    </row>
    <row r="52" spans="1:6" x14ac:dyDescent="0.25">
      <c r="A52" s="74" t="s">
        <v>295</v>
      </c>
      <c r="C52" s="78"/>
      <c r="D52" s="74" t="s">
        <v>288</v>
      </c>
    </row>
    <row r="53" spans="1:6" x14ac:dyDescent="0.25">
      <c r="A53" s="74" t="s">
        <v>296</v>
      </c>
      <c r="B53" s="74" t="s">
        <v>297</v>
      </c>
      <c r="C53" s="78">
        <f>VLOOKUP(B56,A22:E25,4)</f>
        <v>200</v>
      </c>
      <c r="D53" s="74" t="s">
        <v>288</v>
      </c>
    </row>
    <row r="54" spans="1:6" x14ac:dyDescent="0.25">
      <c r="A54" s="74" t="s">
        <v>298</v>
      </c>
      <c r="B54" s="74" t="s">
        <v>299</v>
      </c>
      <c r="C54" s="78">
        <f>VLOOKUP(B56,A22:E25,5)</f>
        <v>1.754</v>
      </c>
      <c r="D54" s="74" t="s">
        <v>288</v>
      </c>
    </row>
    <row r="56" spans="1:6" x14ac:dyDescent="0.25">
      <c r="A56" s="82" t="s">
        <v>300</v>
      </c>
      <c r="B56" s="213" t="s">
        <v>254</v>
      </c>
      <c r="C56" s="213"/>
      <c r="D56" s="70"/>
    </row>
    <row r="57" spans="1:6" x14ac:dyDescent="0.25">
      <c r="A57" s="70"/>
      <c r="B57" s="70"/>
      <c r="C57" s="70"/>
      <c r="D57" s="70"/>
    </row>
    <row r="58" spans="1:6" ht="18" x14ac:dyDescent="0.35">
      <c r="A58" s="93" t="s">
        <v>301</v>
      </c>
      <c r="B58" s="94"/>
      <c r="C58" s="95">
        <f>((C53*(1-C51)^2/C51^3*C46*C47/C49^2)+(C54*(1-C51)/C51^3*C50*C47^2/C49))*C41/C45</f>
        <v>164.36214387911616</v>
      </c>
      <c r="D58" s="93" t="s">
        <v>302</v>
      </c>
    </row>
    <row r="59" spans="1:6" x14ac:dyDescent="0.25">
      <c r="C59" s="71">
        <f>C58/10</f>
        <v>16.436214387911615</v>
      </c>
      <c r="D59" s="71" t="s">
        <v>303</v>
      </c>
    </row>
    <row r="62" spans="1:6" x14ac:dyDescent="0.25">
      <c r="A62" s="71" t="s">
        <v>304</v>
      </c>
      <c r="C62" s="96">
        <f>(POWER((C39-(2*C40)),2)*PI()/4/100000*C59)+C38</f>
        <v>1939.9719219592353</v>
      </c>
      <c r="D62" s="71" t="s">
        <v>62</v>
      </c>
    </row>
    <row r="63" spans="1:6" x14ac:dyDescent="0.25">
      <c r="A63" s="71" t="s">
        <v>305</v>
      </c>
    </row>
    <row r="66" spans="1:7" x14ac:dyDescent="0.25">
      <c r="A66" s="78"/>
      <c r="B66" s="78"/>
      <c r="C66" s="78"/>
      <c r="D66" s="78"/>
      <c r="E66" s="78"/>
      <c r="F66" s="78"/>
      <c r="G66" s="78"/>
    </row>
    <row r="67" spans="1:7" ht="5.0999999999999996" customHeight="1" x14ac:dyDescent="0.25">
      <c r="A67" s="78"/>
      <c r="B67" s="78"/>
      <c r="C67" s="78"/>
      <c r="D67" s="78"/>
      <c r="E67" s="78"/>
      <c r="F67" s="78"/>
      <c r="G67" s="78"/>
    </row>
    <row r="68" spans="1:7" x14ac:dyDescent="0.25">
      <c r="D68" s="78"/>
      <c r="E68" s="78"/>
      <c r="F68" s="78"/>
      <c r="G68" s="78"/>
    </row>
  </sheetData>
  <mergeCells count="1">
    <mergeCell ref="B56:C56"/>
  </mergeCells>
  <dataValidations count="1">
    <dataValidation type="list" allowBlank="1" showInputMessage="1" showErrorMessage="1" sqref="B56:C56" xr:uid="{5A73DBE2-F970-4519-979F-104D366697FE}">
      <formula1>$A$22:$A$25</formula1>
    </dataValidation>
  </dataValidations>
  <pageMargins left="1.5" right="1" top="1" bottom="1" header="0.4921259845" footer="0.4921259845"/>
  <pageSetup paperSize="9" scale="82" orientation="portrait" r:id="rId1"/>
  <headerFooter alignWithMargins="0"/>
  <rowBreaks count="1" manualBreakCount="1">
    <brk id="26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143-CD25-46D5-B189-C34759F4E499}">
  <dimension ref="A1:B25"/>
  <sheetViews>
    <sheetView workbookViewId="0">
      <selection activeCell="E17" sqref="E17"/>
    </sheetView>
  </sheetViews>
  <sheetFormatPr defaultRowHeight="14.4" x14ac:dyDescent="0.3"/>
  <cols>
    <col min="2" max="2" width="23.109375" customWidth="1"/>
  </cols>
  <sheetData>
    <row r="1" spans="1:2" x14ac:dyDescent="0.3">
      <c r="A1" t="s">
        <v>1</v>
      </c>
      <c r="B1" t="s">
        <v>321</v>
      </c>
    </row>
    <row r="2" spans="1:2" x14ac:dyDescent="0.3">
      <c r="A2">
        <v>1000</v>
      </c>
      <c r="B2">
        <v>50</v>
      </c>
    </row>
    <row r="3" spans="1:2" x14ac:dyDescent="0.3">
      <c r="A3">
        <v>2000</v>
      </c>
      <c r="B3">
        <v>60</v>
      </c>
    </row>
    <row r="4" spans="1:2" x14ac:dyDescent="0.3">
      <c r="A4">
        <v>3000</v>
      </c>
      <c r="B4">
        <v>60</v>
      </c>
    </row>
    <row r="5" spans="1:2" x14ac:dyDescent="0.3">
      <c r="A5">
        <v>4000</v>
      </c>
      <c r="B5">
        <v>100</v>
      </c>
    </row>
    <row r="6" spans="1:2" x14ac:dyDescent="0.3">
      <c r="A6">
        <v>5000</v>
      </c>
      <c r="B6">
        <v>100</v>
      </c>
    </row>
    <row r="7" spans="1:2" x14ac:dyDescent="0.3">
      <c r="A7">
        <v>6000</v>
      </c>
      <c r="B7">
        <v>100</v>
      </c>
    </row>
    <row r="8" spans="1:2" x14ac:dyDescent="0.3">
      <c r="A8">
        <v>7000</v>
      </c>
      <c r="B8">
        <v>100</v>
      </c>
    </row>
    <row r="9" spans="1:2" x14ac:dyDescent="0.3">
      <c r="A9">
        <v>8000</v>
      </c>
      <c r="B9">
        <v>100</v>
      </c>
    </row>
    <row r="10" spans="1:2" x14ac:dyDescent="0.3">
      <c r="A10">
        <v>9000</v>
      </c>
      <c r="B10">
        <v>100</v>
      </c>
    </row>
    <row r="11" spans="1:2" x14ac:dyDescent="0.3">
      <c r="A11">
        <v>10000</v>
      </c>
      <c r="B11">
        <v>100</v>
      </c>
    </row>
    <row r="12" spans="1:2" x14ac:dyDescent="0.3">
      <c r="A12">
        <v>11000</v>
      </c>
      <c r="B12">
        <v>100</v>
      </c>
    </row>
    <row r="13" spans="1:2" x14ac:dyDescent="0.3">
      <c r="A13">
        <v>12000</v>
      </c>
      <c r="B13">
        <v>150</v>
      </c>
    </row>
    <row r="14" spans="1:2" x14ac:dyDescent="0.3">
      <c r="A14">
        <v>13000</v>
      </c>
      <c r="B14">
        <v>150</v>
      </c>
    </row>
    <row r="15" spans="1:2" x14ac:dyDescent="0.3">
      <c r="A15">
        <v>14000</v>
      </c>
      <c r="B15">
        <v>150</v>
      </c>
    </row>
    <row r="16" spans="1:2" x14ac:dyDescent="0.3">
      <c r="A16">
        <v>15000</v>
      </c>
      <c r="B16">
        <v>150</v>
      </c>
    </row>
    <row r="17" spans="1:2" x14ac:dyDescent="0.3">
      <c r="A17">
        <v>16000</v>
      </c>
      <c r="B17">
        <v>150</v>
      </c>
    </row>
    <row r="18" spans="1:2" x14ac:dyDescent="0.3">
      <c r="A18">
        <v>17000</v>
      </c>
      <c r="B18">
        <v>150</v>
      </c>
    </row>
    <row r="19" spans="1:2" x14ac:dyDescent="0.3">
      <c r="A19">
        <v>18000</v>
      </c>
      <c r="B19">
        <v>150</v>
      </c>
    </row>
    <row r="20" spans="1:2" x14ac:dyDescent="0.3">
      <c r="A20">
        <v>19000</v>
      </c>
      <c r="B20">
        <v>150</v>
      </c>
    </row>
    <row r="21" spans="1:2" x14ac:dyDescent="0.3">
      <c r="A21">
        <v>20000</v>
      </c>
      <c r="B21">
        <v>150</v>
      </c>
    </row>
    <row r="22" spans="1:2" x14ac:dyDescent="0.3">
      <c r="A22">
        <v>21000</v>
      </c>
      <c r="B22">
        <v>150</v>
      </c>
    </row>
    <row r="23" spans="1:2" x14ac:dyDescent="0.3">
      <c r="A23">
        <v>22000</v>
      </c>
      <c r="B23">
        <v>150</v>
      </c>
    </row>
    <row r="24" spans="1:2" x14ac:dyDescent="0.3">
      <c r="A24">
        <v>23000</v>
      </c>
      <c r="B24">
        <v>150</v>
      </c>
    </row>
    <row r="25" spans="1:2" x14ac:dyDescent="0.3">
      <c r="A25">
        <v>24000</v>
      </c>
      <c r="B25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zoomScaleNormal="100" workbookViewId="0">
      <selection activeCell="F22" sqref="F22"/>
    </sheetView>
  </sheetViews>
  <sheetFormatPr defaultColWidth="8.88671875" defaultRowHeight="14.4" x14ac:dyDescent="0.3"/>
  <cols>
    <col min="1" max="1" width="32.77734375" customWidth="1"/>
    <col min="2" max="2" width="18.88671875" customWidth="1"/>
    <col min="3" max="3" width="14.44140625" customWidth="1"/>
    <col min="4" max="4" width="15.109375" customWidth="1"/>
    <col min="5" max="5" width="20.77734375" customWidth="1"/>
    <col min="6" max="6" width="6.21875" customWidth="1"/>
    <col min="9" max="9" width="32.21875" customWidth="1"/>
    <col min="11" max="11" width="18.6640625" customWidth="1"/>
  </cols>
  <sheetData>
    <row r="1" spans="1:17" ht="18" x14ac:dyDescent="0.35">
      <c r="C1" s="181" t="s">
        <v>197</v>
      </c>
      <c r="D1" s="181"/>
      <c r="E1" s="181"/>
      <c r="F1" s="181"/>
      <c r="G1" s="181"/>
      <c r="H1" s="181"/>
      <c r="L1" s="180" t="s">
        <v>326</v>
      </c>
      <c r="M1" s="180"/>
      <c r="N1" s="180"/>
      <c r="O1" s="180"/>
      <c r="P1" s="180"/>
      <c r="Q1" s="180"/>
    </row>
    <row r="3" spans="1:17" ht="21" x14ac:dyDescent="0.4">
      <c r="A3" s="118" t="s">
        <v>198</v>
      </c>
    </row>
    <row r="5" spans="1:17" x14ac:dyDescent="0.3">
      <c r="A5" s="109" t="s">
        <v>0</v>
      </c>
      <c r="B5" s="108">
        <f>'Total-Power-Consumption'!D2</f>
        <v>12000</v>
      </c>
      <c r="C5" s="108" t="s">
        <v>1</v>
      </c>
      <c r="E5" s="14" t="s">
        <v>6</v>
      </c>
      <c r="F5" s="115">
        <v>20</v>
      </c>
      <c r="G5" t="s">
        <v>7</v>
      </c>
    </row>
    <row r="6" spans="1:17" x14ac:dyDescent="0.3">
      <c r="A6" s="109" t="s">
        <v>2</v>
      </c>
      <c r="B6" s="108">
        <v>20</v>
      </c>
      <c r="C6" s="108" t="s">
        <v>4</v>
      </c>
    </row>
    <row r="7" spans="1:17" x14ac:dyDescent="0.3">
      <c r="A7" s="109" t="s">
        <v>3</v>
      </c>
      <c r="B7" s="108">
        <v>31</v>
      </c>
      <c r="C7" s="108" t="s">
        <v>5</v>
      </c>
    </row>
    <row r="8" spans="1:17" x14ac:dyDescent="0.3">
      <c r="A8" s="109"/>
      <c r="B8" s="108"/>
      <c r="C8" s="108"/>
    </row>
    <row r="9" spans="1:17" x14ac:dyDescent="0.3">
      <c r="A9" s="109" t="s">
        <v>200</v>
      </c>
      <c r="B9" s="108">
        <v>14.4</v>
      </c>
      <c r="C9" s="108" t="s">
        <v>8</v>
      </c>
    </row>
    <row r="10" spans="1:17" x14ac:dyDescent="0.3">
      <c r="A10" s="109"/>
      <c r="B10" s="108"/>
      <c r="C10" s="108"/>
    </row>
    <row r="11" spans="1:17" x14ac:dyDescent="0.3">
      <c r="A11" s="109" t="s">
        <v>199</v>
      </c>
      <c r="B11" s="108">
        <v>40</v>
      </c>
      <c r="C11" s="108" t="s">
        <v>4</v>
      </c>
      <c r="G11" s="179" t="s">
        <v>329</v>
      </c>
      <c r="H11" s="179"/>
      <c r="I11" s="179"/>
      <c r="J11" s="179"/>
      <c r="K11" s="114"/>
      <c r="L11" s="114"/>
    </row>
    <row r="12" spans="1:17" x14ac:dyDescent="0.3">
      <c r="A12" s="109"/>
      <c r="B12" s="108"/>
      <c r="C12" s="108"/>
      <c r="I12" s="11" t="s">
        <v>39</v>
      </c>
    </row>
    <row r="13" spans="1:17" x14ac:dyDescent="0.3">
      <c r="A13" s="109" t="s">
        <v>9</v>
      </c>
      <c r="B13" s="108">
        <f>0.044*2*B5</f>
        <v>1056</v>
      </c>
      <c r="C13" s="108" t="s">
        <v>10</v>
      </c>
      <c r="I13" s="43" t="s">
        <v>13</v>
      </c>
    </row>
    <row r="14" spans="1:17" x14ac:dyDescent="0.3">
      <c r="A14" s="109"/>
      <c r="B14" s="108"/>
      <c r="C14" s="108"/>
    </row>
    <row r="17" spans="1:3" x14ac:dyDescent="0.3">
      <c r="A17" s="178" t="s">
        <v>11</v>
      </c>
      <c r="B17" s="110">
        <f>B13*B9*(B11-F5)</f>
        <v>304128</v>
      </c>
      <c r="C17" s="110" t="s">
        <v>327</v>
      </c>
    </row>
    <row r="18" spans="1:3" x14ac:dyDescent="0.3">
      <c r="A18" s="178"/>
      <c r="B18" s="111">
        <f>B17*0.2777778</f>
        <v>84480.006758400006</v>
      </c>
      <c r="C18" s="110" t="s">
        <v>12</v>
      </c>
    </row>
    <row r="20" spans="1:3" x14ac:dyDescent="0.3">
      <c r="A20" s="112" t="s">
        <v>328</v>
      </c>
      <c r="B20" s="113">
        <f>B18/1000</f>
        <v>84.480006758400009</v>
      </c>
    </row>
    <row r="21" spans="1:3" x14ac:dyDescent="0.3">
      <c r="A21" s="112" t="s">
        <v>230</v>
      </c>
      <c r="B21" s="113">
        <f>B20*1.34</f>
        <v>113.20320905625601</v>
      </c>
    </row>
  </sheetData>
  <mergeCells count="4">
    <mergeCell ref="A17:A18"/>
    <mergeCell ref="G11:J11"/>
    <mergeCell ref="L1:Q1"/>
    <mergeCell ref="C1:H1"/>
  </mergeCells>
  <pageMargins left="0.70866141732283461" right="0.70866141732283461" top="0.74803149606299213" bottom="0.74803149606299213" header="0.31496062992125984" footer="0.31496062992125984"/>
  <pageSetup paperSize="8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444C-3561-415C-A611-99468B22A56D}">
  <dimension ref="A1:U76"/>
  <sheetViews>
    <sheetView zoomScale="112" zoomScaleNormal="112" workbookViewId="0">
      <selection activeCell="H61" sqref="H61"/>
    </sheetView>
  </sheetViews>
  <sheetFormatPr defaultColWidth="8.88671875" defaultRowHeight="14.4" x14ac:dyDescent="0.3"/>
  <cols>
    <col min="1" max="1" width="9.77734375" customWidth="1"/>
    <col min="2" max="2" width="35" customWidth="1"/>
    <col min="3" max="3" width="15.109375" customWidth="1"/>
    <col min="4" max="4" width="19" customWidth="1"/>
    <col min="5" max="5" width="32.77734375" customWidth="1"/>
    <col min="6" max="6" width="29.77734375" customWidth="1"/>
    <col min="7" max="7" width="9.109375" customWidth="1"/>
    <col min="8" max="8" width="19.6640625" customWidth="1"/>
    <col min="9" max="9" width="7.21875" customWidth="1"/>
    <col min="10" max="10" width="25.44140625" customWidth="1"/>
    <col min="11" max="11" width="18.88671875" customWidth="1"/>
    <col min="12" max="12" width="14.6640625" customWidth="1"/>
    <col min="16" max="16" width="9.5546875" customWidth="1"/>
  </cols>
  <sheetData>
    <row r="1" spans="1:21" x14ac:dyDescent="0.3">
      <c r="C1" s="7"/>
      <c r="I1" s="180" t="s">
        <v>326</v>
      </c>
      <c r="J1" s="180"/>
      <c r="K1" s="180"/>
    </row>
    <row r="2" spans="1:21" ht="18" x14ac:dyDescent="0.35">
      <c r="A2" s="194" t="s">
        <v>330</v>
      </c>
      <c r="B2" s="194"/>
      <c r="C2" s="7"/>
    </row>
    <row r="3" spans="1:21" x14ac:dyDescent="0.3">
      <c r="F3" s="1"/>
    </row>
    <row r="4" spans="1:21" x14ac:dyDescent="0.3">
      <c r="A4" s="195" t="s">
        <v>66</v>
      </c>
      <c r="B4" s="195"/>
      <c r="C4" s="195"/>
      <c r="D4" s="120">
        <v>210</v>
      </c>
      <c r="E4" s="119" t="s">
        <v>4</v>
      </c>
      <c r="F4" s="196" t="s">
        <v>332</v>
      </c>
      <c r="G4" s="196"/>
    </row>
    <row r="5" spans="1:21" ht="14.4" customHeight="1" x14ac:dyDescent="0.3">
      <c r="A5" s="195" t="s">
        <v>331</v>
      </c>
      <c r="B5" s="195"/>
      <c r="C5" s="195"/>
      <c r="D5" s="120">
        <v>20</v>
      </c>
      <c r="E5" s="119" t="s">
        <v>4</v>
      </c>
      <c r="P5" s="12"/>
      <c r="Q5" s="7"/>
      <c r="R5" s="7"/>
      <c r="S5" s="7"/>
    </row>
    <row r="6" spans="1:21" x14ac:dyDescent="0.3">
      <c r="K6" s="12"/>
      <c r="L6" s="12"/>
      <c r="M6" s="12"/>
      <c r="N6" s="12"/>
      <c r="O6" s="12"/>
      <c r="P6" s="12"/>
      <c r="Q6" s="7"/>
      <c r="R6" s="7"/>
      <c r="S6" s="7"/>
    </row>
    <row r="7" spans="1:21" x14ac:dyDescent="0.3">
      <c r="A7" s="182" t="s">
        <v>323</v>
      </c>
      <c r="B7" s="182"/>
      <c r="C7" s="182"/>
      <c r="D7" s="123">
        <f>Regenration_Calculation!B22/1000</f>
        <v>186.71962819653353</v>
      </c>
      <c r="E7" s="121" t="s">
        <v>62</v>
      </c>
      <c r="N7" s="175" t="s">
        <v>90</v>
      </c>
      <c r="O7" s="175"/>
      <c r="P7" s="175"/>
      <c r="Q7" s="175"/>
      <c r="R7" s="8"/>
      <c r="S7" s="8"/>
    </row>
    <row r="8" spans="1:21" x14ac:dyDescent="0.3">
      <c r="A8" s="182" t="s">
        <v>71</v>
      </c>
      <c r="B8" s="182"/>
      <c r="C8" s="182"/>
      <c r="D8" s="123">
        <f>'Vessel&amp;Mol_Sieve'!B8</f>
        <v>1697.4511654230321</v>
      </c>
      <c r="E8" s="121" t="s">
        <v>62</v>
      </c>
    </row>
    <row r="9" spans="1:21" ht="14.4" customHeight="1" x14ac:dyDescent="0.3">
      <c r="A9" s="182" t="s">
        <v>83</v>
      </c>
      <c r="B9" s="182"/>
      <c r="C9" s="182"/>
      <c r="D9" s="122">
        <f>'Vessel&amp;Mol_Sieve'!B53</f>
        <v>2913.3133098346407</v>
      </c>
      <c r="E9" s="121" t="s">
        <v>62</v>
      </c>
      <c r="F9" s="57" t="s">
        <v>84</v>
      </c>
      <c r="P9">
        <f>E28/E23</f>
        <v>0.44858606420028069</v>
      </c>
      <c r="Q9" s="183" t="s">
        <v>91</v>
      </c>
      <c r="R9" s="183"/>
      <c r="S9" s="183"/>
      <c r="T9" s="183"/>
      <c r="U9" s="66"/>
    </row>
    <row r="10" spans="1:21" x14ac:dyDescent="0.3">
      <c r="A10" s="182" t="s">
        <v>195</v>
      </c>
      <c r="B10" s="182"/>
      <c r="C10" s="182"/>
      <c r="D10" s="122">
        <f>'Vessel&amp;Mol_Sieve'!B54</f>
        <v>2763.3133098346407</v>
      </c>
      <c r="E10" s="121" t="s">
        <v>62</v>
      </c>
      <c r="F10" s="57" t="s">
        <v>84</v>
      </c>
    </row>
    <row r="12" spans="1:21" x14ac:dyDescent="0.3">
      <c r="J12" s="189" t="s">
        <v>72</v>
      </c>
      <c r="K12" s="189"/>
      <c r="L12" s="10"/>
    </row>
    <row r="13" spans="1:21" x14ac:dyDescent="0.3">
      <c r="A13" s="186" t="s">
        <v>67</v>
      </c>
      <c r="B13" s="186"/>
      <c r="C13" s="186"/>
      <c r="D13" s="186"/>
      <c r="E13" s="186"/>
      <c r="F13" s="186"/>
      <c r="G13" s="186"/>
      <c r="J13" s="9" t="s">
        <v>78</v>
      </c>
      <c r="K13" t="s">
        <v>79</v>
      </c>
    </row>
    <row r="14" spans="1:21" x14ac:dyDescent="0.3">
      <c r="J14" s="9" t="s">
        <v>73</v>
      </c>
      <c r="K14">
        <v>1.07</v>
      </c>
      <c r="L14" t="s">
        <v>8</v>
      </c>
    </row>
    <row r="15" spans="1:21" ht="14.4" customHeight="1" x14ac:dyDescent="0.3">
      <c r="A15" s="125">
        <v>1</v>
      </c>
      <c r="B15" s="188" t="s">
        <v>68</v>
      </c>
      <c r="C15" s="188"/>
      <c r="D15" s="188"/>
      <c r="E15" s="126">
        <f xml:space="preserve"> D7*4200</f>
        <v>784222.43842544081</v>
      </c>
      <c r="F15" s="125" t="s">
        <v>69</v>
      </c>
      <c r="G15" s="128">
        <f>E15/E23</f>
        <v>0.52548500430174461</v>
      </c>
      <c r="J15" s="9" t="s">
        <v>76</v>
      </c>
      <c r="K15">
        <v>0.58599999999999997</v>
      </c>
      <c r="L15" t="s">
        <v>8</v>
      </c>
      <c r="M15" s="4" t="s">
        <v>80</v>
      </c>
    </row>
    <row r="16" spans="1:21" x14ac:dyDescent="0.3">
      <c r="A16" s="125"/>
      <c r="B16" s="125"/>
      <c r="C16" s="125"/>
      <c r="D16" s="125"/>
      <c r="E16" s="127"/>
      <c r="F16" s="125"/>
      <c r="G16" s="128"/>
      <c r="J16" s="9" t="s">
        <v>77</v>
      </c>
      <c r="K16">
        <v>1.88</v>
      </c>
      <c r="L16" t="s">
        <v>75</v>
      </c>
      <c r="M16" s="4" t="s">
        <v>74</v>
      </c>
    </row>
    <row r="17" spans="1:20" x14ac:dyDescent="0.3">
      <c r="A17" s="125">
        <v>2</v>
      </c>
      <c r="B17" s="188" t="s">
        <v>70</v>
      </c>
      <c r="C17" s="188"/>
      <c r="D17" s="188"/>
      <c r="E17" s="126">
        <f>D7*1.884*(D4-100)</f>
        <v>38695.77574744961</v>
      </c>
      <c r="F17" s="125" t="s">
        <v>69</v>
      </c>
      <c r="G17" s="128">
        <f>E17/E23</f>
        <v>2.5928931497974657E-2</v>
      </c>
    </row>
    <row r="18" spans="1:20" x14ac:dyDescent="0.3">
      <c r="A18" s="125"/>
      <c r="B18" s="125"/>
      <c r="C18" s="125"/>
      <c r="D18" s="125"/>
      <c r="E18" s="127"/>
      <c r="F18" s="125"/>
      <c r="G18" s="128"/>
    </row>
    <row r="19" spans="1:20" x14ac:dyDescent="0.3">
      <c r="A19" s="125">
        <v>3</v>
      </c>
      <c r="B19" s="188" t="s">
        <v>81</v>
      </c>
      <c r="C19" s="188"/>
      <c r="D19" s="188"/>
      <c r="E19" s="126">
        <f>D8*1.07*(D4-D5)</f>
        <v>345091.82193050242</v>
      </c>
      <c r="F19" s="125" t="s">
        <v>69</v>
      </c>
      <c r="G19" s="128">
        <f>E19/E23</f>
        <v>0.23123615016135213</v>
      </c>
    </row>
    <row r="20" spans="1:20" x14ac:dyDescent="0.3">
      <c r="A20" s="125"/>
      <c r="B20" s="125"/>
      <c r="C20" s="125"/>
      <c r="D20" s="125"/>
      <c r="E20" s="127"/>
      <c r="F20" s="125"/>
      <c r="G20" s="128"/>
      <c r="J20" s="175" t="s">
        <v>85</v>
      </c>
      <c r="K20" s="175"/>
      <c r="L20" s="175"/>
      <c r="M20" s="175"/>
      <c r="N20" s="175"/>
      <c r="O20" s="175"/>
      <c r="P20" s="175"/>
      <c r="Q20" s="190" t="s">
        <v>86</v>
      </c>
      <c r="R20" s="190"/>
      <c r="S20" s="190"/>
      <c r="T20" s="190"/>
    </row>
    <row r="21" spans="1:20" x14ac:dyDescent="0.3">
      <c r="A21" s="125">
        <v>4</v>
      </c>
      <c r="B21" s="188" t="s">
        <v>82</v>
      </c>
      <c r="C21" s="188"/>
      <c r="D21" s="188"/>
      <c r="E21" s="126">
        <f>D9*K15*(D4-D5)</f>
        <v>324368.30391698889</v>
      </c>
      <c r="F21" s="125" t="s">
        <v>69</v>
      </c>
      <c r="G21" s="128">
        <f>E21/E23</f>
        <v>0.21734991403892856</v>
      </c>
    </row>
    <row r="22" spans="1:20" x14ac:dyDescent="0.3">
      <c r="K22" s="4"/>
    </row>
    <row r="23" spans="1:20" ht="18" x14ac:dyDescent="0.35">
      <c r="B23" s="192" t="s">
        <v>87</v>
      </c>
      <c r="C23" s="192"/>
      <c r="D23" s="192"/>
      <c r="E23" s="129">
        <f>SUM(E15,E17,E19,E21)</f>
        <v>1492378.3400203818</v>
      </c>
      <c r="F23" s="130" t="s">
        <v>69</v>
      </c>
      <c r="K23" s="4"/>
    </row>
    <row r="26" spans="1:20" x14ac:dyDescent="0.3">
      <c r="B26" s="186" t="s">
        <v>88</v>
      </c>
      <c r="C26" s="186"/>
      <c r="D26" s="186"/>
      <c r="E26" s="186"/>
    </row>
    <row r="28" spans="1:20" x14ac:dyDescent="0.3">
      <c r="A28" s="124">
        <v>5</v>
      </c>
      <c r="B28" s="193" t="s">
        <v>89</v>
      </c>
      <c r="C28" s="193"/>
      <c r="D28" s="193"/>
      <c r="E28" s="131">
        <f>E19+E21</f>
        <v>669460.12584749132</v>
      </c>
      <c r="F28" s="124" t="s">
        <v>69</v>
      </c>
    </row>
    <row r="30" spans="1:20" x14ac:dyDescent="0.3">
      <c r="A30" s="186" t="s">
        <v>94</v>
      </c>
      <c r="B30" s="186"/>
      <c r="C30" s="186"/>
      <c r="D30" s="186"/>
      <c r="E30" s="186"/>
      <c r="F30" s="186"/>
    </row>
    <row r="31" spans="1:20" x14ac:dyDescent="0.3">
      <c r="A31" s="102" t="s">
        <v>95</v>
      </c>
    </row>
    <row r="33" spans="1:7" x14ac:dyDescent="0.3">
      <c r="A33" s="133" t="s">
        <v>333</v>
      </c>
      <c r="B33" s="133" t="s">
        <v>334</v>
      </c>
      <c r="C33" s="132">
        <f>0.03*'Total-Power-Consumption'!D2</f>
        <v>360</v>
      </c>
      <c r="D33" s="133" t="s">
        <v>1</v>
      </c>
      <c r="E33" s="132">
        <f>0.044*2*C33</f>
        <v>31.68</v>
      </c>
      <c r="F33" s="133" t="s">
        <v>10</v>
      </c>
    </row>
    <row r="35" spans="1:7" x14ac:dyDescent="0.3">
      <c r="A35" s="191" t="s">
        <v>335</v>
      </c>
      <c r="B35" s="191"/>
      <c r="C35" s="191"/>
      <c r="D35" s="191"/>
      <c r="E35" s="191"/>
    </row>
    <row r="37" spans="1:7" x14ac:dyDescent="0.3">
      <c r="B37" s="185" t="s">
        <v>96</v>
      </c>
      <c r="C37" s="185"/>
      <c r="D37" s="185"/>
      <c r="E37" s="122">
        <f>E23/C49</f>
        <v>87786.961177669524</v>
      </c>
      <c r="F37" s="121" t="s">
        <v>121</v>
      </c>
    </row>
    <row r="38" spans="1:7" x14ac:dyDescent="0.3">
      <c r="C38" s="185" t="s">
        <v>336</v>
      </c>
      <c r="D38" s="185"/>
      <c r="E38" s="122">
        <f>E33*14.4*(D4-D5)</f>
        <v>86676.479999999996</v>
      </c>
      <c r="F38" s="134" t="s">
        <v>121</v>
      </c>
    </row>
    <row r="39" spans="1:7" x14ac:dyDescent="0.3">
      <c r="E39" s="138" t="s">
        <v>98</v>
      </c>
      <c r="F39" s="136">
        <f>E37+(E38)/4.18</f>
        <v>108522.96117766952</v>
      </c>
      <c r="G39" s="18" t="s">
        <v>119</v>
      </c>
    </row>
    <row r="40" spans="1:7" x14ac:dyDescent="0.3">
      <c r="F40" s="137">
        <f>F39/3600</f>
        <v>30.14526699379709</v>
      </c>
      <c r="G40" s="18" t="s">
        <v>99</v>
      </c>
    </row>
    <row r="42" spans="1:7" x14ac:dyDescent="0.3">
      <c r="E42" s="142" t="s">
        <v>100</v>
      </c>
      <c r="F42" s="140">
        <f>F39/(14.4*(D4-D5))</f>
        <v>39.664824991838273</v>
      </c>
      <c r="G42" s="142" t="s">
        <v>10</v>
      </c>
    </row>
    <row r="43" spans="1:7" x14ac:dyDescent="0.3">
      <c r="E43" s="142"/>
      <c r="F43" s="140">
        <f>F42/(0.044*2)</f>
        <v>450.73664763452587</v>
      </c>
      <c r="G43" s="142" t="s">
        <v>1</v>
      </c>
    </row>
    <row r="44" spans="1:7" x14ac:dyDescent="0.3">
      <c r="E44" s="142" t="s">
        <v>122</v>
      </c>
      <c r="F44" s="141">
        <f>'Regenration Heater'!F42/'Electrical Heater'!B13</f>
        <v>3.7561387302877156E-2</v>
      </c>
      <c r="G44" s="142"/>
    </row>
    <row r="45" spans="1:7" x14ac:dyDescent="0.3">
      <c r="E45" s="142" t="s">
        <v>101</v>
      </c>
      <c r="F45" s="140">
        <f>F42*14.4*(D4-D5)</f>
        <v>108522.96117766952</v>
      </c>
      <c r="G45" s="142"/>
    </row>
    <row r="46" spans="1:7" ht="15.6" x14ac:dyDescent="0.3">
      <c r="E46" s="142"/>
      <c r="F46" s="143">
        <f>F45*0.2777/1000</f>
        <v>30.136826319038828</v>
      </c>
      <c r="G46" s="142" t="s">
        <v>99</v>
      </c>
    </row>
    <row r="49" spans="1:12" x14ac:dyDescent="0.3">
      <c r="B49" s="139" t="s">
        <v>97</v>
      </c>
      <c r="C49" s="139">
        <v>17</v>
      </c>
      <c r="D49" s="139" t="s">
        <v>57</v>
      </c>
    </row>
    <row r="50" spans="1:12" x14ac:dyDescent="0.3">
      <c r="B50" s="139" t="s">
        <v>107</v>
      </c>
      <c r="C50" s="139">
        <v>0.5</v>
      </c>
      <c r="D50" s="139" t="s">
        <v>57</v>
      </c>
    </row>
    <row r="51" spans="1:12" x14ac:dyDescent="0.3">
      <c r="B51" s="139" t="s">
        <v>108</v>
      </c>
      <c r="C51" s="139">
        <f>24-C49-2*C50</f>
        <v>6</v>
      </c>
      <c r="D51" s="139" t="s">
        <v>57</v>
      </c>
    </row>
    <row r="53" spans="1:12" x14ac:dyDescent="0.3">
      <c r="A53" s="186" t="s">
        <v>338</v>
      </c>
      <c r="B53" s="186"/>
      <c r="C53" s="186"/>
      <c r="D53" s="186"/>
      <c r="E53" s="186"/>
      <c r="F53" s="186"/>
    </row>
    <row r="54" spans="1:12" x14ac:dyDescent="0.3">
      <c r="K54" s="135" t="s">
        <v>92</v>
      </c>
    </row>
    <row r="55" spans="1:12" x14ac:dyDescent="0.3">
      <c r="B55" s="148" t="s">
        <v>102</v>
      </c>
      <c r="C55" s="149">
        <f>(0.05*F42)+F42</f>
        <v>41.648066241430186</v>
      </c>
      <c r="D55" s="148" t="s">
        <v>10</v>
      </c>
      <c r="E55" s="149">
        <f>C55/(0.044*2)</f>
        <v>473.27348001625217</v>
      </c>
      <c r="F55" s="148" t="s">
        <v>1</v>
      </c>
      <c r="G55" s="187" t="s">
        <v>337</v>
      </c>
      <c r="H55" s="187"/>
      <c r="I55" s="187"/>
      <c r="J55" s="187"/>
    </row>
    <row r="57" spans="1:12" x14ac:dyDescent="0.3">
      <c r="B57" t="s">
        <v>103</v>
      </c>
      <c r="C57">
        <f>C55*14.4*(D4-D5)</f>
        <v>113949.10923655299</v>
      </c>
      <c r="D57" t="s">
        <v>121</v>
      </c>
      <c r="K57" s="135"/>
      <c r="L57" s="135"/>
    </row>
    <row r="58" spans="1:12" x14ac:dyDescent="0.3">
      <c r="C58">
        <f>C57*0.00027777</f>
        <v>31.651644072637325</v>
      </c>
      <c r="D58" t="s">
        <v>99</v>
      </c>
    </row>
    <row r="59" spans="1:12" x14ac:dyDescent="0.3">
      <c r="C59">
        <f>(C58*0.09)+C58</f>
        <v>34.500292039174681</v>
      </c>
    </row>
    <row r="61" spans="1:12" ht="18" x14ac:dyDescent="0.35">
      <c r="B61" s="151" t="s">
        <v>104</v>
      </c>
      <c r="C61" s="150">
        <f>ROUNDUP(C59,0)</f>
        <v>35</v>
      </c>
      <c r="D61" s="151" t="s">
        <v>14</v>
      </c>
    </row>
    <row r="62" spans="1:12" ht="18" x14ac:dyDescent="0.35">
      <c r="B62" s="151" t="s">
        <v>231</v>
      </c>
      <c r="C62" s="150">
        <f>C61*1.09</f>
        <v>38.150000000000006</v>
      </c>
      <c r="D62" s="151" t="s">
        <v>14</v>
      </c>
    </row>
    <row r="63" spans="1:12" x14ac:dyDescent="0.3">
      <c r="C63" s="5"/>
    </row>
    <row r="64" spans="1:12" x14ac:dyDescent="0.3">
      <c r="C64" s="5"/>
    </row>
    <row r="65" spans="2:5" x14ac:dyDescent="0.3">
      <c r="B65" s="184" t="s">
        <v>105</v>
      </c>
      <c r="C65" s="184"/>
      <c r="D65" s="184"/>
      <c r="E65" s="184"/>
    </row>
    <row r="67" spans="2:5" x14ac:dyDescent="0.3">
      <c r="B67" s="144">
        <f>C57*(24-C49-2*0.5)</f>
        <v>683694.65541931801</v>
      </c>
      <c r="C67" s="144" t="s">
        <v>106</v>
      </c>
      <c r="D67" s="145">
        <f>E28</f>
        <v>669460.12584749132</v>
      </c>
      <c r="E67" s="147" t="b">
        <f>B67&gt;D67</f>
        <v>1</v>
      </c>
    </row>
    <row r="68" spans="2:5" x14ac:dyDescent="0.3">
      <c r="B68" s="144">
        <f>C57*(24-C49-2*0.5)</f>
        <v>683694.65541931801</v>
      </c>
      <c r="C68" s="144" t="s">
        <v>106</v>
      </c>
      <c r="D68" s="146">
        <f>D10*0.586*(D4-D5)+E19</f>
        <v>652759.12584749132</v>
      </c>
      <c r="E68" s="147" t="b">
        <f>B68&gt;D68</f>
        <v>1</v>
      </c>
    </row>
    <row r="70" spans="2:5" x14ac:dyDescent="0.3">
      <c r="C70" s="5"/>
    </row>
    <row r="76" spans="2:5" x14ac:dyDescent="0.3">
      <c r="B76" s="14" t="s">
        <v>228</v>
      </c>
      <c r="C76" t="s">
        <v>229</v>
      </c>
    </row>
  </sheetData>
  <mergeCells count="29">
    <mergeCell ref="I1:K1"/>
    <mergeCell ref="B37:D37"/>
    <mergeCell ref="B26:E26"/>
    <mergeCell ref="J12:K12"/>
    <mergeCell ref="Q20:T20"/>
    <mergeCell ref="A35:E35"/>
    <mergeCell ref="B23:D23"/>
    <mergeCell ref="B28:D28"/>
    <mergeCell ref="A30:F30"/>
    <mergeCell ref="J20:P20"/>
    <mergeCell ref="A2:B2"/>
    <mergeCell ref="A4:C4"/>
    <mergeCell ref="A5:C5"/>
    <mergeCell ref="F4:G4"/>
    <mergeCell ref="A7:C7"/>
    <mergeCell ref="A8:C8"/>
    <mergeCell ref="A9:C9"/>
    <mergeCell ref="A10:C10"/>
    <mergeCell ref="N7:Q7"/>
    <mergeCell ref="Q9:T9"/>
    <mergeCell ref="B65:E65"/>
    <mergeCell ref="C38:D38"/>
    <mergeCell ref="A53:F53"/>
    <mergeCell ref="G55:J55"/>
    <mergeCell ref="A13:G13"/>
    <mergeCell ref="B15:D15"/>
    <mergeCell ref="B17:D17"/>
    <mergeCell ref="B19:D19"/>
    <mergeCell ref="B21:D21"/>
  </mergeCells>
  <phoneticPr fontId="8" type="noConversion"/>
  <conditionalFormatting sqref="E67:E68">
    <cfRule type="cellIs" dxfId="1" priority="1" operator="equal">
      <formula>FALSE</formula>
    </cfRule>
    <cfRule type="cellIs" dxfId="0" priority="2" operator="equal">
      <formula>TRUE</formula>
    </cfRule>
  </conditionalFormatting>
  <hyperlinks>
    <hyperlink ref="K54" r:id="rId1" display="http://gasprocessingnews.com/articles/2018/04/proper-regeneration-of-molecular-sieves-in-tsa-processes-part-2/" xr:uid="{49162F1F-581A-4393-8CC0-E9025C79C708}"/>
    <hyperlink ref="M16" r:id="rId2" display="https://www.engineeringtoolbox.com/water-vapor-d_979.html" xr:uid="{A2E71793-FAFB-415A-BB13-11F78D5C34D1}"/>
    <hyperlink ref="M15" r:id="rId3" display="https://www.engineersedge.com/materials/specific_heat_capacity_of_metals_13259.htm" xr:uid="{A0A317B5-572F-4FC0-8D22-3FDFA0B1CB86}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F898-0683-43B2-8ECC-2E21E5330605}">
  <dimension ref="A1:K43"/>
  <sheetViews>
    <sheetView zoomScaleNormal="100" workbookViewId="0">
      <selection activeCell="D31" sqref="D31"/>
    </sheetView>
  </sheetViews>
  <sheetFormatPr defaultColWidth="8.88671875" defaultRowHeight="14.4" x14ac:dyDescent="0.3"/>
  <cols>
    <col min="1" max="1" width="23.109375" customWidth="1"/>
    <col min="2" max="2" width="28.88671875" customWidth="1"/>
    <col min="3" max="3" width="11" customWidth="1"/>
    <col min="4" max="4" width="34.6640625" customWidth="1"/>
    <col min="5" max="5" width="21" customWidth="1"/>
    <col min="6" max="6" width="14.44140625" customWidth="1"/>
    <col min="7" max="7" width="53.109375" customWidth="1"/>
    <col min="8" max="8" width="25.5546875" customWidth="1"/>
    <col min="9" max="9" width="17.77734375" customWidth="1"/>
    <col min="10" max="10" width="26.44140625" customWidth="1"/>
    <col min="11" max="11" width="11.6640625" customWidth="1"/>
    <col min="12" max="12" width="9.5546875" customWidth="1"/>
    <col min="14" max="14" width="23.109375" customWidth="1"/>
    <col min="15" max="15" width="12.21875" customWidth="1"/>
    <col min="16" max="16" width="13.6640625" customWidth="1"/>
  </cols>
  <sheetData>
    <row r="1" spans="1:10" x14ac:dyDescent="0.3">
      <c r="A1" s="200" t="s">
        <v>339</v>
      </c>
      <c r="B1" s="200"/>
      <c r="C1" s="200"/>
      <c r="D1" s="200"/>
      <c r="E1" s="200"/>
      <c r="F1" s="200"/>
      <c r="G1" s="200"/>
      <c r="H1" s="180" t="s">
        <v>326</v>
      </c>
      <c r="I1" s="180"/>
      <c r="J1" s="180"/>
    </row>
    <row r="2" spans="1:10" x14ac:dyDescent="0.3">
      <c r="F2" s="1"/>
    </row>
    <row r="3" spans="1:10" x14ac:dyDescent="0.3">
      <c r="A3" s="199" t="s">
        <v>213</v>
      </c>
      <c r="B3" s="199"/>
      <c r="C3" s="199"/>
    </row>
    <row r="4" spans="1:10" x14ac:dyDescent="0.3">
      <c r="A4" s="58" t="s">
        <v>214</v>
      </c>
      <c r="B4" s="62">
        <f>'Regenration Heater'!E55</f>
        <v>473.27348001625217</v>
      </c>
      <c r="C4" s="59" t="s">
        <v>1</v>
      </c>
    </row>
    <row r="5" spans="1:10" x14ac:dyDescent="0.3">
      <c r="A5" s="58"/>
      <c r="B5" s="58"/>
      <c r="C5" s="60"/>
    </row>
    <row r="6" spans="1:10" x14ac:dyDescent="0.3">
      <c r="A6" s="58" t="s">
        <v>216</v>
      </c>
      <c r="B6" s="58">
        <f>1</f>
        <v>1</v>
      </c>
      <c r="C6" s="60" t="s">
        <v>5</v>
      </c>
      <c r="H6" s="63"/>
    </row>
    <row r="7" spans="1:10" x14ac:dyDescent="0.3">
      <c r="A7" s="58" t="s">
        <v>215</v>
      </c>
      <c r="B7" s="58">
        <f>0.5</f>
        <v>0.5</v>
      </c>
      <c r="C7" s="60" t="s">
        <v>5</v>
      </c>
      <c r="G7" s="7" t="s">
        <v>206</v>
      </c>
      <c r="H7" s="49"/>
      <c r="I7" s="49"/>
    </row>
    <row r="8" spans="1:10" x14ac:dyDescent="0.3">
      <c r="A8" s="58" t="s">
        <v>217</v>
      </c>
      <c r="B8" s="58">
        <f>B6+B7</f>
        <v>1.5</v>
      </c>
      <c r="C8" s="60" t="s">
        <v>5</v>
      </c>
      <c r="G8" t="s">
        <v>207</v>
      </c>
    </row>
    <row r="9" spans="1:10" x14ac:dyDescent="0.3">
      <c r="A9" s="58" t="s">
        <v>218</v>
      </c>
      <c r="B9" s="58">
        <f>'Regenration Heater'!D5</f>
        <v>20</v>
      </c>
      <c r="C9" s="58" t="s">
        <v>4</v>
      </c>
      <c r="D9" s="58">
        <f>B9+273.15</f>
        <v>293.14999999999998</v>
      </c>
      <c r="E9" s="58" t="s">
        <v>4</v>
      </c>
    </row>
    <row r="10" spans="1:10" x14ac:dyDescent="0.3">
      <c r="A10" s="58" t="s">
        <v>219</v>
      </c>
      <c r="B10" s="58">
        <v>1.41</v>
      </c>
      <c r="C10" s="58"/>
      <c r="G10" s="8" t="s">
        <v>342</v>
      </c>
      <c r="H10" s="102">
        <v>1.4</v>
      </c>
      <c r="I10" t="s">
        <v>208</v>
      </c>
    </row>
    <row r="11" spans="1:10" x14ac:dyDescent="0.3">
      <c r="A11" s="58" t="s">
        <v>220</v>
      </c>
      <c r="B11" s="58">
        <v>0.3</v>
      </c>
      <c r="C11" s="58"/>
      <c r="I11" s="2"/>
    </row>
    <row r="12" spans="1:10" x14ac:dyDescent="0.3">
      <c r="A12" s="58" t="s">
        <v>226</v>
      </c>
      <c r="B12" s="58">
        <f>B4/22.414</f>
        <v>21.115083430724198</v>
      </c>
      <c r="C12" s="58" t="s">
        <v>222</v>
      </c>
    </row>
    <row r="13" spans="1:10" x14ac:dyDescent="0.3">
      <c r="A13" s="58" t="s">
        <v>223</v>
      </c>
      <c r="B13" s="58">
        <f>(B10-1)/B10</f>
        <v>0.29078014184397161</v>
      </c>
      <c r="C13" s="58"/>
    </row>
    <row r="14" spans="1:10" x14ac:dyDescent="0.3">
      <c r="A14" s="58"/>
      <c r="B14" s="58"/>
      <c r="C14" s="58"/>
    </row>
    <row r="15" spans="1:10" x14ac:dyDescent="0.3">
      <c r="A15" s="58" t="s">
        <v>221</v>
      </c>
      <c r="B15" s="58">
        <f>((B12*8.314*D9)/(B10-1))*((B8/B6)^B13-1)*B10</f>
        <v>22146.221576233143</v>
      </c>
      <c r="C15" s="58" t="s">
        <v>224</v>
      </c>
    </row>
    <row r="16" spans="1:10" x14ac:dyDescent="0.3">
      <c r="A16" s="58"/>
      <c r="B16" s="58">
        <f>B15/3600</f>
        <v>6.1517282156203175</v>
      </c>
      <c r="C16" s="61" t="s">
        <v>14</v>
      </c>
    </row>
    <row r="17" spans="1:6" x14ac:dyDescent="0.3">
      <c r="A17" s="58" t="s">
        <v>225</v>
      </c>
      <c r="B17" s="62">
        <f>B16/B11</f>
        <v>20.505760718734393</v>
      </c>
      <c r="C17" s="58" t="s">
        <v>99</v>
      </c>
    </row>
    <row r="19" spans="1:6" x14ac:dyDescent="0.3">
      <c r="A19" t="s">
        <v>340</v>
      </c>
      <c r="B19" s="5">
        <f>B17*1.4</f>
        <v>28.70806500622815</v>
      </c>
      <c r="C19" t="s">
        <v>14</v>
      </c>
      <c r="D19" s="14" t="s">
        <v>341</v>
      </c>
    </row>
    <row r="22" spans="1:6" x14ac:dyDescent="0.3">
      <c r="A22" s="197" t="s">
        <v>109</v>
      </c>
      <c r="B22" s="197"/>
      <c r="D22" s="152" t="s">
        <v>227</v>
      </c>
    </row>
    <row r="23" spans="1:6" x14ac:dyDescent="0.3">
      <c r="D23" s="49"/>
    </row>
    <row r="24" spans="1:6" x14ac:dyDescent="0.3">
      <c r="D24" s="49"/>
    </row>
    <row r="25" spans="1:6" x14ac:dyDescent="0.3">
      <c r="A25" s="57" t="s">
        <v>112</v>
      </c>
    </row>
    <row r="26" spans="1:6" x14ac:dyDescent="0.3">
      <c r="A26" s="153" t="s">
        <v>114</v>
      </c>
      <c r="B26" s="154">
        <f>E26*1000</f>
        <v>2.0659722222222219</v>
      </c>
      <c r="C26" s="154" t="s">
        <v>111</v>
      </c>
      <c r="E26">
        <f>('Regenration Heater'!C61*'Regenration Heater'!C49)/('Electrical Heater'!B5*24)</f>
        <v>2.0659722222222221E-3</v>
      </c>
      <c r="F26" t="s">
        <v>113</v>
      </c>
    </row>
    <row r="27" spans="1:6" x14ac:dyDescent="0.3">
      <c r="A27" s="153" t="s">
        <v>343</v>
      </c>
      <c r="B27" s="154">
        <f>E28*1000</f>
        <v>7.0400005632000004</v>
      </c>
      <c r="C27" s="154" t="s">
        <v>111</v>
      </c>
    </row>
    <row r="28" spans="1:6" x14ac:dyDescent="0.3">
      <c r="C28" s="14"/>
      <c r="E28">
        <f>'Electrical Heater'!B20/'Electrical Heater'!B5</f>
        <v>7.0400005632000008E-3</v>
      </c>
      <c r="F28" t="s">
        <v>113</v>
      </c>
    </row>
    <row r="29" spans="1:6" x14ac:dyDescent="0.3">
      <c r="A29" s="15" t="s">
        <v>87</v>
      </c>
      <c r="B29" s="15">
        <f>B26+B27</f>
        <v>9.1059727854222228</v>
      </c>
      <c r="C29" s="15" t="s">
        <v>111</v>
      </c>
    </row>
    <row r="31" spans="1:6" x14ac:dyDescent="0.3">
      <c r="A31" s="57" t="s">
        <v>344</v>
      </c>
    </row>
    <row r="32" spans="1:6" x14ac:dyDescent="0.3">
      <c r="B32" s="154">
        <f>E32*1000</f>
        <v>1.637612835176705</v>
      </c>
      <c r="C32" s="154" t="s">
        <v>111</v>
      </c>
      <c r="E32" s="155">
        <f>B17*(24-(2*0.5))/('Total-Power-Consumption'!D2*24)</f>
        <v>1.637612835176705E-3</v>
      </c>
      <c r="F32" t="s">
        <v>110</v>
      </c>
    </row>
    <row r="34" spans="1:11" x14ac:dyDescent="0.3">
      <c r="A34" s="15" t="s">
        <v>87</v>
      </c>
      <c r="B34" s="15">
        <f>B29+B32</f>
        <v>10.743585620598928</v>
      </c>
      <c r="C34" s="15" t="s">
        <v>111</v>
      </c>
    </row>
    <row r="36" spans="1:11" x14ac:dyDescent="0.3">
      <c r="D36" s="14"/>
      <c r="E36" s="5"/>
    </row>
    <row r="37" spans="1:11" x14ac:dyDescent="0.3">
      <c r="A37" s="57" t="s">
        <v>211</v>
      </c>
    </row>
    <row r="38" spans="1:11" x14ac:dyDescent="0.3">
      <c r="A38" s="198" t="s">
        <v>209</v>
      </c>
      <c r="B38" s="198"/>
      <c r="C38" s="198"/>
      <c r="D38" s="198"/>
    </row>
    <row r="39" spans="1:11" x14ac:dyDescent="0.3">
      <c r="A39" s="198" t="s">
        <v>210</v>
      </c>
      <c r="B39" s="198"/>
      <c r="C39" s="198"/>
      <c r="D39" s="198"/>
    </row>
    <row r="40" spans="1:11" x14ac:dyDescent="0.3">
      <c r="A40" s="198" t="s">
        <v>212</v>
      </c>
      <c r="B40" s="198"/>
      <c r="C40" s="198"/>
      <c r="D40" s="198"/>
    </row>
    <row r="43" spans="1:11" x14ac:dyDescent="0.3">
      <c r="K43" s="49"/>
    </row>
  </sheetData>
  <mergeCells count="7">
    <mergeCell ref="H1:J1"/>
    <mergeCell ref="A22:B22"/>
    <mergeCell ref="A38:D38"/>
    <mergeCell ref="A39:D39"/>
    <mergeCell ref="A40:D40"/>
    <mergeCell ref="A3:C3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33C9-2FB3-4502-9787-E272088D7CDB}">
  <dimension ref="A1:O54"/>
  <sheetViews>
    <sheetView zoomScaleNormal="100" workbookViewId="0">
      <selection activeCell="C29" sqref="C29"/>
    </sheetView>
  </sheetViews>
  <sheetFormatPr defaultColWidth="8.88671875" defaultRowHeight="14.4" x14ac:dyDescent="0.3"/>
  <cols>
    <col min="1" max="1" width="59" customWidth="1"/>
    <col min="2" max="2" width="11" bestFit="1" customWidth="1"/>
    <col min="3" max="3" width="33.77734375" customWidth="1"/>
    <col min="5" max="5" width="11.44140625" customWidth="1"/>
    <col min="13" max="13" width="32.88671875" customWidth="1"/>
    <col min="14" max="14" width="27.44140625" customWidth="1"/>
  </cols>
  <sheetData>
    <row r="1" spans="1:15" x14ac:dyDescent="0.3">
      <c r="M1" s="180" t="s">
        <v>326</v>
      </c>
      <c r="N1" s="180"/>
      <c r="O1" s="180"/>
    </row>
    <row r="2" spans="1:15" ht="15.6" x14ac:dyDescent="0.3">
      <c r="A2" s="116" t="s">
        <v>123</v>
      </c>
    </row>
    <row r="4" spans="1:15" ht="15.6" x14ac:dyDescent="0.3">
      <c r="A4" s="156" t="s">
        <v>128</v>
      </c>
    </row>
    <row r="5" spans="1:15" x14ac:dyDescent="0.3">
      <c r="A5" s="15" t="s">
        <v>134</v>
      </c>
      <c r="B5" s="16">
        <v>11</v>
      </c>
      <c r="C5" s="15" t="s">
        <v>125</v>
      </c>
    </row>
    <row r="6" spans="1:15" x14ac:dyDescent="0.3">
      <c r="A6" s="15" t="s">
        <v>130</v>
      </c>
      <c r="B6" s="17">
        <f>0.11*1000</f>
        <v>110</v>
      </c>
      <c r="C6" s="15" t="s">
        <v>131</v>
      </c>
    </row>
    <row r="7" spans="1:15" x14ac:dyDescent="0.3">
      <c r="A7" s="15" t="s">
        <v>132</v>
      </c>
      <c r="B7" s="15">
        <f>Regenration_Calculation!B22</f>
        <v>186719.62819653354</v>
      </c>
      <c r="C7" s="15" t="s">
        <v>129</v>
      </c>
    </row>
    <row r="8" spans="1:15" x14ac:dyDescent="0.3">
      <c r="A8" s="15" t="s">
        <v>133</v>
      </c>
      <c r="B8" s="15">
        <f>B7/B6</f>
        <v>1697.4511654230321</v>
      </c>
      <c r="C8" s="15" t="s">
        <v>62</v>
      </c>
    </row>
    <row r="9" spans="1:15" x14ac:dyDescent="0.3">
      <c r="A9" s="15" t="s">
        <v>135</v>
      </c>
      <c r="B9" s="15">
        <v>0.72</v>
      </c>
      <c r="C9" s="15" t="s">
        <v>136</v>
      </c>
      <c r="D9" s="4" t="s">
        <v>139</v>
      </c>
    </row>
    <row r="10" spans="1:15" x14ac:dyDescent="0.3">
      <c r="A10" s="15" t="s">
        <v>137</v>
      </c>
      <c r="B10" s="15">
        <f>B8/B9</f>
        <v>2357.5710630875446</v>
      </c>
      <c r="C10" s="15" t="s">
        <v>138</v>
      </c>
    </row>
    <row r="11" spans="1:15" x14ac:dyDescent="0.3">
      <c r="A11" s="15" t="s">
        <v>145</v>
      </c>
      <c r="B11" s="15">
        <f>('Total-Power-Consumption'!D2*1000)/B12</f>
        <v>2522.6010375036731</v>
      </c>
      <c r="C11" s="15" t="s">
        <v>138</v>
      </c>
    </row>
    <row r="12" spans="1:15" x14ac:dyDescent="0.3">
      <c r="A12" s="15" t="s">
        <v>196</v>
      </c>
      <c r="B12" s="15">
        <f>('Total-Power-Consumption'!D2*1000)/(B10*'Regenration Heater'!K14)</f>
        <v>4756.9947929122454</v>
      </c>
      <c r="C12" s="15"/>
    </row>
    <row r="13" spans="1:15" x14ac:dyDescent="0.3">
      <c r="A13" s="15" t="s">
        <v>307</v>
      </c>
      <c r="B13" s="15">
        <f>B11*B9</f>
        <v>1816.2727470026446</v>
      </c>
      <c r="C13" s="15" t="s">
        <v>62</v>
      </c>
    </row>
    <row r="15" spans="1:15" ht="15.6" x14ac:dyDescent="0.3">
      <c r="A15" s="156" t="s">
        <v>181</v>
      </c>
    </row>
    <row r="16" spans="1:15" x14ac:dyDescent="0.3">
      <c r="A16" s="18"/>
      <c r="B16" s="18"/>
      <c r="C16" s="18"/>
    </row>
    <row r="17" spans="1:15" x14ac:dyDescent="0.3">
      <c r="A17" s="18" t="s">
        <v>140</v>
      </c>
      <c r="B17" s="18">
        <f>Regenration_Calculation!B15</f>
        <v>415.45551222970579</v>
      </c>
      <c r="C17" s="18" t="s">
        <v>54</v>
      </c>
    </row>
    <row r="18" spans="1:15" x14ac:dyDescent="0.3">
      <c r="A18" s="18"/>
      <c r="B18" s="18"/>
      <c r="C18" s="18"/>
    </row>
    <row r="19" spans="1:15" x14ac:dyDescent="0.3">
      <c r="A19" s="18" t="s">
        <v>141</v>
      </c>
      <c r="B19" s="21" t="s">
        <v>142</v>
      </c>
      <c r="C19" s="18" t="s">
        <v>143</v>
      </c>
    </row>
    <row r="20" spans="1:15" x14ac:dyDescent="0.3">
      <c r="A20" s="18" t="s">
        <v>148</v>
      </c>
      <c r="B20" s="20">
        <f>'dp Trockner_Betrieb 12960 P=31'!C47</f>
        <v>0.15533397805051277</v>
      </c>
      <c r="C20" s="18" t="s">
        <v>143</v>
      </c>
      <c r="M20" s="13" t="s">
        <v>65</v>
      </c>
      <c r="N20" s="13" t="s">
        <v>40</v>
      </c>
    </row>
    <row r="21" spans="1:15" x14ac:dyDescent="0.3">
      <c r="A21" s="18" t="s">
        <v>144</v>
      </c>
      <c r="B21" s="18">
        <f>B11</f>
        <v>2522.6010375036731</v>
      </c>
      <c r="C21" s="18" t="s">
        <v>146</v>
      </c>
      <c r="M21" s="30" t="s">
        <v>42</v>
      </c>
      <c r="N21" s="19">
        <v>45</v>
      </c>
      <c r="O21" t="s">
        <v>178</v>
      </c>
    </row>
    <row r="22" spans="1:15" x14ac:dyDescent="0.3">
      <c r="A22" s="18"/>
      <c r="B22" s="18"/>
      <c r="C22" s="18"/>
      <c r="M22" s="30" t="s">
        <v>175</v>
      </c>
      <c r="N22" s="19">
        <f>B32*100</f>
        <v>1016</v>
      </c>
    </row>
    <row r="23" spans="1:15" x14ac:dyDescent="0.3">
      <c r="A23" s="18" t="s">
        <v>147</v>
      </c>
      <c r="B23" s="18">
        <f>B17/(B20*3600)</f>
        <v>0.74294311135949875</v>
      </c>
      <c r="C23" s="18" t="s">
        <v>150</v>
      </c>
      <c r="M23" s="30" t="s">
        <v>170</v>
      </c>
      <c r="N23" s="31">
        <v>1</v>
      </c>
    </row>
    <row r="24" spans="1:15" x14ac:dyDescent="0.3">
      <c r="A24" s="18"/>
      <c r="B24" s="18">
        <f>B23*100</f>
        <v>74.294311135949869</v>
      </c>
      <c r="C24" s="18" t="s">
        <v>151</v>
      </c>
      <c r="M24" s="30" t="s">
        <v>171</v>
      </c>
      <c r="N24" s="31">
        <v>0</v>
      </c>
    </row>
    <row r="25" spans="1:15" x14ac:dyDescent="0.3">
      <c r="A25" s="18"/>
      <c r="B25" s="18"/>
      <c r="C25" s="18"/>
      <c r="M25" s="30" t="s">
        <v>172</v>
      </c>
      <c r="N25" s="32">
        <v>240</v>
      </c>
    </row>
    <row r="26" spans="1:15" x14ac:dyDescent="0.3">
      <c r="A26" s="18" t="s">
        <v>152</v>
      </c>
      <c r="B26" s="18">
        <f>SQRT(B23*(4/PI()))</f>
        <v>0.97259680694082762</v>
      </c>
      <c r="C26" s="18" t="s">
        <v>33</v>
      </c>
      <c r="M26" s="30" t="s">
        <v>173</v>
      </c>
      <c r="N26" s="19">
        <v>1.5</v>
      </c>
    </row>
    <row r="27" spans="1:15" x14ac:dyDescent="0.3">
      <c r="A27" s="18"/>
      <c r="B27" s="18"/>
      <c r="C27" s="18"/>
      <c r="M27" s="30" t="s">
        <v>174</v>
      </c>
      <c r="N27" s="19">
        <v>0.8</v>
      </c>
    </row>
    <row r="28" spans="1:15" x14ac:dyDescent="0.3">
      <c r="A28" s="18" t="s">
        <v>153</v>
      </c>
      <c r="B28" s="18"/>
      <c r="C28" s="18"/>
    </row>
    <row r="29" spans="1:15" x14ac:dyDescent="0.3">
      <c r="A29" s="18" t="s">
        <v>154</v>
      </c>
      <c r="B29" s="18">
        <v>64</v>
      </c>
      <c r="C29" s="18"/>
      <c r="M29" s="33" t="s">
        <v>177</v>
      </c>
      <c r="N29" s="37">
        <f>(N22*N21)/(20*N25/N26*N27+N21)+N23+N24</f>
        <v>18.550863723608444</v>
      </c>
    </row>
    <row r="30" spans="1:15" x14ac:dyDescent="0.3">
      <c r="A30" s="18" t="s">
        <v>155</v>
      </c>
      <c r="B30" s="18">
        <f>'Total-Power-Consumption'!D4</f>
        <v>1000</v>
      </c>
      <c r="C30" s="18"/>
    </row>
    <row r="31" spans="1:15" x14ac:dyDescent="0.3">
      <c r="A31" s="18" t="s">
        <v>156</v>
      </c>
      <c r="B31" s="18">
        <v>250</v>
      </c>
      <c r="C31" s="18"/>
    </row>
    <row r="32" spans="1:15" x14ac:dyDescent="0.3">
      <c r="A32" s="18" t="s">
        <v>168</v>
      </c>
      <c r="B32" s="18">
        <f>VLOOKUP(B30,Auswahl!C3:P41,2)/100</f>
        <v>10.16</v>
      </c>
      <c r="C32" s="18" t="s">
        <v>176</v>
      </c>
    </row>
    <row r="33" spans="1:3" x14ac:dyDescent="0.3">
      <c r="A33" s="18" t="s">
        <v>169</v>
      </c>
      <c r="B33" s="18">
        <f>ROUNDUP(N29,0)/100</f>
        <v>0.19</v>
      </c>
      <c r="C33" s="18" t="s">
        <v>176</v>
      </c>
    </row>
    <row r="34" spans="1:3" x14ac:dyDescent="0.3">
      <c r="A34" s="18" t="s">
        <v>179</v>
      </c>
      <c r="B34" s="34">
        <f>B21/(((B32-(2*B33))^2*PI())/4)</f>
        <v>33.580022211972455</v>
      </c>
      <c r="C34" s="18" t="s">
        <v>176</v>
      </c>
    </row>
    <row r="35" spans="1:3" x14ac:dyDescent="0.3">
      <c r="A35" s="18" t="s">
        <v>180</v>
      </c>
      <c r="B35" s="35">
        <f>ROUNDUP(B34,0)+1</f>
        <v>35</v>
      </c>
      <c r="C35" s="18" t="s">
        <v>176</v>
      </c>
    </row>
    <row r="36" spans="1:3" x14ac:dyDescent="0.3">
      <c r="A36" s="18"/>
      <c r="B36" s="18"/>
      <c r="C36" s="18"/>
    </row>
    <row r="38" spans="1:3" ht="15.6" x14ac:dyDescent="0.3">
      <c r="A38" s="156" t="s">
        <v>182</v>
      </c>
    </row>
    <row r="39" spans="1:3" x14ac:dyDescent="0.3">
      <c r="A39" s="36" t="s">
        <v>183</v>
      </c>
      <c r="B39" s="39">
        <f>(B32-(1*B33))*PI()*B35*B33*8</f>
        <v>1666.3133098346409</v>
      </c>
      <c r="C39" s="36"/>
    </row>
    <row r="40" spans="1:3" x14ac:dyDescent="0.3">
      <c r="A40" s="36" t="s">
        <v>186</v>
      </c>
      <c r="B40" s="36">
        <v>80</v>
      </c>
      <c r="C40" s="38"/>
    </row>
    <row r="41" spans="1:3" x14ac:dyDescent="0.3">
      <c r="A41" s="36" t="s">
        <v>187</v>
      </c>
      <c r="B41" s="40">
        <f>IF(B31="",VLOOKUP(B30,Auswahl!C45:O83,VLOOKUP(B29,Auswahl!R45:S56,2)),VLOOKUP(B31,Auswahl!C45:O83,VLOOKUP(B29,Auswahl!R45:S56,2)))</f>
        <v>49.6</v>
      </c>
      <c r="C41" s="36"/>
    </row>
    <row r="42" spans="1:3" x14ac:dyDescent="0.3">
      <c r="A42" s="36" t="s">
        <v>184</v>
      </c>
      <c r="B42" s="36">
        <v>0</v>
      </c>
      <c r="C42" s="38"/>
    </row>
    <row r="43" spans="1:3" x14ac:dyDescent="0.3">
      <c r="A43" s="36" t="s">
        <v>189</v>
      </c>
      <c r="B43" s="36">
        <f>IF(B31="",VLOOKUP(B30,Auswahl!C88:O126,VLOOKUP(B29,Auswahl!R45:S56,2)),VLOOKUP(B31,Auswahl!C88:O126,VLOOKUP(B29,Auswahl!R45:S56,2)))</f>
        <v>57.4</v>
      </c>
      <c r="C43" s="36"/>
    </row>
    <row r="44" spans="1:3" x14ac:dyDescent="0.3">
      <c r="A44" s="36" t="s">
        <v>188</v>
      </c>
      <c r="B44" s="36">
        <f>VLOOKUP(B32*100,Auswahl!C131:AE187,VLOOKUP(ROUNDUP(B33*100,0),Auswahl!AG130:AH157,2))*2</f>
        <v>360</v>
      </c>
      <c r="C44" s="36"/>
    </row>
    <row r="45" spans="1:3" x14ac:dyDescent="0.3">
      <c r="A45" s="36" t="s">
        <v>185</v>
      </c>
      <c r="B45" s="36">
        <v>300</v>
      </c>
      <c r="C45" s="38"/>
    </row>
    <row r="46" spans="1:3" x14ac:dyDescent="0.3">
      <c r="A46" s="36"/>
      <c r="B46" s="36"/>
      <c r="C46" s="36"/>
    </row>
    <row r="47" spans="1:3" x14ac:dyDescent="0.3">
      <c r="A47" s="36" t="s">
        <v>190</v>
      </c>
      <c r="B47" s="39">
        <f>SUM(B39:B45)</f>
        <v>2513.3133098346407</v>
      </c>
      <c r="C47" s="36" t="s">
        <v>62</v>
      </c>
    </row>
    <row r="48" spans="1:3" x14ac:dyDescent="0.3">
      <c r="A48" s="36"/>
      <c r="B48" s="36"/>
      <c r="C48" s="36"/>
    </row>
    <row r="49" spans="1:11" x14ac:dyDescent="0.3">
      <c r="A49" s="36" t="s">
        <v>191</v>
      </c>
      <c r="B49" s="36">
        <f>VLOOKUP('Total-Power-Consumption'!D2,'Heater Weight'!A2:B25,2,FALSE)</f>
        <v>150</v>
      </c>
      <c r="C49" s="36" t="s">
        <v>62</v>
      </c>
      <c r="D49" s="201" t="s">
        <v>309</v>
      </c>
      <c r="E49" s="196"/>
      <c r="F49" s="196"/>
      <c r="G49" s="196"/>
      <c r="H49" s="196"/>
      <c r="I49" s="196"/>
    </row>
    <row r="50" spans="1:11" x14ac:dyDescent="0.3">
      <c r="A50" s="36" t="s">
        <v>192</v>
      </c>
      <c r="B50" s="36">
        <f>'Total-Power-Consumption'!D5</f>
        <v>250</v>
      </c>
      <c r="C50" s="36"/>
      <c r="D50" s="201" t="s">
        <v>310</v>
      </c>
      <c r="E50" s="196"/>
      <c r="F50" s="196"/>
      <c r="G50" s="196"/>
      <c r="H50" s="196"/>
      <c r="I50" s="196"/>
      <c r="J50" s="196"/>
      <c r="K50" s="196"/>
    </row>
    <row r="51" spans="1:11" x14ac:dyDescent="0.3">
      <c r="A51" s="36"/>
      <c r="B51" s="36">
        <f>SUM(B49:B50)</f>
        <v>400</v>
      </c>
      <c r="C51" s="36" t="s">
        <v>62</v>
      </c>
    </row>
    <row r="52" spans="1:11" x14ac:dyDescent="0.3">
      <c r="A52" s="36"/>
      <c r="B52" s="36"/>
      <c r="C52" s="36"/>
    </row>
    <row r="53" spans="1:11" x14ac:dyDescent="0.3">
      <c r="A53" s="41" t="s">
        <v>193</v>
      </c>
      <c r="B53" s="42">
        <f>B47+B51</f>
        <v>2913.3133098346407</v>
      </c>
      <c r="C53" s="41" t="s">
        <v>62</v>
      </c>
    </row>
    <row r="54" spans="1:11" x14ac:dyDescent="0.3">
      <c r="A54" s="41" t="s">
        <v>194</v>
      </c>
      <c r="B54" s="42">
        <f>B53-B49</f>
        <v>2763.3133098346407</v>
      </c>
      <c r="C54" s="41" t="s">
        <v>62</v>
      </c>
    </row>
  </sheetData>
  <mergeCells count="3">
    <mergeCell ref="D49:I49"/>
    <mergeCell ref="D50:K50"/>
    <mergeCell ref="M1:O1"/>
  </mergeCells>
  <hyperlinks>
    <hyperlink ref="D9" r:id="rId1" display="https://catalysts.basf.com/products/4a-molecular-sieve" xr:uid="{A5770F63-ECED-4CAE-B645-6D88AFAA93E4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9270-7A1E-4A50-8556-4554F44DD5D9}">
  <dimension ref="A1:P74"/>
  <sheetViews>
    <sheetView zoomScale="70" zoomScaleNormal="70" workbookViewId="0">
      <selection activeCell="O28" sqref="O28"/>
    </sheetView>
  </sheetViews>
  <sheetFormatPr defaultColWidth="8.88671875" defaultRowHeight="14.4" x14ac:dyDescent="0.3"/>
  <cols>
    <col min="1" max="1" width="50.5546875" customWidth="1"/>
    <col min="2" max="2" width="13.21875" customWidth="1"/>
    <col min="3" max="3" width="16.77734375" customWidth="1"/>
    <col min="4" max="4" width="25" customWidth="1"/>
    <col min="16" max="16" width="10.33203125" customWidth="1"/>
  </cols>
  <sheetData>
    <row r="1" spans="1:16" x14ac:dyDescent="0.3">
      <c r="N1" s="180" t="s">
        <v>326</v>
      </c>
      <c r="O1" s="180"/>
      <c r="P1" s="180"/>
    </row>
    <row r="2" spans="1:16" ht="18" x14ac:dyDescent="0.35">
      <c r="A2" s="117" t="s">
        <v>41</v>
      </c>
    </row>
    <row r="3" spans="1:16" x14ac:dyDescent="0.3">
      <c r="A3" s="6"/>
    </row>
    <row r="4" spans="1:16" x14ac:dyDescent="0.3">
      <c r="A4" s="157" t="s">
        <v>47</v>
      </c>
      <c r="B4" s="157">
        <f>'Total-Power-Consumption'!D2</f>
        <v>12000</v>
      </c>
      <c r="C4" s="157" t="s">
        <v>1</v>
      </c>
    </row>
    <row r="5" spans="1:16" x14ac:dyDescent="0.3">
      <c r="A5" s="157" t="s">
        <v>2</v>
      </c>
      <c r="B5" s="157">
        <v>20</v>
      </c>
      <c r="C5" s="157" t="s">
        <v>4</v>
      </c>
    </row>
    <row r="6" spans="1:16" x14ac:dyDescent="0.3">
      <c r="A6" s="157" t="s">
        <v>42</v>
      </c>
      <c r="B6" s="157">
        <v>31</v>
      </c>
      <c r="C6" s="157" t="s">
        <v>46</v>
      </c>
    </row>
    <row r="8" spans="1:16" x14ac:dyDescent="0.3">
      <c r="A8" s="124" t="s">
        <v>43</v>
      </c>
      <c r="B8" s="158">
        <v>1</v>
      </c>
      <c r="C8" s="124"/>
    </row>
    <row r="9" spans="1:16" x14ac:dyDescent="0.3">
      <c r="A9" s="124" t="s">
        <v>44</v>
      </c>
      <c r="B9" s="124">
        <v>2.3310000000000001E-2</v>
      </c>
      <c r="C9" s="124" t="s">
        <v>5</v>
      </c>
      <c r="D9" s="4" t="s">
        <v>45</v>
      </c>
    </row>
    <row r="11" spans="1:16" x14ac:dyDescent="0.3">
      <c r="A11" s="159" t="s">
        <v>48</v>
      </c>
      <c r="B11" s="160">
        <f>B4*(B9/B6)*B8*((273+B5)/273)</f>
        <v>9.6842679900744422</v>
      </c>
      <c r="C11" s="159" t="s">
        <v>1</v>
      </c>
    </row>
    <row r="13" spans="1:16" x14ac:dyDescent="0.3">
      <c r="A13" s="159" t="s">
        <v>49</v>
      </c>
      <c r="B13" s="160">
        <f>(1.013*10^5*B11*18.01)/(8.314*273.15)</f>
        <v>7779.9845081888971</v>
      </c>
      <c r="C13" s="159" t="s">
        <v>50</v>
      </c>
      <c r="D13" t="s">
        <v>51</v>
      </c>
      <c r="E13">
        <v>18.010000000000002</v>
      </c>
      <c r="F13" t="s">
        <v>52</v>
      </c>
    </row>
    <row r="15" spans="1:16" x14ac:dyDescent="0.3">
      <c r="A15" s="159" t="s">
        <v>53</v>
      </c>
      <c r="B15" s="159">
        <f>((1*B4)/273)*((273+B5)/31)</f>
        <v>415.45551222970579</v>
      </c>
      <c r="C15" s="159" t="s">
        <v>54</v>
      </c>
    </row>
    <row r="18" spans="1:5" x14ac:dyDescent="0.3">
      <c r="A18" s="148" t="s">
        <v>55</v>
      </c>
      <c r="B18" s="148">
        <f>B13/B15</f>
        <v>18.726396158362522</v>
      </c>
      <c r="C18" s="148" t="s">
        <v>56</v>
      </c>
    </row>
    <row r="21" spans="1:5" x14ac:dyDescent="0.3">
      <c r="A21" s="124" t="s">
        <v>63</v>
      </c>
      <c r="B21" s="124">
        <v>24</v>
      </c>
      <c r="C21" s="124" t="s">
        <v>57</v>
      </c>
    </row>
    <row r="22" spans="1:5" ht="15.6" x14ac:dyDescent="0.3">
      <c r="A22" s="161" t="s">
        <v>61</v>
      </c>
      <c r="B22" s="161">
        <f>B21*B13</f>
        <v>186719.62819653354</v>
      </c>
      <c r="C22" s="161" t="s">
        <v>129</v>
      </c>
      <c r="D22">
        <f>B22/1000</f>
        <v>186.71962819653353</v>
      </c>
      <c r="E22" t="s">
        <v>62</v>
      </c>
    </row>
    <row r="24" spans="1:5" x14ac:dyDescent="0.3">
      <c r="A24" s="162" t="s">
        <v>58</v>
      </c>
      <c r="B24" s="162">
        <v>2257</v>
      </c>
      <c r="C24" s="162" t="s">
        <v>59</v>
      </c>
      <c r="D24" s="4" t="s">
        <v>60</v>
      </c>
    </row>
    <row r="25" spans="1:5" x14ac:dyDescent="0.3">
      <c r="A25" s="162"/>
      <c r="B25" s="162"/>
      <c r="C25" s="162"/>
    </row>
    <row r="26" spans="1:5" x14ac:dyDescent="0.3">
      <c r="A26" s="162" t="s">
        <v>124</v>
      </c>
      <c r="B26" s="162">
        <v>24</v>
      </c>
      <c r="C26" s="162" t="s">
        <v>57</v>
      </c>
    </row>
    <row r="27" spans="1:5" x14ac:dyDescent="0.3">
      <c r="A27" s="162"/>
      <c r="B27" s="162"/>
      <c r="C27" s="162"/>
    </row>
    <row r="28" spans="1:5" x14ac:dyDescent="0.3">
      <c r="A28" s="162" t="s">
        <v>126</v>
      </c>
      <c r="B28" s="162">
        <v>11</v>
      </c>
      <c r="C28" s="162" t="s">
        <v>125</v>
      </c>
    </row>
    <row r="29" spans="1:5" x14ac:dyDescent="0.3">
      <c r="A29" s="162"/>
      <c r="B29" s="162"/>
      <c r="C29" s="162"/>
    </row>
    <row r="30" spans="1:5" x14ac:dyDescent="0.3">
      <c r="A30" s="162" t="s">
        <v>127</v>
      </c>
      <c r="B30" s="162">
        <f>B28*10</f>
        <v>110</v>
      </c>
      <c r="C30" s="162"/>
    </row>
    <row r="74" spans="4:4" x14ac:dyDescent="0.3">
      <c r="D74" s="4" t="s">
        <v>93</v>
      </c>
    </row>
  </sheetData>
  <mergeCells count="1">
    <mergeCell ref="N1:P1"/>
  </mergeCells>
  <hyperlinks>
    <hyperlink ref="D9" r:id="rId1" display="https://www.engineeringtoolbox.com/water-vapor-saturation-pressure-d_599.html?vA=20&amp;units=C" xr:uid="{A024A202-48B9-41DF-A14C-0F84D2593B26}"/>
    <hyperlink ref="D24" r:id="rId2" display="https://www.engineeringtoolbox.com/water-properties-d_1573.html" xr:uid="{FFB90798-7F6A-4B3C-AA1E-59D5B91BAB1E}"/>
    <hyperlink ref="D74" r:id="rId3" display="http://gasprocessingnews.com/articles/2017/08/optimal-design-and-operation-of-molecular-sieve-gas-dehydration-units-part-1/" xr:uid="{2AB63322-3517-4144-9043-5F705EC42456}"/>
  </hyperlinks>
  <pageMargins left="0.7" right="0.7" top="0.75" bottom="0.75" header="0.3" footer="0.3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2F33-B83B-4346-9EB7-FBAAA2E7308A}">
  <dimension ref="A4:B4"/>
  <sheetViews>
    <sheetView workbookViewId="0">
      <selection activeCell="J14" sqref="J14"/>
    </sheetView>
  </sheetViews>
  <sheetFormatPr defaultColWidth="8.88671875" defaultRowHeight="14.4" x14ac:dyDescent="0.3"/>
  <cols>
    <col min="1" max="1" width="25.88671875" customWidth="1"/>
  </cols>
  <sheetData>
    <row r="4" spans="1:2" x14ac:dyDescent="0.3">
      <c r="A4" t="s">
        <v>120</v>
      </c>
      <c r="B4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03BD-AF96-4C6A-A94D-FB5D672E6C94}">
  <dimension ref="A1:R32"/>
  <sheetViews>
    <sheetView workbookViewId="0">
      <selection activeCell="H8" sqref="H8"/>
    </sheetView>
  </sheetViews>
  <sheetFormatPr defaultColWidth="8.88671875" defaultRowHeight="14.4" x14ac:dyDescent="0.3"/>
  <cols>
    <col min="1" max="1" width="44.88671875" customWidth="1"/>
    <col min="2" max="2" width="18.33203125" customWidth="1"/>
    <col min="3" max="3" width="13.88671875" customWidth="1"/>
    <col min="4" max="4" width="20.6640625" customWidth="1"/>
    <col min="5" max="5" width="26.21875" customWidth="1"/>
    <col min="11" max="11" width="14.44140625" customWidth="1"/>
  </cols>
  <sheetData>
    <row r="1" spans="1:18" ht="14.4" customHeight="1" x14ac:dyDescent="0.3">
      <c r="A1" s="204" t="s">
        <v>355</v>
      </c>
      <c r="B1" s="205"/>
      <c r="D1" s="206" t="s">
        <v>64</v>
      </c>
      <c r="E1" s="206"/>
      <c r="I1" s="98" t="s">
        <v>326</v>
      </c>
      <c r="J1" s="98"/>
      <c r="K1" s="98"/>
    </row>
    <row r="2" spans="1:18" x14ac:dyDescent="0.3">
      <c r="A2" s="163" t="s">
        <v>345</v>
      </c>
      <c r="B2" s="164">
        <v>2257</v>
      </c>
      <c r="D2" s="58" t="str">
        <f>'[1]Trobere 4320 P=31'!AG37</f>
        <v>dT</v>
      </c>
      <c r="E2" s="58">
        <f>'[1]Trobere 4320 P=31'!AH37</f>
        <v>190</v>
      </c>
    </row>
    <row r="3" spans="1:18" ht="14.4" customHeight="1" x14ac:dyDescent="0.3">
      <c r="A3" s="163" t="s">
        <v>346</v>
      </c>
      <c r="B3" s="165">
        <f>('[1]Edelkata 4320 P=31'!G11-'[1]Trobere 4320 P=31'!C7)*'[1]Trobere 4320 P=31'!C9*'[1]Trobere 4320 P=31'!C5/3600*4.19+B2*'[1]Trobere 4320 P=31'!H14/1000/3600</f>
        <v>46.597000764324797</v>
      </c>
      <c r="D3" s="58" t="str">
        <f>'[1]Trobere 4320 P=31'!AG38</f>
        <v>cp</v>
      </c>
      <c r="E3" s="58">
        <f>'[1]Trobere 4320 P=31'!AH38</f>
        <v>0.31</v>
      </c>
      <c r="F3" s="172"/>
      <c r="I3" s="207" t="s">
        <v>357</v>
      </c>
      <c r="J3" s="207"/>
      <c r="K3" s="207"/>
      <c r="L3" s="207"/>
      <c r="M3" s="207"/>
      <c r="N3" s="207"/>
      <c r="O3" s="207"/>
      <c r="P3" s="207"/>
      <c r="Q3" s="207"/>
      <c r="R3" s="99"/>
    </row>
    <row r="4" spans="1:18" x14ac:dyDescent="0.3">
      <c r="A4" s="163" t="s">
        <v>347</v>
      </c>
      <c r="B4" s="166">
        <v>15</v>
      </c>
      <c r="D4" s="58" t="str">
        <f>'[1]Trobere 4320 P=31'!AG39</f>
        <v>V</v>
      </c>
      <c r="E4" s="58">
        <f>'[1]Trobere 4320 P=31'!AH39</f>
        <v>190</v>
      </c>
      <c r="I4" s="207"/>
      <c r="J4" s="207"/>
      <c r="K4" s="207"/>
      <c r="L4" s="207"/>
      <c r="M4" s="207"/>
      <c r="N4" s="207"/>
      <c r="O4" s="207"/>
      <c r="P4" s="207"/>
      <c r="Q4" s="207"/>
      <c r="R4" s="99"/>
    </row>
    <row r="5" spans="1:18" x14ac:dyDescent="0.3">
      <c r="A5" s="163" t="s">
        <v>348</v>
      </c>
      <c r="B5" s="167">
        <v>10</v>
      </c>
      <c r="D5" s="58" t="str">
        <f>'[1]Trobere 4320 P=31'!AG40</f>
        <v>Q_Kühl</v>
      </c>
      <c r="E5" s="58">
        <f>'[1]Trobere 4320 P=31'!AH40</f>
        <v>4.742676964070629</v>
      </c>
      <c r="I5" s="99"/>
      <c r="J5" s="99"/>
      <c r="K5" s="99"/>
      <c r="L5" s="99"/>
      <c r="M5" s="99"/>
      <c r="N5" s="99"/>
      <c r="O5" s="99"/>
      <c r="P5" s="99"/>
      <c r="Q5" s="99"/>
      <c r="R5" s="99"/>
    </row>
    <row r="6" spans="1:18" x14ac:dyDescent="0.3">
      <c r="A6" s="163" t="s">
        <v>349</v>
      </c>
      <c r="B6" s="168">
        <f>B5*B11</f>
        <v>10440</v>
      </c>
      <c r="D6" s="58" t="str">
        <f>'[1]Trobere 4320 P=31'!AG41</f>
        <v>T_cw_in:</v>
      </c>
      <c r="E6" s="58">
        <f>'[1]Trobere 4320 P=31'!AH41</f>
        <v>15</v>
      </c>
      <c r="I6" s="99"/>
      <c r="J6" s="99"/>
      <c r="K6" s="99"/>
      <c r="L6" s="99"/>
      <c r="M6" s="99"/>
      <c r="N6" s="99"/>
      <c r="O6" s="99"/>
      <c r="P6" s="99"/>
      <c r="Q6" s="99"/>
      <c r="R6" s="99"/>
    </row>
    <row r="7" spans="1:18" x14ac:dyDescent="0.3">
      <c r="A7" s="163" t="s">
        <v>350</v>
      </c>
      <c r="B7" s="166">
        <f>B3/(B6/3600)/B12+B4</f>
        <v>19.580368100924467</v>
      </c>
      <c r="D7" s="58" t="str">
        <f>'[1]Trobere 4320 P=31'!AG42</f>
        <v>V_Chw:</v>
      </c>
      <c r="E7" s="58">
        <f>'[1]Trobere 4320 P=31'!AH42</f>
        <v>1</v>
      </c>
    </row>
    <row r="8" spans="1:18" x14ac:dyDescent="0.3">
      <c r="A8" s="163" t="s">
        <v>351</v>
      </c>
      <c r="B8" s="165">
        <v>50</v>
      </c>
      <c r="D8" s="58" t="str">
        <f>'[1]Trobere 4320 P=31'!AG43</f>
        <v>m_Chw:</v>
      </c>
      <c r="E8" s="58">
        <f>'[1]Trobere 4320 P=31'!AH43</f>
        <v>1044</v>
      </c>
    </row>
    <row r="9" spans="1:18" x14ac:dyDescent="0.3">
      <c r="A9" s="163" t="s">
        <v>149</v>
      </c>
      <c r="B9" s="163">
        <v>40</v>
      </c>
      <c r="D9" s="58" t="str">
        <f>'[1]Trobere 4320 P=31'!AG44</f>
        <v>T_cw_aus</v>
      </c>
      <c r="E9" s="58">
        <f>'[1]Trobere 4320 P=31'!AH44</f>
        <v>19.661932296691926</v>
      </c>
    </row>
    <row r="10" spans="1:18" x14ac:dyDescent="0.3">
      <c r="A10" s="163" t="s">
        <v>352</v>
      </c>
      <c r="B10" s="169">
        <f>B5/3600/(((B9/1000)^2)*PI()/4)</f>
        <v>2.2104853207207689</v>
      </c>
      <c r="D10" s="58" t="str">
        <f>'[1]Trobere 4320 P=31'!AG45</f>
        <v>Gewählt Q:</v>
      </c>
      <c r="E10" s="58">
        <f>'[1]Trobere 4320 P=31'!AH45</f>
        <v>10</v>
      </c>
    </row>
    <row r="11" spans="1:18" x14ac:dyDescent="0.3">
      <c r="A11" s="163" t="s">
        <v>353</v>
      </c>
      <c r="B11" s="170">
        <f>0.6*1000+0.4*1110</f>
        <v>1044</v>
      </c>
      <c r="D11" s="58" t="str">
        <f>'[1]Trobere 4320 P=31'!AG46</f>
        <v>DN</v>
      </c>
      <c r="E11" s="58">
        <f>'[1]Trobere 4320 P=31'!AH46</f>
        <v>15</v>
      </c>
    </row>
    <row r="12" spans="1:18" x14ac:dyDescent="0.3">
      <c r="A12" s="163" t="s">
        <v>354</v>
      </c>
      <c r="B12" s="171">
        <f>0.6*4.18+0.4*2.5</f>
        <v>3.5079999999999996</v>
      </c>
      <c r="D12" s="58" t="str">
        <f>'[1]Trobere 4320 P=31'!AG47</f>
        <v>v_Chw</v>
      </c>
      <c r="E12" s="58">
        <f>'[1]Trobere 4320 P=31'!AH47</f>
        <v>1.5719006725125466</v>
      </c>
    </row>
    <row r="13" spans="1:18" x14ac:dyDescent="0.3">
      <c r="A13" s="58"/>
      <c r="B13" s="58"/>
      <c r="D13" s="58" t="str">
        <f>'[1]Trobere 4320 P=31'!AG48</f>
        <v>roh_Wasser_40Glyk</v>
      </c>
      <c r="E13" s="58">
        <f>'[1]Trobere 4320 P=31'!AH48</f>
        <v>1044</v>
      </c>
    </row>
    <row r="14" spans="1:18" x14ac:dyDescent="0.3">
      <c r="D14" s="58" t="str">
        <f>'[1]Trobere 4320 P=31'!AG49</f>
        <v>cp_Wasser_40Glyk</v>
      </c>
      <c r="E14" s="58">
        <f>'[1]Trobere 4320 P=31'!AH49</f>
        <v>3.5079999999999996</v>
      </c>
    </row>
    <row r="15" spans="1:18" x14ac:dyDescent="0.3">
      <c r="A15" s="202" t="s">
        <v>356</v>
      </c>
      <c r="B15" s="203"/>
    </row>
    <row r="16" spans="1:18" x14ac:dyDescent="0.3">
      <c r="A16" s="58" t="str">
        <f>'[1]Trobere 4320 P=31'!AG17</f>
        <v>dT</v>
      </c>
      <c r="B16" s="58">
        <f>'[1]Trobere 4320 P=31'!AH17</f>
        <v>190</v>
      </c>
    </row>
    <row r="17" spans="1:6" x14ac:dyDescent="0.3">
      <c r="A17" s="58" t="str">
        <f>'[1]Trobere 4320 P=31'!AG18</f>
        <v>cp</v>
      </c>
      <c r="B17" s="58">
        <f>'[1]Trobere 4320 P=31'!AH18</f>
        <v>0.31</v>
      </c>
    </row>
    <row r="18" spans="1:6" x14ac:dyDescent="0.3">
      <c r="A18" s="58" t="str">
        <f>'[1]Trobere 4320 P=31'!AG19</f>
        <v>V</v>
      </c>
      <c r="B18" s="58">
        <f>'[1]Trobere 4320 P=31'!AH19</f>
        <v>190</v>
      </c>
    </row>
    <row r="19" spans="1:6" x14ac:dyDescent="0.3">
      <c r="A19" s="58" t="str">
        <f>'[1]Trobere 4320 P=31'!AG20</f>
        <v>Q_cool</v>
      </c>
      <c r="B19" s="58">
        <f>'[1]Trobere 4320 P=31'!AH20</f>
        <v>12.993994444444443</v>
      </c>
    </row>
    <row r="20" spans="1:6" x14ac:dyDescent="0.3">
      <c r="A20" s="58" t="str">
        <f>'[1]Trobere 4320 P=31'!AG21</f>
        <v>Q_latent_max</v>
      </c>
      <c r="B20" s="58">
        <f>'[1]Trobere 4320 P=31'!AH21</f>
        <v>13.083423138095368</v>
      </c>
    </row>
    <row r="21" spans="1:6" x14ac:dyDescent="0.3">
      <c r="A21" s="58" t="str">
        <f>'[1]Trobere 4320 P=31'!AG22</f>
        <v>Q_avg.</v>
      </c>
      <c r="B21" s="58">
        <f>'[1]Trobere 4320 P=31'!AH22</f>
        <v>14.629422336706364</v>
      </c>
    </row>
    <row r="22" spans="1:6" x14ac:dyDescent="0.3">
      <c r="A22" s="58" t="str">
        <f>'[1]Trobere 4320 P=31'!AG23</f>
        <v>m_Cond_max</v>
      </c>
      <c r="B22" s="58">
        <f>'[1]Trobere 4320 P=31'!AH23</f>
        <v>20.868552634977103</v>
      </c>
    </row>
    <row r="23" spans="1:6" x14ac:dyDescent="0.3">
      <c r="A23" s="58" t="str">
        <f>'[1]Trobere 4320 P=31'!AG24</f>
        <v>Q_sum</v>
      </c>
      <c r="B23" s="58">
        <f>'[1]Trobere 4320 P=31'!AH24</f>
        <v>26.077417582539809</v>
      </c>
    </row>
    <row r="24" spans="1:6" x14ac:dyDescent="0.3">
      <c r="A24" s="58" t="str">
        <f>'[1]Trobere 4320 P=31'!AG25</f>
        <v>T_cw_in:</v>
      </c>
      <c r="B24" s="58">
        <f>'[1]Trobere 4320 P=31'!AH25</f>
        <v>15</v>
      </c>
      <c r="F24" s="102"/>
    </row>
    <row r="25" spans="1:6" x14ac:dyDescent="0.3">
      <c r="A25" s="58" t="str">
        <f>'[1]Trobere 4320 P=31'!AG26</f>
        <v>V_Chw:</v>
      </c>
      <c r="B25" s="58">
        <f>'[1]Trobere 4320 P=31'!AH26</f>
        <v>6</v>
      </c>
    </row>
    <row r="26" spans="1:6" x14ac:dyDescent="0.3">
      <c r="A26" s="58" t="str">
        <f>'[1]Trobere 4320 P=31'!AG27</f>
        <v>m_Chw:</v>
      </c>
      <c r="B26" s="58">
        <f>'[1]Trobere 4320 P=31'!AH27</f>
        <v>6264</v>
      </c>
    </row>
    <row r="27" spans="1:6" x14ac:dyDescent="0.3">
      <c r="A27" s="58" t="str">
        <f>'[1]Trobere 4320 P=31'!AG28</f>
        <v>T_cw_aus</v>
      </c>
      <c r="B27" s="58">
        <f>'[1]Trobere 4320 P=31'!AH28</f>
        <v>19.272241048791564</v>
      </c>
    </row>
    <row r="28" spans="1:6" x14ac:dyDescent="0.3">
      <c r="A28" s="58" t="str">
        <f>'[1]Trobere 4320 P=31'!AG29</f>
        <v>Gewählt Q:</v>
      </c>
      <c r="B28" s="58">
        <f>'[1]Trobere 4320 P=31'!AH29</f>
        <v>30</v>
      </c>
    </row>
    <row r="29" spans="1:6" x14ac:dyDescent="0.3">
      <c r="A29" s="58" t="str">
        <f>'[1]Trobere 4320 P=31'!AG30</f>
        <v>DN</v>
      </c>
      <c r="B29" s="58">
        <f>'[1]Trobere 4320 P=31'!AH30</f>
        <v>40</v>
      </c>
    </row>
    <row r="30" spans="1:6" x14ac:dyDescent="0.3">
      <c r="A30" s="58" t="str">
        <f>'[1]Trobere 4320 P=31'!AG31</f>
        <v>v_Chw</v>
      </c>
      <c r="B30" s="58">
        <f>'[1]Trobere 4320 P=31'!AH31</f>
        <v>1.3262911924324612</v>
      </c>
    </row>
    <row r="31" spans="1:6" x14ac:dyDescent="0.3">
      <c r="A31" s="58" t="str">
        <f>'[1]Trobere 4320 P=31'!AG32</f>
        <v>roh_Wasser_40Glyk</v>
      </c>
      <c r="B31" s="58">
        <f>'[1]Trobere 4320 P=31'!AH32</f>
        <v>1044</v>
      </c>
    </row>
    <row r="32" spans="1:6" x14ac:dyDescent="0.3">
      <c r="A32" s="58" t="str">
        <f>'[1]Trobere 4320 P=31'!AG33</f>
        <v>cp_Wasser_40Glyk</v>
      </c>
      <c r="B32" s="58">
        <f>'[1]Trobere 4320 P=31'!AH33</f>
        <v>3.5079999999999996</v>
      </c>
    </row>
  </sheetData>
  <mergeCells count="4">
    <mergeCell ref="A15:B15"/>
    <mergeCell ref="A1:B1"/>
    <mergeCell ref="D1:E1"/>
    <mergeCell ref="I3:Q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8A73-43F7-421E-A7E6-83AA63CB20DA}">
  <dimension ref="A1:I24"/>
  <sheetViews>
    <sheetView workbookViewId="0">
      <selection activeCell="M23" sqref="M23"/>
    </sheetView>
  </sheetViews>
  <sheetFormatPr defaultColWidth="8.88671875" defaultRowHeight="14.4" x14ac:dyDescent="0.3"/>
  <cols>
    <col min="2" max="2" width="30.44140625" customWidth="1"/>
    <col min="8" max="8" width="17.6640625" customWidth="1"/>
  </cols>
  <sheetData>
    <row r="1" spans="1:9" x14ac:dyDescent="0.3">
      <c r="A1" t="s">
        <v>15</v>
      </c>
    </row>
    <row r="3" spans="1:9" x14ac:dyDescent="0.3">
      <c r="A3" t="s">
        <v>16</v>
      </c>
    </row>
    <row r="4" spans="1:9" x14ac:dyDescent="0.3">
      <c r="G4" t="s">
        <v>17</v>
      </c>
    </row>
    <row r="5" spans="1:9" x14ac:dyDescent="0.3">
      <c r="A5" t="s">
        <v>18</v>
      </c>
      <c r="B5" t="s">
        <v>19</v>
      </c>
      <c r="C5" t="s">
        <v>20</v>
      </c>
      <c r="H5" t="s">
        <v>21</v>
      </c>
      <c r="I5" t="s">
        <v>22</v>
      </c>
    </row>
    <row r="6" spans="1:9" x14ac:dyDescent="0.3">
      <c r="A6" t="s">
        <v>23</v>
      </c>
      <c r="B6" t="s">
        <v>24</v>
      </c>
      <c r="C6" t="s">
        <v>25</v>
      </c>
    </row>
    <row r="7" spans="1:9" x14ac:dyDescent="0.3">
      <c r="H7" t="s">
        <v>21</v>
      </c>
      <c r="I7" t="s">
        <v>26</v>
      </c>
    </row>
    <row r="8" spans="1:9" x14ac:dyDescent="0.3">
      <c r="A8" t="s">
        <v>27</v>
      </c>
      <c r="B8">
        <v>2</v>
      </c>
      <c r="C8" t="s">
        <v>358</v>
      </c>
    </row>
    <row r="9" spans="1:9" x14ac:dyDescent="0.3">
      <c r="A9" t="s">
        <v>28</v>
      </c>
      <c r="B9" s="3">
        <v>8314</v>
      </c>
      <c r="C9" t="s">
        <v>29</v>
      </c>
    </row>
    <row r="11" spans="1:9" x14ac:dyDescent="0.3">
      <c r="A11" t="s">
        <v>30</v>
      </c>
      <c r="B11" t="s">
        <v>31</v>
      </c>
    </row>
    <row r="12" spans="1:9" x14ac:dyDescent="0.3">
      <c r="A12" t="s">
        <v>32</v>
      </c>
    </row>
    <row r="14" spans="1:9" x14ac:dyDescent="0.3">
      <c r="A14" t="s">
        <v>33</v>
      </c>
      <c r="B14" t="s">
        <v>34</v>
      </c>
    </row>
    <row r="16" spans="1:9" x14ac:dyDescent="0.3">
      <c r="A16" t="s">
        <v>35</v>
      </c>
    </row>
    <row r="18" spans="1:6" x14ac:dyDescent="0.3">
      <c r="A18" t="s">
        <v>359</v>
      </c>
      <c r="B18" t="s">
        <v>36</v>
      </c>
    </row>
    <row r="20" spans="1:6" x14ac:dyDescent="0.3">
      <c r="A20" s="215" t="s">
        <v>37</v>
      </c>
      <c r="B20" s="215">
        <v>338</v>
      </c>
      <c r="C20" s="215" t="s">
        <v>1</v>
      </c>
      <c r="D20" s="215"/>
    </row>
    <row r="22" spans="1:6" x14ac:dyDescent="0.3">
      <c r="A22" s="214" t="s">
        <v>33</v>
      </c>
      <c r="B22" s="214">
        <f>0.044*2*B20</f>
        <v>29.744</v>
      </c>
      <c r="C22" s="214" t="s">
        <v>10</v>
      </c>
      <c r="D22" s="214"/>
    </row>
    <row r="24" spans="1:6" x14ac:dyDescent="0.3">
      <c r="F24" s="4" t="s">
        <v>38</v>
      </c>
    </row>
  </sheetData>
  <hyperlinks>
    <hyperlink ref="F24" r:id="rId1" display="https://xchanger.com/calculators/gas-flow-calculator/" xr:uid="{A407C368-B71D-40F5-8C63-7AF4C33F2F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Total-Power-Consumption</vt:lpstr>
      <vt:lpstr>Electrical Heater</vt:lpstr>
      <vt:lpstr>Regenration Heater</vt:lpstr>
      <vt:lpstr>Regenration Blower</vt:lpstr>
      <vt:lpstr>Vessel&amp;Mol_Sieve</vt:lpstr>
      <vt:lpstr>Regenration_Calculation</vt:lpstr>
      <vt:lpstr>Blower-process Gas</vt:lpstr>
      <vt:lpstr>Utilities</vt:lpstr>
      <vt:lpstr>Nm3h toKghr</vt:lpstr>
      <vt:lpstr>Auswahl</vt:lpstr>
      <vt:lpstr>dp Trockner_Betrieb 12960 P=31</vt:lpstr>
      <vt:lpstr>Heater Weight</vt:lpstr>
      <vt:lpstr>'dp Trockner_Betrieb 12960 P=31'!Druckbereich_MI</vt:lpstr>
      <vt:lpstr>'dp Trockner_Betrieb 12960 P=31'!Print_Area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Fahad Ahmed</dc:creator>
  <cp:lastModifiedBy>Mohammad Fahad Ahmed</cp:lastModifiedBy>
  <cp:lastPrinted>2024-07-31T13:43:27Z</cp:lastPrinted>
  <dcterms:created xsi:type="dcterms:W3CDTF">2015-06-05T18:19:34Z</dcterms:created>
  <dcterms:modified xsi:type="dcterms:W3CDTF">2024-08-05T11:54:20Z</dcterms:modified>
</cp:coreProperties>
</file>