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Collected Data Site 1484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hs2ME/MMad9FtcU2ozzPidrt1FZA=="/>
    </ext>
  </extLst>
</workbook>
</file>

<file path=xl/calcChain.xml><?xml version="1.0" encoding="utf-8"?>
<calcChain xmlns="http://schemas.openxmlformats.org/spreadsheetml/2006/main">
  <c r="O217" i="1" l="1"/>
  <c r="I85" i="1"/>
  <c r="L85" i="1" s="1"/>
  <c r="L84" i="1"/>
  <c r="L83" i="1"/>
  <c r="L82" i="1"/>
  <c r="L81" i="1"/>
  <c r="L80" i="1"/>
  <c r="F80" i="1"/>
  <c r="L79" i="1"/>
  <c r="J79" i="1"/>
  <c r="I79" i="1"/>
  <c r="F79" i="1"/>
  <c r="J78" i="1"/>
  <c r="I78" i="1"/>
  <c r="L78" i="1" s="1"/>
  <c r="D78" i="1"/>
  <c r="C78" i="1"/>
  <c r="F78" i="1" s="1"/>
  <c r="J77" i="1"/>
  <c r="I77" i="1"/>
  <c r="L77" i="1" s="1"/>
  <c r="D77" i="1"/>
  <c r="C77" i="1"/>
  <c r="F77" i="1" s="1"/>
  <c r="L76" i="1"/>
  <c r="K76" i="1"/>
  <c r="J76" i="1"/>
  <c r="I76" i="1"/>
  <c r="F76" i="1"/>
  <c r="D76" i="1"/>
  <c r="C76" i="1"/>
  <c r="L75" i="1"/>
  <c r="J75" i="1"/>
  <c r="I75" i="1"/>
  <c r="F75" i="1"/>
  <c r="D75" i="1"/>
  <c r="C75" i="1"/>
  <c r="L74" i="1"/>
  <c r="J74" i="1"/>
  <c r="I74" i="1"/>
  <c r="F74" i="1"/>
  <c r="D74" i="1"/>
  <c r="C74" i="1"/>
  <c r="L73" i="1"/>
  <c r="J73" i="1"/>
  <c r="I73" i="1"/>
  <c r="F73" i="1"/>
  <c r="D73" i="1"/>
  <c r="C73" i="1"/>
  <c r="L72" i="1"/>
  <c r="J72" i="1"/>
  <c r="I72" i="1"/>
  <c r="F72" i="1"/>
  <c r="D72" i="1"/>
  <c r="C72" i="1"/>
  <c r="L71" i="1"/>
  <c r="J71" i="1"/>
  <c r="I71" i="1"/>
  <c r="F71" i="1"/>
  <c r="D71" i="1"/>
  <c r="C71" i="1"/>
  <c r="L70" i="1"/>
  <c r="J70" i="1"/>
  <c r="I70" i="1"/>
  <c r="F70" i="1"/>
  <c r="D70" i="1"/>
  <c r="C70" i="1"/>
  <c r="L69" i="1"/>
  <c r="J69" i="1"/>
  <c r="I69" i="1"/>
  <c r="F69" i="1"/>
  <c r="D69" i="1"/>
  <c r="C69" i="1"/>
  <c r="L68" i="1"/>
  <c r="J68" i="1"/>
  <c r="I68" i="1"/>
  <c r="F68" i="1"/>
  <c r="D68" i="1"/>
  <c r="C68" i="1"/>
  <c r="L67" i="1"/>
  <c r="J67" i="1"/>
  <c r="I67" i="1"/>
  <c r="F67" i="1"/>
  <c r="D67" i="1"/>
  <c r="C67" i="1"/>
  <c r="L66" i="1"/>
  <c r="J66" i="1"/>
  <c r="I66" i="1"/>
  <c r="F66" i="1"/>
  <c r="D66" i="1"/>
  <c r="C66" i="1"/>
  <c r="L65" i="1"/>
  <c r="J65" i="1"/>
  <c r="I65" i="1"/>
  <c r="F65" i="1"/>
  <c r="D65" i="1"/>
  <c r="C65" i="1"/>
  <c r="L64" i="1"/>
  <c r="J64" i="1"/>
  <c r="I64" i="1"/>
  <c r="F64" i="1"/>
  <c r="D64" i="1"/>
  <c r="C64" i="1"/>
  <c r="L63" i="1"/>
  <c r="J63" i="1"/>
  <c r="I63" i="1"/>
  <c r="F63" i="1"/>
  <c r="D63" i="1"/>
  <c r="C63" i="1"/>
  <c r="L62" i="1"/>
  <c r="J62" i="1"/>
  <c r="I62" i="1"/>
  <c r="F62" i="1"/>
  <c r="D62" i="1"/>
  <c r="C62" i="1"/>
  <c r="L61" i="1"/>
  <c r="J61" i="1"/>
  <c r="I61" i="1"/>
  <c r="F61" i="1"/>
  <c r="D61" i="1"/>
  <c r="C61" i="1"/>
  <c r="R56" i="1"/>
  <c r="R55" i="1"/>
  <c r="R54" i="1"/>
  <c r="L54" i="1"/>
  <c r="F54" i="1"/>
  <c r="P53" i="1"/>
  <c r="O53" i="1"/>
  <c r="R53" i="1" s="1"/>
  <c r="L53" i="1"/>
  <c r="F53" i="1"/>
  <c r="P52" i="1"/>
  <c r="O52" i="1"/>
  <c r="R52" i="1" s="1"/>
  <c r="L52" i="1"/>
  <c r="C52" i="1"/>
  <c r="F52" i="1" s="1"/>
  <c r="P51" i="1"/>
  <c r="O51" i="1"/>
  <c r="R51" i="1" s="1"/>
  <c r="L51" i="1"/>
  <c r="F51" i="1"/>
  <c r="P50" i="1"/>
  <c r="O50" i="1"/>
  <c r="R50" i="1" s="1"/>
  <c r="J50" i="1"/>
  <c r="I50" i="1"/>
  <c r="L50" i="1" s="1"/>
  <c r="F50" i="1"/>
  <c r="R49" i="1"/>
  <c r="P49" i="1"/>
  <c r="O49" i="1"/>
  <c r="L49" i="1"/>
  <c r="J49" i="1"/>
  <c r="I49" i="1"/>
  <c r="F49" i="1"/>
  <c r="C49" i="1"/>
  <c r="R48" i="1"/>
  <c r="P48" i="1"/>
  <c r="O48" i="1"/>
  <c r="L48" i="1"/>
  <c r="J48" i="1"/>
  <c r="I48" i="1"/>
  <c r="F48" i="1"/>
  <c r="D48" i="1"/>
  <c r="C48" i="1"/>
  <c r="R47" i="1"/>
  <c r="P47" i="1"/>
  <c r="O47" i="1"/>
  <c r="L47" i="1"/>
  <c r="J47" i="1"/>
  <c r="I47" i="1"/>
  <c r="F47" i="1"/>
  <c r="D47" i="1"/>
  <c r="C47" i="1"/>
  <c r="R46" i="1"/>
  <c r="P46" i="1"/>
  <c r="O46" i="1"/>
  <c r="L46" i="1"/>
  <c r="J46" i="1"/>
  <c r="I46" i="1"/>
  <c r="F46" i="1"/>
  <c r="D46" i="1"/>
  <c r="C46" i="1"/>
  <c r="R45" i="1"/>
  <c r="P45" i="1"/>
  <c r="O45" i="1"/>
  <c r="L45" i="1"/>
  <c r="J45" i="1"/>
  <c r="I45" i="1"/>
  <c r="F45" i="1"/>
  <c r="D45" i="1"/>
  <c r="C45" i="1"/>
  <c r="R44" i="1"/>
  <c r="P44" i="1"/>
  <c r="O44" i="1"/>
  <c r="L44" i="1"/>
  <c r="J44" i="1"/>
  <c r="I44" i="1"/>
  <c r="F44" i="1"/>
  <c r="D44" i="1"/>
  <c r="C44" i="1"/>
  <c r="R43" i="1"/>
  <c r="P43" i="1"/>
  <c r="O43" i="1"/>
  <c r="L43" i="1"/>
  <c r="J43" i="1"/>
  <c r="I43" i="1"/>
  <c r="F43" i="1"/>
  <c r="D43" i="1"/>
  <c r="C43" i="1"/>
  <c r="R42" i="1"/>
  <c r="P42" i="1"/>
  <c r="O42" i="1"/>
  <c r="L42" i="1"/>
  <c r="J42" i="1"/>
  <c r="I42" i="1"/>
  <c r="F42" i="1"/>
  <c r="D42" i="1"/>
  <c r="C42" i="1"/>
  <c r="R41" i="1"/>
  <c r="P41" i="1"/>
  <c r="O41" i="1"/>
  <c r="L41" i="1"/>
  <c r="J41" i="1"/>
  <c r="I41" i="1"/>
  <c r="F41" i="1"/>
  <c r="D41" i="1"/>
  <c r="C41" i="1"/>
  <c r="R34" i="1"/>
  <c r="R33" i="1"/>
  <c r="L33" i="1"/>
  <c r="F33" i="1"/>
  <c r="R32" i="1"/>
  <c r="L32" i="1"/>
  <c r="F32" i="1"/>
  <c r="R31" i="1"/>
  <c r="L31" i="1"/>
  <c r="F31" i="1"/>
  <c r="R30" i="1"/>
  <c r="L30" i="1"/>
  <c r="F30" i="1"/>
  <c r="P29" i="1"/>
  <c r="O29" i="1"/>
  <c r="R29" i="1" s="1"/>
  <c r="L29" i="1"/>
  <c r="F29" i="1"/>
  <c r="P28" i="1"/>
  <c r="O28" i="1"/>
  <c r="R28" i="1" s="1"/>
  <c r="L28" i="1"/>
  <c r="F28" i="1"/>
  <c r="P27" i="1"/>
  <c r="O27" i="1"/>
  <c r="R27" i="1" s="1"/>
  <c r="L27" i="1"/>
  <c r="F27" i="1"/>
  <c r="P26" i="1"/>
  <c r="O26" i="1"/>
  <c r="R26" i="1" s="1"/>
  <c r="L26" i="1"/>
  <c r="F26" i="1"/>
  <c r="P25" i="1"/>
  <c r="O25" i="1"/>
  <c r="R25" i="1" s="1"/>
  <c r="L25" i="1"/>
  <c r="F25" i="1"/>
  <c r="P24" i="1"/>
  <c r="O24" i="1"/>
  <c r="R24" i="1" s="1"/>
  <c r="L24" i="1"/>
  <c r="F24" i="1"/>
  <c r="O17" i="1"/>
  <c r="R17" i="1" s="1"/>
  <c r="L17" i="1"/>
  <c r="J17" i="1"/>
  <c r="I17" i="1"/>
  <c r="F17" i="1"/>
  <c r="R16" i="1"/>
  <c r="O16" i="1"/>
  <c r="J16" i="1"/>
  <c r="I16" i="1"/>
  <c r="L16" i="1" s="1"/>
  <c r="F16" i="1"/>
  <c r="R15" i="1"/>
  <c r="J15" i="1"/>
  <c r="I15" i="1"/>
  <c r="L15" i="1" s="1"/>
  <c r="D15" i="1"/>
  <c r="C15" i="1"/>
  <c r="F15" i="1" s="1"/>
  <c r="R14" i="1"/>
  <c r="L14" i="1"/>
  <c r="J14" i="1"/>
  <c r="I14" i="1"/>
  <c r="F14" i="1"/>
  <c r="D14" i="1"/>
  <c r="C14" i="1"/>
  <c r="R13" i="1"/>
  <c r="J13" i="1"/>
  <c r="I13" i="1"/>
  <c r="L13" i="1" s="1"/>
  <c r="D13" i="1"/>
  <c r="C13" i="1"/>
  <c r="F13" i="1" s="1"/>
  <c r="R12" i="1"/>
  <c r="L12" i="1"/>
  <c r="J12" i="1"/>
  <c r="I12" i="1"/>
  <c r="F12" i="1"/>
  <c r="D12" i="1"/>
  <c r="C12" i="1"/>
  <c r="R11" i="1"/>
  <c r="J11" i="1"/>
  <c r="I11" i="1"/>
  <c r="L11" i="1" s="1"/>
  <c r="D11" i="1"/>
  <c r="C11" i="1"/>
  <c r="F11" i="1" s="1"/>
  <c r="R10" i="1"/>
  <c r="L10" i="1"/>
  <c r="J10" i="1"/>
  <c r="I10" i="1"/>
  <c r="F10" i="1"/>
  <c r="D10" i="1"/>
  <c r="C10" i="1"/>
  <c r="R9" i="1"/>
  <c r="J9" i="1"/>
  <c r="I9" i="1"/>
  <c r="L9" i="1" s="1"/>
  <c r="D9" i="1"/>
  <c r="C9" i="1"/>
  <c r="F9" i="1" s="1"/>
  <c r="R8" i="1"/>
  <c r="L8" i="1"/>
  <c r="J8" i="1"/>
  <c r="I8" i="1"/>
  <c r="F8" i="1"/>
  <c r="D8" i="1"/>
  <c r="C8" i="1"/>
  <c r="R7" i="1"/>
  <c r="J7" i="1"/>
  <c r="I7" i="1"/>
  <c r="L7" i="1" s="1"/>
  <c r="D7" i="1"/>
  <c r="C7" i="1"/>
  <c r="F7" i="1" s="1"/>
  <c r="P6" i="1"/>
  <c r="O6" i="1"/>
  <c r="R6" i="1" s="1"/>
  <c r="J6" i="1"/>
  <c r="I6" i="1"/>
  <c r="L6" i="1" s="1"/>
  <c r="D6" i="1"/>
  <c r="C6" i="1"/>
  <c r="F6" i="1" s="1"/>
</calcChain>
</file>

<file path=xl/sharedStrings.xml><?xml version="1.0" encoding="utf-8"?>
<sst xmlns="http://schemas.openxmlformats.org/spreadsheetml/2006/main" count="79" uniqueCount="9">
  <si>
    <t>Site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</si>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</sst>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/>
    <xf numFmtId="0" fontId="1" fillId="0" borderId="2" xfId="0" applyFont="1" applyBorder="1"/>
    <xf numFmtId="0" fontId="2" fillId="0" borderId="0" xfId="0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(42.1)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916127287367765"/>
                  <c:y val="-7.0949762858590046E-2"/>
                </c:manualLayout>
              </c:layout>
              <c:numFmt formatCode="General" sourceLinked="0"/>
            </c:trendlineLbl>
          </c:trendline>
          <c:xVal>
            <c:numRef>
              <c:f>'Collected Data Site 1484'!$B$6:$B$17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1484'!$E$6:$E$17</c:f>
              <c:numCache>
                <c:formatCode>General</c:formatCode>
                <c:ptCount val="12"/>
                <c:pt idx="0">
                  <c:v>1.69</c:v>
                </c:pt>
                <c:pt idx="1">
                  <c:v>1.59</c:v>
                </c:pt>
                <c:pt idx="2">
                  <c:v>1.51</c:v>
                </c:pt>
                <c:pt idx="3">
                  <c:v>1.45</c:v>
                </c:pt>
                <c:pt idx="4">
                  <c:v>1.36</c:v>
                </c:pt>
                <c:pt idx="5">
                  <c:v>1.28</c:v>
                </c:pt>
                <c:pt idx="6">
                  <c:v>1.18</c:v>
                </c:pt>
                <c:pt idx="7">
                  <c:v>1.0900000000000001</c:v>
                </c:pt>
                <c:pt idx="8">
                  <c:v>0.97</c:v>
                </c:pt>
                <c:pt idx="9">
                  <c:v>0.84</c:v>
                </c:pt>
                <c:pt idx="10">
                  <c:v>0.69</c:v>
                </c:pt>
                <c:pt idx="11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D-4CC7-A041-BDE8F220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98245"/>
        <c:axId val="2045461816"/>
      </c:scatterChart>
      <c:valAx>
        <c:axId val="6168982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461816"/>
        <c:crosses val="autoZero"/>
        <c:crossBetween val="midCat"/>
      </c:valAx>
      <c:valAx>
        <c:axId val="204546181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68982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(850.56)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437020138837784"/>
                  <c:y val="-0.20809135700142742"/>
                </c:manualLayout>
              </c:layout>
              <c:numFmt formatCode="General" sourceLinked="0"/>
            </c:trendlineLbl>
          </c:trendline>
          <c:xVal>
            <c:numRef>
              <c:f>'Collected Data Site 1484'!$B$61:$B$80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'Collected Data Site 1484'!$E$61:$E$80</c:f>
              <c:numCache>
                <c:formatCode>General</c:formatCode>
                <c:ptCount val="20"/>
                <c:pt idx="0">
                  <c:v>2.02</c:v>
                </c:pt>
                <c:pt idx="1">
                  <c:v>1.93</c:v>
                </c:pt>
                <c:pt idx="2">
                  <c:v>1.87</c:v>
                </c:pt>
                <c:pt idx="3">
                  <c:v>1.85</c:v>
                </c:pt>
                <c:pt idx="4">
                  <c:v>1.81</c:v>
                </c:pt>
                <c:pt idx="5">
                  <c:v>1.79</c:v>
                </c:pt>
                <c:pt idx="6">
                  <c:v>1.76</c:v>
                </c:pt>
                <c:pt idx="7">
                  <c:v>1.73</c:v>
                </c:pt>
                <c:pt idx="8">
                  <c:v>1.7</c:v>
                </c:pt>
                <c:pt idx="9">
                  <c:v>1.67</c:v>
                </c:pt>
                <c:pt idx="10">
                  <c:v>1.63</c:v>
                </c:pt>
                <c:pt idx="11">
                  <c:v>1.59</c:v>
                </c:pt>
                <c:pt idx="12">
                  <c:v>1.58</c:v>
                </c:pt>
                <c:pt idx="13">
                  <c:v>1.52</c:v>
                </c:pt>
                <c:pt idx="14">
                  <c:v>1.51</c:v>
                </c:pt>
                <c:pt idx="15">
                  <c:v>1.48</c:v>
                </c:pt>
                <c:pt idx="16">
                  <c:v>1.42</c:v>
                </c:pt>
                <c:pt idx="17">
                  <c:v>1.35</c:v>
                </c:pt>
                <c:pt idx="18">
                  <c:v>1.27</c:v>
                </c:pt>
                <c:pt idx="19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B-4D3A-8ED5-FF3D7688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61177"/>
        <c:axId val="1251157343"/>
      </c:scatterChart>
      <c:valAx>
        <c:axId val="127146117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157343"/>
        <c:crosses val="autoZero"/>
        <c:crossBetween val="midCat"/>
      </c:valAx>
      <c:valAx>
        <c:axId val="125115734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4611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(970.69)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6833379434128111"/>
                  <c:y val="-0.158285951098218"/>
                </c:manualLayout>
              </c:layout>
              <c:numFmt formatCode="General" sourceLinked="0"/>
            </c:trendlineLbl>
          </c:trendline>
          <c:xVal>
            <c:numRef>
              <c:f>'Collected Data Site 1484'!$H$61:$H$85</c:f>
              <c:numCache>
                <c:formatCode>General</c:formatCode>
                <c:ptCount val="25"/>
                <c:pt idx="0">
                  <c:v>5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</c:numCache>
            </c:numRef>
          </c:xVal>
          <c:yVal>
            <c:numRef>
              <c:f>'Collected Data Site 1484'!$K$61:$K$85</c:f>
              <c:numCache>
                <c:formatCode>General</c:formatCode>
                <c:ptCount val="25"/>
                <c:pt idx="0">
                  <c:v>1.77</c:v>
                </c:pt>
                <c:pt idx="1">
                  <c:v>1.76</c:v>
                </c:pt>
                <c:pt idx="2">
                  <c:v>1.75</c:v>
                </c:pt>
                <c:pt idx="3">
                  <c:v>1.74</c:v>
                </c:pt>
                <c:pt idx="4">
                  <c:v>1.73</c:v>
                </c:pt>
                <c:pt idx="5">
                  <c:v>1.72</c:v>
                </c:pt>
                <c:pt idx="6">
                  <c:v>1.71</c:v>
                </c:pt>
                <c:pt idx="7">
                  <c:v>1.69</c:v>
                </c:pt>
                <c:pt idx="8">
                  <c:v>1.68</c:v>
                </c:pt>
                <c:pt idx="9">
                  <c:v>1.67</c:v>
                </c:pt>
                <c:pt idx="10">
                  <c:v>1.66</c:v>
                </c:pt>
                <c:pt idx="11">
                  <c:v>1.64</c:v>
                </c:pt>
                <c:pt idx="12">
                  <c:v>1.63</c:v>
                </c:pt>
                <c:pt idx="13">
                  <c:v>1.61</c:v>
                </c:pt>
                <c:pt idx="14">
                  <c:v>1.6</c:v>
                </c:pt>
                <c:pt idx="15">
                  <c:v>1.59</c:v>
                </c:pt>
                <c:pt idx="16">
                  <c:v>1.57</c:v>
                </c:pt>
                <c:pt idx="17">
                  <c:v>1.55</c:v>
                </c:pt>
                <c:pt idx="18">
                  <c:v>1.53</c:v>
                </c:pt>
                <c:pt idx="19">
                  <c:v>1.5</c:v>
                </c:pt>
                <c:pt idx="20">
                  <c:v>1.49</c:v>
                </c:pt>
                <c:pt idx="21">
                  <c:v>1.47</c:v>
                </c:pt>
                <c:pt idx="22">
                  <c:v>1.44</c:v>
                </c:pt>
                <c:pt idx="23">
                  <c:v>1.4</c:v>
                </c:pt>
                <c:pt idx="24">
                  <c:v>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2-45CB-A5AA-DAC738EE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34726"/>
        <c:axId val="1138918471"/>
      </c:scatterChart>
      <c:valAx>
        <c:axId val="57173472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918471"/>
        <c:crosses val="autoZero"/>
        <c:crossBetween val="midCat"/>
      </c:valAx>
      <c:valAx>
        <c:axId val="11389184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17347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(42.1)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4517435320584925"/>
                  <c:y val="-3.9475065616797903E-3"/>
                </c:manualLayout>
              </c:layout>
              <c:numFmt formatCode="General" sourceLinked="0"/>
            </c:trendlineLbl>
          </c:trendline>
          <c:xVal>
            <c:numRef>
              <c:f>'Collected Data Site 1484'!$B$6:$B$17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1484'!$D$6:$D$17</c:f>
              <c:numCache>
                <c:formatCode>General</c:formatCode>
                <c:ptCount val="12"/>
                <c:pt idx="0">
                  <c:v>53.45</c:v>
                </c:pt>
                <c:pt idx="1">
                  <c:v>50.43</c:v>
                </c:pt>
                <c:pt idx="2">
                  <c:v>47.66</c:v>
                </c:pt>
                <c:pt idx="3">
                  <c:v>46.3</c:v>
                </c:pt>
                <c:pt idx="4">
                  <c:v>44.699999999999996</c:v>
                </c:pt>
                <c:pt idx="5">
                  <c:v>42.41</c:v>
                </c:pt>
                <c:pt idx="6">
                  <c:v>40.139999999999993</c:v>
                </c:pt>
                <c:pt idx="7">
                  <c:v>36.17</c:v>
                </c:pt>
                <c:pt idx="8">
                  <c:v>35.369999999999997</c:v>
                </c:pt>
                <c:pt idx="9">
                  <c:v>32.61</c:v>
                </c:pt>
                <c:pt idx="10">
                  <c:v>30.95</c:v>
                </c:pt>
                <c:pt idx="11">
                  <c:v>30.23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3-4CA4-9753-E7BFF29A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2583"/>
        <c:axId val="1767096639"/>
      </c:scatterChart>
      <c:valAx>
        <c:axId val="18809258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096639"/>
        <c:crosses val="autoZero"/>
        <c:crossBetween val="midCat"/>
      </c:valAx>
      <c:valAx>
        <c:axId val="176709663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0925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(119.04)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082618771014279"/>
                  <c:y val="-2.5935442280241285E-2"/>
                </c:manualLayout>
              </c:layout>
              <c:numFmt formatCode="General" sourceLinked="0"/>
            </c:trendlineLbl>
          </c:trendline>
          <c:xVal>
            <c:numRef>
              <c:f>'Collected Data Site 1484'!$H$6:$H$17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1484'!$J$6:$J$17</c:f>
              <c:numCache>
                <c:formatCode>General</c:formatCode>
                <c:ptCount val="12"/>
                <c:pt idx="0">
                  <c:v>42.42</c:v>
                </c:pt>
                <c:pt idx="1">
                  <c:v>41.68</c:v>
                </c:pt>
                <c:pt idx="2">
                  <c:v>41.55</c:v>
                </c:pt>
                <c:pt idx="3">
                  <c:v>40.519999999999996</c:v>
                </c:pt>
                <c:pt idx="4">
                  <c:v>40.03</c:v>
                </c:pt>
                <c:pt idx="5">
                  <c:v>39.32</c:v>
                </c:pt>
                <c:pt idx="6">
                  <c:v>38.86</c:v>
                </c:pt>
                <c:pt idx="7">
                  <c:v>38.42</c:v>
                </c:pt>
                <c:pt idx="8">
                  <c:v>37.9</c:v>
                </c:pt>
                <c:pt idx="9">
                  <c:v>37.17</c:v>
                </c:pt>
                <c:pt idx="10">
                  <c:v>30.479999999999997</c:v>
                </c:pt>
                <c:pt idx="11">
                  <c:v>21.61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3-4CAA-83F9-D01E286A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84241"/>
        <c:axId val="757814783"/>
      </c:scatterChart>
      <c:valAx>
        <c:axId val="153728424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7814783"/>
        <c:crosses val="autoZero"/>
        <c:crossBetween val="midCat"/>
      </c:valAx>
      <c:valAx>
        <c:axId val="75781478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72842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(181.27)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201276069999448"/>
                  <c:y val="0.1045591932587374"/>
                </c:manualLayout>
              </c:layout>
              <c:numFmt formatCode="General" sourceLinked="0"/>
            </c:trendlineLbl>
          </c:trendline>
          <c:xVal>
            <c:numRef>
              <c:f>'Collected Data Site 1484'!$N$6:$N$17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1484'!$P$6:$P$17</c:f>
              <c:numCache>
                <c:formatCode>General</c:formatCode>
                <c:ptCount val="12"/>
                <c:pt idx="0">
                  <c:v>63.16</c:v>
                </c:pt>
                <c:pt idx="1">
                  <c:v>46.79</c:v>
                </c:pt>
                <c:pt idx="2">
                  <c:v>46.47</c:v>
                </c:pt>
                <c:pt idx="3">
                  <c:v>46.4</c:v>
                </c:pt>
                <c:pt idx="4">
                  <c:v>46.24</c:v>
                </c:pt>
                <c:pt idx="5">
                  <c:v>46.15</c:v>
                </c:pt>
                <c:pt idx="6">
                  <c:v>45.97</c:v>
                </c:pt>
                <c:pt idx="7">
                  <c:v>45.87</c:v>
                </c:pt>
                <c:pt idx="8">
                  <c:v>45.58</c:v>
                </c:pt>
                <c:pt idx="9">
                  <c:v>45.4</c:v>
                </c:pt>
                <c:pt idx="10">
                  <c:v>45.1</c:v>
                </c:pt>
                <c:pt idx="11">
                  <c:v>44.84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A-4AB6-88F5-456DB866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05978"/>
        <c:axId val="1281527672"/>
      </c:scatterChart>
      <c:valAx>
        <c:axId val="171720597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1527672"/>
        <c:crosses val="autoZero"/>
        <c:crossBetween val="midCat"/>
      </c:valAx>
      <c:valAx>
        <c:axId val="12815276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72059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(253.01)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0456975664927131"/>
                  <c:y val="-1.2229313441083023E-2"/>
                </c:manualLayout>
              </c:layout>
              <c:numFmt formatCode="General" sourceLinked="0"/>
            </c:trendlineLbl>
          </c:trendline>
          <c:xVal>
            <c:numRef>
              <c:f>'Collected Data Site 1484'!$B$24:$B$33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1484'!$D$24:$D$33</c:f>
              <c:numCache>
                <c:formatCode>General</c:formatCode>
                <c:ptCount val="10"/>
                <c:pt idx="0">
                  <c:v>43.3</c:v>
                </c:pt>
                <c:pt idx="1">
                  <c:v>42.63</c:v>
                </c:pt>
                <c:pt idx="2">
                  <c:v>42.52</c:v>
                </c:pt>
                <c:pt idx="3">
                  <c:v>42.46</c:v>
                </c:pt>
                <c:pt idx="4">
                  <c:v>42.3</c:v>
                </c:pt>
                <c:pt idx="5">
                  <c:v>42.09</c:v>
                </c:pt>
                <c:pt idx="6">
                  <c:v>41.91</c:v>
                </c:pt>
                <c:pt idx="7">
                  <c:v>41.73</c:v>
                </c:pt>
                <c:pt idx="8">
                  <c:v>40.950000000000003</c:v>
                </c:pt>
                <c:pt idx="9">
                  <c:v>39.869999999999997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7-40D5-80E5-2252C178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62366"/>
        <c:axId val="955571867"/>
      </c:scatterChart>
      <c:valAx>
        <c:axId val="110916236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5571867"/>
        <c:crosses val="autoZero"/>
        <c:crossBetween val="midCat"/>
      </c:valAx>
      <c:valAx>
        <c:axId val="95557186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91623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(350.67)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583439365161321"/>
                  <c:y val="-7.0677533729336467E-2"/>
                </c:manualLayout>
              </c:layout>
              <c:numFmt formatCode="General" sourceLinked="0"/>
            </c:trendlineLbl>
          </c:trendline>
          <c:xVal>
            <c:numRef>
              <c:f>'Collected Data Site 1484'!$H$24:$H$33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1484'!$J$24:$J$33</c:f>
              <c:numCache>
                <c:formatCode>General</c:formatCode>
                <c:ptCount val="10"/>
                <c:pt idx="0">
                  <c:v>32.56</c:v>
                </c:pt>
                <c:pt idx="1">
                  <c:v>32.15</c:v>
                </c:pt>
                <c:pt idx="2">
                  <c:v>31.66</c:v>
                </c:pt>
                <c:pt idx="3">
                  <c:v>31.43</c:v>
                </c:pt>
                <c:pt idx="4">
                  <c:v>31.16</c:v>
                </c:pt>
                <c:pt idx="5">
                  <c:v>30.92</c:v>
                </c:pt>
                <c:pt idx="6">
                  <c:v>30.7</c:v>
                </c:pt>
                <c:pt idx="7">
                  <c:v>30.52</c:v>
                </c:pt>
                <c:pt idx="8">
                  <c:v>30.18</c:v>
                </c:pt>
                <c:pt idx="9">
                  <c:v>29.71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5-40E0-A4CD-EB11149C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46140"/>
        <c:axId val="1486610273"/>
      </c:scatterChart>
      <c:valAx>
        <c:axId val="21342461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6610273"/>
        <c:crosses val="autoZero"/>
        <c:crossBetween val="midCat"/>
      </c:valAx>
      <c:valAx>
        <c:axId val="148661027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2461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(455.07)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465390596667218"/>
                  <c:y val="-9.7777777777777776E-3"/>
                </c:manualLayout>
              </c:layout>
              <c:numFmt formatCode="General" sourceLinked="0"/>
            </c:trendlineLbl>
          </c:trendline>
          <c:xVal>
            <c:numRef>
              <c:f>'Collected Data Site 1484'!$N$24:$N$34</c:f>
              <c:numCache>
                <c:formatCode>General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xVal>
          <c:yVal>
            <c:numRef>
              <c:f>'Collected Data Site 1484'!$P$24:$P$34</c:f>
              <c:numCache>
                <c:formatCode>General</c:formatCode>
                <c:ptCount val="11"/>
                <c:pt idx="0">
                  <c:v>82.36</c:v>
                </c:pt>
                <c:pt idx="1">
                  <c:v>73.91</c:v>
                </c:pt>
                <c:pt idx="2">
                  <c:v>68.099999999999994</c:v>
                </c:pt>
                <c:pt idx="3">
                  <c:v>67.25</c:v>
                </c:pt>
                <c:pt idx="4">
                  <c:v>63.19</c:v>
                </c:pt>
                <c:pt idx="5">
                  <c:v>51.31</c:v>
                </c:pt>
                <c:pt idx="6">
                  <c:v>35.880000000000003</c:v>
                </c:pt>
                <c:pt idx="7">
                  <c:v>35.5</c:v>
                </c:pt>
                <c:pt idx="8">
                  <c:v>35.340000000000003</c:v>
                </c:pt>
                <c:pt idx="9">
                  <c:v>35.01</c:v>
                </c:pt>
                <c:pt idx="10">
                  <c:v>35.17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F-4F86-92BD-D34A6E68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27217"/>
        <c:axId val="1043466701"/>
      </c:scatterChart>
      <c:valAx>
        <c:axId val="100842721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466701"/>
        <c:crosses val="autoZero"/>
        <c:crossBetween val="midCat"/>
      </c:valAx>
      <c:valAx>
        <c:axId val="104346670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4272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(526.88)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648121853620756"/>
                  <c:y val="-0.12088483676382557"/>
                </c:manualLayout>
              </c:layout>
              <c:numFmt formatCode="General" sourceLinked="0"/>
            </c:trendlineLbl>
          </c:trendline>
          <c:xVal>
            <c:numRef>
              <c:f>'Collected Data Site 1484'!$B$41:$B$54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1484'!$D$41:$D$54</c:f>
              <c:numCache>
                <c:formatCode>General</c:formatCode>
                <c:ptCount val="14"/>
                <c:pt idx="0">
                  <c:v>105.37</c:v>
                </c:pt>
                <c:pt idx="1">
                  <c:v>102.81</c:v>
                </c:pt>
                <c:pt idx="2">
                  <c:v>101.93</c:v>
                </c:pt>
                <c:pt idx="3">
                  <c:v>99.990000000000009</c:v>
                </c:pt>
                <c:pt idx="4">
                  <c:v>96.72</c:v>
                </c:pt>
                <c:pt idx="5">
                  <c:v>90.44</c:v>
                </c:pt>
                <c:pt idx="6">
                  <c:v>71.2</c:v>
                </c:pt>
                <c:pt idx="7">
                  <c:v>46.27</c:v>
                </c:pt>
                <c:pt idx="8">
                  <c:v>39.14</c:v>
                </c:pt>
                <c:pt idx="9">
                  <c:v>38.630000000000003</c:v>
                </c:pt>
                <c:pt idx="10">
                  <c:v>38.299999999999997</c:v>
                </c:pt>
                <c:pt idx="11">
                  <c:v>38.08</c:v>
                </c:pt>
                <c:pt idx="12">
                  <c:v>37.69</c:v>
                </c:pt>
                <c:pt idx="13">
                  <c:v>37.450000000000003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5-4FE7-BC3A-FB55671D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48210"/>
        <c:axId val="129188996"/>
      </c:scatterChart>
      <c:valAx>
        <c:axId val="10110482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188996"/>
        <c:crosses val="autoZero"/>
        <c:crossBetween val="midCat"/>
      </c:valAx>
      <c:valAx>
        <c:axId val="12918899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10482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(577.89)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778488754479459"/>
                  <c:y val="-0.10609273840769903"/>
                </c:manualLayout>
              </c:layout>
              <c:numFmt formatCode="General" sourceLinked="0"/>
            </c:trendlineLbl>
          </c:trendline>
          <c:xVal>
            <c:numRef>
              <c:f>'Collected Data Site 1484'!$H$41:$H$54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1484'!$J$41:$J$54</c:f>
              <c:numCache>
                <c:formatCode>General</c:formatCode>
                <c:ptCount val="14"/>
                <c:pt idx="0">
                  <c:v>115.53</c:v>
                </c:pt>
                <c:pt idx="1">
                  <c:v>111.88000000000001</c:v>
                </c:pt>
                <c:pt idx="2">
                  <c:v>107.4</c:v>
                </c:pt>
                <c:pt idx="3">
                  <c:v>103.78</c:v>
                </c:pt>
                <c:pt idx="4">
                  <c:v>97.26</c:v>
                </c:pt>
                <c:pt idx="5">
                  <c:v>90.02</c:v>
                </c:pt>
                <c:pt idx="6">
                  <c:v>85.84</c:v>
                </c:pt>
                <c:pt idx="7">
                  <c:v>73.5</c:v>
                </c:pt>
                <c:pt idx="8">
                  <c:v>52.629999999999995</c:v>
                </c:pt>
                <c:pt idx="9">
                  <c:v>48.660000000000004</c:v>
                </c:pt>
                <c:pt idx="10">
                  <c:v>45</c:v>
                </c:pt>
                <c:pt idx="11">
                  <c:v>43.96</c:v>
                </c:pt>
                <c:pt idx="12">
                  <c:v>43.22</c:v>
                </c:pt>
                <c:pt idx="13">
                  <c:v>43.05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2-49C2-A1FD-1A1B224C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0901"/>
        <c:axId val="1879396924"/>
      </c:scatterChart>
      <c:valAx>
        <c:axId val="202603090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396924"/>
        <c:crosses val="autoZero"/>
        <c:crossBetween val="midCat"/>
      </c:valAx>
      <c:valAx>
        <c:axId val="187939692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60309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(119.04)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546237664347901"/>
                  <c:y val="-5.4386885849795091E-2"/>
                </c:manualLayout>
              </c:layout>
              <c:numFmt formatCode="General" sourceLinked="0"/>
            </c:trendlineLbl>
          </c:trendline>
          <c:xVal>
            <c:numRef>
              <c:f>'Collected Data Site 1484'!$H$6:$H$17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1484'!$K$6:$K$17</c:f>
              <c:numCache>
                <c:formatCode>General</c:formatCode>
                <c:ptCount val="12"/>
                <c:pt idx="0">
                  <c:v>1.56</c:v>
                </c:pt>
                <c:pt idx="1">
                  <c:v>1.49</c:v>
                </c:pt>
                <c:pt idx="2">
                  <c:v>1.43</c:v>
                </c:pt>
                <c:pt idx="3">
                  <c:v>1.32</c:v>
                </c:pt>
                <c:pt idx="4">
                  <c:v>1.28</c:v>
                </c:pt>
                <c:pt idx="5">
                  <c:v>1.21</c:v>
                </c:pt>
                <c:pt idx="6">
                  <c:v>1.1200000000000001</c:v>
                </c:pt>
                <c:pt idx="7">
                  <c:v>0.96</c:v>
                </c:pt>
                <c:pt idx="8">
                  <c:v>0.9</c:v>
                </c:pt>
                <c:pt idx="9">
                  <c:v>0.77</c:v>
                </c:pt>
                <c:pt idx="10">
                  <c:v>0.63</c:v>
                </c:pt>
                <c:pt idx="1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7-4BB4-88E2-2C77ACB0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69245"/>
        <c:axId val="707572602"/>
      </c:scatterChart>
      <c:valAx>
        <c:axId val="12133692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7572602"/>
        <c:crosses val="autoZero"/>
        <c:crossBetween val="midCat"/>
      </c:valAx>
      <c:valAx>
        <c:axId val="70757260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33692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(683.43)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8604940775845644"/>
                  <c:y val="-7.1637518994336236E-2"/>
                </c:manualLayout>
              </c:layout>
              <c:numFmt formatCode="General" sourceLinked="0"/>
            </c:trendlineLbl>
          </c:trendline>
          <c:xVal>
            <c:numRef>
              <c:f>'Collected Data Site 1484'!$N$41:$N$56</c:f>
              <c:numCache>
                <c:formatCode>General</c:formatCode>
                <c:ptCount val="16"/>
                <c:pt idx="0">
                  <c:v>40</c:v>
                </c:pt>
                <c:pt idx="1">
                  <c:v>37.5</c:v>
                </c:pt>
                <c:pt idx="2">
                  <c:v>35</c:v>
                </c:pt>
                <c:pt idx="3">
                  <c:v>32.5</c:v>
                </c:pt>
                <c:pt idx="4">
                  <c:v>30</c:v>
                </c:pt>
                <c:pt idx="5">
                  <c:v>27.5</c:v>
                </c:pt>
                <c:pt idx="6">
                  <c:v>25</c:v>
                </c:pt>
                <c:pt idx="7">
                  <c:v>22.5</c:v>
                </c:pt>
                <c:pt idx="8">
                  <c:v>20</c:v>
                </c:pt>
                <c:pt idx="9">
                  <c:v>17.5</c:v>
                </c:pt>
                <c:pt idx="10">
                  <c:v>15</c:v>
                </c:pt>
                <c:pt idx="11">
                  <c:v>12.5</c:v>
                </c:pt>
                <c:pt idx="12">
                  <c:v>10</c:v>
                </c:pt>
                <c:pt idx="13">
                  <c:v>7.5</c:v>
                </c:pt>
                <c:pt idx="14">
                  <c:v>5</c:v>
                </c:pt>
                <c:pt idx="15">
                  <c:v>2.5</c:v>
                </c:pt>
              </c:numCache>
            </c:numRef>
          </c:xVal>
          <c:yVal>
            <c:numRef>
              <c:f>'Collected Data Site 1484'!$P$41:$P$56</c:f>
              <c:numCache>
                <c:formatCode>General</c:formatCode>
                <c:ptCount val="16"/>
                <c:pt idx="0">
                  <c:v>153.93</c:v>
                </c:pt>
                <c:pt idx="1">
                  <c:v>151.18</c:v>
                </c:pt>
                <c:pt idx="2">
                  <c:v>144.69999999999999</c:v>
                </c:pt>
                <c:pt idx="3">
                  <c:v>132.24</c:v>
                </c:pt>
                <c:pt idx="4">
                  <c:v>116.89</c:v>
                </c:pt>
                <c:pt idx="5">
                  <c:v>103.61000000000001</c:v>
                </c:pt>
                <c:pt idx="6">
                  <c:v>93.35</c:v>
                </c:pt>
                <c:pt idx="7">
                  <c:v>87.7</c:v>
                </c:pt>
                <c:pt idx="8">
                  <c:v>83.089999999999989</c:v>
                </c:pt>
                <c:pt idx="9">
                  <c:v>77.72999999999999</c:v>
                </c:pt>
                <c:pt idx="10">
                  <c:v>74.16</c:v>
                </c:pt>
                <c:pt idx="11">
                  <c:v>70.72</c:v>
                </c:pt>
                <c:pt idx="12">
                  <c:v>69.06</c:v>
                </c:pt>
                <c:pt idx="13">
                  <c:v>66.8</c:v>
                </c:pt>
                <c:pt idx="14">
                  <c:v>63.82</c:v>
                </c:pt>
                <c:pt idx="15">
                  <c:v>63.44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9-4683-976F-46AA085E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16166"/>
        <c:axId val="1252269569"/>
      </c:scatterChart>
      <c:valAx>
        <c:axId val="145661616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2269569"/>
        <c:crosses val="autoZero"/>
        <c:crossBetween val="midCat"/>
      </c:valAx>
      <c:valAx>
        <c:axId val="125226956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6161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(850.56)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8020739210877329"/>
                  <c:y val="4.6362573099415202E-2"/>
                </c:manualLayout>
              </c:layout>
              <c:numFmt formatCode="General" sourceLinked="0"/>
            </c:trendlineLbl>
          </c:trendline>
          <c:xVal>
            <c:numRef>
              <c:f>'Collected Data Site 1484'!$B$61:$B$80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'Collected Data Site 1484'!$D$61:$D$80</c:f>
              <c:numCache>
                <c:formatCode>General</c:formatCode>
                <c:ptCount val="20"/>
                <c:pt idx="0">
                  <c:v>81.899999999999991</c:v>
                </c:pt>
                <c:pt idx="1">
                  <c:v>81.559999999999988</c:v>
                </c:pt>
                <c:pt idx="2">
                  <c:v>80.830000000000013</c:v>
                </c:pt>
                <c:pt idx="3">
                  <c:v>80.42</c:v>
                </c:pt>
                <c:pt idx="4">
                  <c:v>79.960000000000008</c:v>
                </c:pt>
                <c:pt idx="5">
                  <c:v>79.44</c:v>
                </c:pt>
                <c:pt idx="6">
                  <c:v>78.650000000000006</c:v>
                </c:pt>
                <c:pt idx="7">
                  <c:v>76.5</c:v>
                </c:pt>
                <c:pt idx="8">
                  <c:v>74.150000000000006</c:v>
                </c:pt>
                <c:pt idx="9">
                  <c:v>68.73</c:v>
                </c:pt>
                <c:pt idx="10">
                  <c:v>64</c:v>
                </c:pt>
                <c:pt idx="11">
                  <c:v>60.47</c:v>
                </c:pt>
                <c:pt idx="12">
                  <c:v>55.95</c:v>
                </c:pt>
                <c:pt idx="13">
                  <c:v>49.379999999999995</c:v>
                </c:pt>
                <c:pt idx="14">
                  <c:v>43.540000000000006</c:v>
                </c:pt>
                <c:pt idx="15">
                  <c:v>40.209999999999994</c:v>
                </c:pt>
                <c:pt idx="16">
                  <c:v>37.72</c:v>
                </c:pt>
                <c:pt idx="17">
                  <c:v>34.47</c:v>
                </c:pt>
                <c:pt idx="18">
                  <c:v>30.11</c:v>
                </c:pt>
                <c:pt idx="19">
                  <c:v>29.44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9-4589-A717-CA5B4EAE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84763"/>
        <c:axId val="376398619"/>
      </c:scatterChart>
      <c:valAx>
        <c:axId val="179208476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398619"/>
        <c:crosses val="autoZero"/>
        <c:crossBetween val="midCat"/>
      </c:valAx>
      <c:valAx>
        <c:axId val="37639861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20847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(970.69)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3.2509051122708021E-3"/>
                  <c:y val="6.039766081871345E-2"/>
                </c:manualLayout>
              </c:layout>
              <c:numFmt formatCode="General" sourceLinked="0"/>
            </c:trendlineLbl>
          </c:trendline>
          <c:xVal>
            <c:numRef>
              <c:f>'Collected Data Site 1484'!$H$61:$H$85</c:f>
              <c:numCache>
                <c:formatCode>General</c:formatCode>
                <c:ptCount val="25"/>
                <c:pt idx="0">
                  <c:v>5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</c:numCache>
            </c:numRef>
          </c:xVal>
          <c:yVal>
            <c:numRef>
              <c:f>'Collected Data Site 1484'!$J$61:$J$85</c:f>
              <c:numCache>
                <c:formatCode>General</c:formatCode>
                <c:ptCount val="25"/>
                <c:pt idx="0">
                  <c:v>90.929999999999993</c:v>
                </c:pt>
                <c:pt idx="1">
                  <c:v>90.76</c:v>
                </c:pt>
                <c:pt idx="2">
                  <c:v>90.669999999999987</c:v>
                </c:pt>
                <c:pt idx="3">
                  <c:v>90.39</c:v>
                </c:pt>
                <c:pt idx="4">
                  <c:v>90.27</c:v>
                </c:pt>
                <c:pt idx="5">
                  <c:v>90.05</c:v>
                </c:pt>
                <c:pt idx="6">
                  <c:v>89.89</c:v>
                </c:pt>
                <c:pt idx="7">
                  <c:v>89.72</c:v>
                </c:pt>
                <c:pt idx="8">
                  <c:v>89.58</c:v>
                </c:pt>
                <c:pt idx="9">
                  <c:v>89.17</c:v>
                </c:pt>
                <c:pt idx="10">
                  <c:v>88.69</c:v>
                </c:pt>
                <c:pt idx="11">
                  <c:v>87.61</c:v>
                </c:pt>
                <c:pt idx="12">
                  <c:v>85.77000000000001</c:v>
                </c:pt>
                <c:pt idx="13">
                  <c:v>84.91</c:v>
                </c:pt>
                <c:pt idx="14">
                  <c:v>83.66</c:v>
                </c:pt>
                <c:pt idx="15">
                  <c:v>83.509999999999991</c:v>
                </c:pt>
                <c:pt idx="16">
                  <c:v>83.23</c:v>
                </c:pt>
                <c:pt idx="17">
                  <c:v>82.990000000000009</c:v>
                </c:pt>
                <c:pt idx="18">
                  <c:v>82.72</c:v>
                </c:pt>
                <c:pt idx="19">
                  <c:v>82.14</c:v>
                </c:pt>
                <c:pt idx="20">
                  <c:v>82.12</c:v>
                </c:pt>
                <c:pt idx="21">
                  <c:v>82.03</c:v>
                </c:pt>
                <c:pt idx="22">
                  <c:v>81.93</c:v>
                </c:pt>
                <c:pt idx="23">
                  <c:v>79.83</c:v>
                </c:pt>
                <c:pt idx="24">
                  <c:v>79.239999999999995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6-4BC7-8413-99A92C1F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11537"/>
        <c:axId val="801925105"/>
      </c:scatterChart>
      <c:valAx>
        <c:axId val="47121153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1925105"/>
        <c:crosses val="autoZero"/>
        <c:crossBetween val="midCat"/>
      </c:valAx>
      <c:valAx>
        <c:axId val="80192510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12115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(42.1)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462009871716854"/>
                  <c:y val="-4.2105263157894739E-4"/>
                </c:manualLayout>
              </c:layout>
              <c:numFmt formatCode="General" sourceLinked="0"/>
            </c:trendlineLbl>
          </c:trendline>
          <c:xVal>
            <c:numRef>
              <c:f>'Collected Data Site 1484'!$B$6:$B$17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1484'!$C$6:$C$17</c:f>
              <c:numCache>
                <c:formatCode>General</c:formatCode>
                <c:ptCount val="12"/>
                <c:pt idx="0">
                  <c:v>54.73</c:v>
                </c:pt>
                <c:pt idx="1">
                  <c:v>50.589999999999996</c:v>
                </c:pt>
                <c:pt idx="2">
                  <c:v>46.62</c:v>
                </c:pt>
                <c:pt idx="3">
                  <c:v>43.24</c:v>
                </c:pt>
                <c:pt idx="4">
                  <c:v>39.51</c:v>
                </c:pt>
                <c:pt idx="5">
                  <c:v>35.81</c:v>
                </c:pt>
                <c:pt idx="6">
                  <c:v>32</c:v>
                </c:pt>
                <c:pt idx="7">
                  <c:v>27.71</c:v>
                </c:pt>
                <c:pt idx="8">
                  <c:v>23.99</c:v>
                </c:pt>
                <c:pt idx="9">
                  <c:v>19.45</c:v>
                </c:pt>
                <c:pt idx="10">
                  <c:v>14.94</c:v>
                </c:pt>
                <c:pt idx="11">
                  <c:v>9.8699999999999992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6-4C7C-94F1-5FB2372E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86422"/>
        <c:axId val="2117958824"/>
      </c:scatterChart>
      <c:valAx>
        <c:axId val="30078642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7958824"/>
        <c:crosses val="autoZero"/>
        <c:crossBetween val="midCat"/>
      </c:valAx>
      <c:valAx>
        <c:axId val="211795882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7864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(119.04)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212985671872981"/>
                  <c:y val="1.7022240640972509E-2"/>
                </c:manualLayout>
              </c:layout>
              <c:numFmt formatCode="General" sourceLinked="0"/>
            </c:trendlineLbl>
          </c:trendline>
          <c:xVal>
            <c:numRef>
              <c:f>'Collected Data Site 1484'!$H$6:$H$17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1484'!$I$6:$I$17</c:f>
              <c:numCache>
                <c:formatCode>General</c:formatCode>
                <c:ptCount val="12"/>
                <c:pt idx="0">
                  <c:v>45</c:v>
                </c:pt>
                <c:pt idx="1">
                  <c:v>41.48</c:v>
                </c:pt>
                <c:pt idx="2">
                  <c:v>37.86</c:v>
                </c:pt>
                <c:pt idx="3">
                  <c:v>34.83</c:v>
                </c:pt>
                <c:pt idx="4">
                  <c:v>32.56</c:v>
                </c:pt>
                <c:pt idx="5">
                  <c:v>29.51</c:v>
                </c:pt>
                <c:pt idx="6">
                  <c:v>25.65</c:v>
                </c:pt>
                <c:pt idx="7">
                  <c:v>20.869999999999997</c:v>
                </c:pt>
                <c:pt idx="8">
                  <c:v>17.830000000000002</c:v>
                </c:pt>
                <c:pt idx="9">
                  <c:v>13.29</c:v>
                </c:pt>
                <c:pt idx="10">
                  <c:v>7.97</c:v>
                </c:pt>
                <c:pt idx="11">
                  <c:v>4.6100000000000003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C-416A-A504-4A859D778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57128"/>
        <c:axId val="1953877330"/>
      </c:scatterChart>
      <c:valAx>
        <c:axId val="77555712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877330"/>
        <c:crosses val="autoZero"/>
        <c:crossBetween val="midCat"/>
      </c:valAx>
      <c:valAx>
        <c:axId val="195387733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55571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(181.27)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6289932508436444"/>
          <c:y val="0.16708333333333336"/>
          <c:w val="0.7988863892013498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664109609249666"/>
                  <c:y val="-1.5001703734401621E-2"/>
                </c:manualLayout>
              </c:layout>
              <c:numFmt formatCode="General" sourceLinked="0"/>
            </c:trendlineLbl>
          </c:trendline>
          <c:xVal>
            <c:numRef>
              <c:f>'Collected Data Site 1484'!$N$6:$N$17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1484'!$O$6:$O$17</c:f>
              <c:numCache>
                <c:formatCode>General</c:formatCode>
                <c:ptCount val="12"/>
                <c:pt idx="0">
                  <c:v>71.67</c:v>
                </c:pt>
                <c:pt idx="1">
                  <c:v>66.19</c:v>
                </c:pt>
                <c:pt idx="2">
                  <c:v>62.46</c:v>
                </c:pt>
                <c:pt idx="3">
                  <c:v>59.97</c:v>
                </c:pt>
                <c:pt idx="4">
                  <c:v>55.83</c:v>
                </c:pt>
                <c:pt idx="5">
                  <c:v>51.72</c:v>
                </c:pt>
                <c:pt idx="6">
                  <c:v>47.68</c:v>
                </c:pt>
                <c:pt idx="7">
                  <c:v>43.46</c:v>
                </c:pt>
                <c:pt idx="8">
                  <c:v>39.090000000000003</c:v>
                </c:pt>
                <c:pt idx="9">
                  <c:v>33.54</c:v>
                </c:pt>
                <c:pt idx="10">
                  <c:v>27.76</c:v>
                </c:pt>
                <c:pt idx="11">
                  <c:v>19.14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1-4DF9-B63F-60580C22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95405"/>
        <c:axId val="209359286"/>
      </c:scatterChart>
      <c:valAx>
        <c:axId val="103739540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59286"/>
        <c:crosses val="autoZero"/>
        <c:crossBetween val="midCat"/>
      </c:valAx>
      <c:valAx>
        <c:axId val="20935928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3954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(253.01)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271183315200352"/>
                  <c:y val="1.3614035087719299E-2"/>
                </c:manualLayout>
              </c:layout>
              <c:numFmt formatCode="General" sourceLinked="0"/>
            </c:trendlineLbl>
          </c:trendline>
          <c:xVal>
            <c:numRef>
              <c:f>'Collected Data Site 1484'!$B$24:$B$33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1484'!$C$24:$C$33</c:f>
              <c:numCache>
                <c:formatCode>General</c:formatCode>
                <c:ptCount val="10"/>
                <c:pt idx="0">
                  <c:v>62.03</c:v>
                </c:pt>
                <c:pt idx="1">
                  <c:v>56.68</c:v>
                </c:pt>
                <c:pt idx="2">
                  <c:v>55.74</c:v>
                </c:pt>
                <c:pt idx="3">
                  <c:v>51.78</c:v>
                </c:pt>
                <c:pt idx="4">
                  <c:v>48.02</c:v>
                </c:pt>
                <c:pt idx="5">
                  <c:v>42.47</c:v>
                </c:pt>
                <c:pt idx="6">
                  <c:v>39.159999999999997</c:v>
                </c:pt>
                <c:pt idx="7">
                  <c:v>34.22</c:v>
                </c:pt>
                <c:pt idx="8">
                  <c:v>29.91</c:v>
                </c:pt>
                <c:pt idx="9">
                  <c:v>21.95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1-4081-B311-08FF5E4A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3725"/>
        <c:axId val="1050271605"/>
      </c:scatterChart>
      <c:valAx>
        <c:axId val="48762372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271605"/>
        <c:crosses val="autoZero"/>
        <c:crossBetween val="midCat"/>
      </c:valAx>
      <c:valAx>
        <c:axId val="105027160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6237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(350.67)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60922507637365"/>
                  <c:y val="1.6131141502049085E-3"/>
                </c:manualLayout>
              </c:layout>
              <c:numFmt formatCode="General" sourceLinked="0"/>
            </c:trendlineLbl>
          </c:trendline>
          <c:xVal>
            <c:numRef>
              <c:f>'Collected Data Site 1484'!$H$24:$H$33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1484'!$I$24:$I$33</c:f>
              <c:numCache>
                <c:formatCode>General</c:formatCode>
                <c:ptCount val="10"/>
                <c:pt idx="0">
                  <c:v>46.91</c:v>
                </c:pt>
                <c:pt idx="1">
                  <c:v>45.2</c:v>
                </c:pt>
                <c:pt idx="2">
                  <c:v>41.14</c:v>
                </c:pt>
                <c:pt idx="3">
                  <c:v>38.67</c:v>
                </c:pt>
                <c:pt idx="4">
                  <c:v>35.72</c:v>
                </c:pt>
                <c:pt idx="5">
                  <c:v>33.200000000000003</c:v>
                </c:pt>
                <c:pt idx="6">
                  <c:v>30.29</c:v>
                </c:pt>
                <c:pt idx="7">
                  <c:v>26.02</c:v>
                </c:pt>
                <c:pt idx="8">
                  <c:v>21.88</c:v>
                </c:pt>
                <c:pt idx="9">
                  <c:v>16.28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0-4D66-923F-8531FCEC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03147"/>
        <c:axId val="1812637411"/>
      </c:scatterChart>
      <c:valAx>
        <c:axId val="142830314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37411"/>
        <c:crosses val="autoZero"/>
        <c:crossBetween val="midCat"/>
      </c:valAx>
      <c:valAx>
        <c:axId val="181263741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83031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(455.07)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3.811736647673139E-2"/>
                  <c:y val="0.12121637426900585"/>
                </c:manualLayout>
              </c:layout>
              <c:numFmt formatCode="General" sourceLinked="0"/>
            </c:trendlineLbl>
          </c:trendline>
          <c:xVal>
            <c:numRef>
              <c:f>'Collected Data Site 1484'!$N$24:$N$34</c:f>
              <c:numCache>
                <c:formatCode>General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xVal>
          <c:yVal>
            <c:numRef>
              <c:f>'Collected Data Site 1484'!$O$24:$O$34</c:f>
              <c:numCache>
                <c:formatCode>General</c:formatCode>
                <c:ptCount val="11"/>
                <c:pt idx="0">
                  <c:v>84.98</c:v>
                </c:pt>
                <c:pt idx="1">
                  <c:v>76.86</c:v>
                </c:pt>
                <c:pt idx="2">
                  <c:v>70.350000000000009</c:v>
                </c:pt>
                <c:pt idx="3">
                  <c:v>64.41</c:v>
                </c:pt>
                <c:pt idx="4">
                  <c:v>56.76</c:v>
                </c:pt>
                <c:pt idx="5">
                  <c:v>51.5</c:v>
                </c:pt>
                <c:pt idx="6">
                  <c:v>44.86</c:v>
                </c:pt>
                <c:pt idx="7">
                  <c:v>41.24</c:v>
                </c:pt>
                <c:pt idx="8">
                  <c:v>36.31</c:v>
                </c:pt>
                <c:pt idx="9">
                  <c:v>31.18</c:v>
                </c:pt>
                <c:pt idx="10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2-4561-A0CC-2E35E67B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04085"/>
        <c:axId val="121553212"/>
      </c:scatterChart>
      <c:valAx>
        <c:axId val="146730408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553212"/>
        <c:crosses val="autoZero"/>
        <c:crossBetween val="midCat"/>
      </c:valAx>
      <c:valAx>
        <c:axId val="1215532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73040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(526.88)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479775308460273"/>
                  <c:y val="-8.5626559837914992E-2"/>
                </c:manualLayout>
              </c:layout>
              <c:numFmt formatCode="General" sourceLinked="0"/>
            </c:trendlineLbl>
          </c:trendline>
          <c:xVal>
            <c:numRef>
              <c:f>'Collected Data Site 1484'!$B$41:$B$54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1484'!$C$41:$C$54</c:f>
              <c:numCache>
                <c:formatCode>General</c:formatCode>
                <c:ptCount val="14"/>
                <c:pt idx="0">
                  <c:v>117.57000000000001</c:v>
                </c:pt>
                <c:pt idx="1">
                  <c:v>112.02000000000001</c:v>
                </c:pt>
                <c:pt idx="2">
                  <c:v>102.94</c:v>
                </c:pt>
                <c:pt idx="3">
                  <c:v>95.08</c:v>
                </c:pt>
                <c:pt idx="4">
                  <c:v>83.899999999999991</c:v>
                </c:pt>
                <c:pt idx="5">
                  <c:v>74.19</c:v>
                </c:pt>
                <c:pt idx="6">
                  <c:v>66.989999999999995</c:v>
                </c:pt>
                <c:pt idx="7">
                  <c:v>61.050000000000004</c:v>
                </c:pt>
                <c:pt idx="8">
                  <c:v>56.46</c:v>
                </c:pt>
                <c:pt idx="9">
                  <c:v>51.19</c:v>
                </c:pt>
                <c:pt idx="10">
                  <c:v>46.45</c:v>
                </c:pt>
                <c:pt idx="11">
                  <c:v>42.12</c:v>
                </c:pt>
                <c:pt idx="12">
                  <c:v>35.950000000000003</c:v>
                </c:pt>
                <c:pt idx="13">
                  <c:v>29.32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D-4C56-95C3-5081C448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96276"/>
        <c:axId val="126981037"/>
      </c:scatterChart>
      <c:valAx>
        <c:axId val="143249627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81037"/>
        <c:crosses val="autoZero"/>
        <c:crossBetween val="midCat"/>
      </c:valAx>
      <c:valAx>
        <c:axId val="12698103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4962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(181.27)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9094113235845518"/>
                  <c:y val="-1.6723856886310222E-2"/>
                </c:manualLayout>
              </c:layout>
              <c:numFmt formatCode="General" sourceLinked="0"/>
            </c:trendlineLbl>
          </c:trendline>
          <c:xVal>
            <c:numRef>
              <c:f>'Collected Data Site 1484'!$N$6:$N$17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1484'!$Q$6:$Q$17</c:f>
              <c:numCache>
                <c:formatCode>General</c:formatCode>
                <c:ptCount val="12"/>
                <c:pt idx="0">
                  <c:v>1.9</c:v>
                </c:pt>
                <c:pt idx="1">
                  <c:v>1.85</c:v>
                </c:pt>
                <c:pt idx="2">
                  <c:v>1.76</c:v>
                </c:pt>
                <c:pt idx="3">
                  <c:v>1.75</c:v>
                </c:pt>
                <c:pt idx="4">
                  <c:v>1.58</c:v>
                </c:pt>
                <c:pt idx="5">
                  <c:v>1.52</c:v>
                </c:pt>
                <c:pt idx="6">
                  <c:v>1.44</c:v>
                </c:pt>
                <c:pt idx="7">
                  <c:v>1.33</c:v>
                </c:pt>
                <c:pt idx="8">
                  <c:v>1.23</c:v>
                </c:pt>
                <c:pt idx="9">
                  <c:v>1.1100000000000001</c:v>
                </c:pt>
                <c:pt idx="10">
                  <c:v>1.04</c:v>
                </c:pt>
                <c:pt idx="11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6-488E-B120-3D92705A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66294"/>
        <c:axId val="515122616"/>
      </c:scatterChart>
      <c:valAx>
        <c:axId val="69446629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5122616"/>
        <c:crosses val="autoZero"/>
        <c:crossBetween val="midCat"/>
      </c:valAx>
      <c:valAx>
        <c:axId val="51512261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446629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(577.89)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028086442465719"/>
                  <c:y val="-4.5964728093198876E-2"/>
                </c:manualLayout>
              </c:layout>
              <c:numFmt formatCode="General" sourceLinked="0"/>
            </c:trendlineLbl>
          </c:trendline>
          <c:xVal>
            <c:numRef>
              <c:f>'Collected Data Site 1484'!$H$41:$H$54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1484'!$I$41:$I$54</c:f>
              <c:numCache>
                <c:formatCode>General</c:formatCode>
                <c:ptCount val="14"/>
                <c:pt idx="0">
                  <c:v>144.48000000000002</c:v>
                </c:pt>
                <c:pt idx="1">
                  <c:v>137.54</c:v>
                </c:pt>
                <c:pt idx="2">
                  <c:v>129.45999999999998</c:v>
                </c:pt>
                <c:pt idx="3">
                  <c:v>119.53</c:v>
                </c:pt>
                <c:pt idx="4">
                  <c:v>109.29</c:v>
                </c:pt>
                <c:pt idx="5">
                  <c:v>100.12</c:v>
                </c:pt>
                <c:pt idx="6">
                  <c:v>91.809999999999988</c:v>
                </c:pt>
                <c:pt idx="7">
                  <c:v>83.19</c:v>
                </c:pt>
                <c:pt idx="8">
                  <c:v>76.5</c:v>
                </c:pt>
                <c:pt idx="9">
                  <c:v>70.44</c:v>
                </c:pt>
                <c:pt idx="10">
                  <c:v>64.8</c:v>
                </c:pt>
                <c:pt idx="11">
                  <c:v>59.04</c:v>
                </c:pt>
                <c:pt idx="12">
                  <c:v>52.38</c:v>
                </c:pt>
                <c:pt idx="13">
                  <c:v>43.85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2-4F30-B9BC-AA8AC9E5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01103"/>
        <c:axId val="1302880694"/>
      </c:scatterChart>
      <c:valAx>
        <c:axId val="96490110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880694"/>
        <c:crosses val="autoZero"/>
        <c:crossBetween val="midCat"/>
      </c:valAx>
      <c:valAx>
        <c:axId val="130288069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9011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(683.43)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2233356076392089"/>
                  <c:y val="-3.7177879080904364E-2"/>
                </c:manualLayout>
              </c:layout>
              <c:numFmt formatCode="General" sourceLinked="0"/>
            </c:trendlineLbl>
          </c:trendline>
          <c:xVal>
            <c:numRef>
              <c:f>'Collected Data Site 1484'!$N$41:$N$56</c:f>
              <c:numCache>
                <c:formatCode>General</c:formatCode>
                <c:ptCount val="16"/>
                <c:pt idx="0">
                  <c:v>40</c:v>
                </c:pt>
                <c:pt idx="1">
                  <c:v>37.5</c:v>
                </c:pt>
                <c:pt idx="2">
                  <c:v>35</c:v>
                </c:pt>
                <c:pt idx="3">
                  <c:v>32.5</c:v>
                </c:pt>
                <c:pt idx="4">
                  <c:v>30</c:v>
                </c:pt>
                <c:pt idx="5">
                  <c:v>27.5</c:v>
                </c:pt>
                <c:pt idx="6">
                  <c:v>25</c:v>
                </c:pt>
                <c:pt idx="7">
                  <c:v>22.5</c:v>
                </c:pt>
                <c:pt idx="8">
                  <c:v>20</c:v>
                </c:pt>
                <c:pt idx="9">
                  <c:v>17.5</c:v>
                </c:pt>
                <c:pt idx="10">
                  <c:v>15</c:v>
                </c:pt>
                <c:pt idx="11">
                  <c:v>12.5</c:v>
                </c:pt>
                <c:pt idx="12">
                  <c:v>10</c:v>
                </c:pt>
                <c:pt idx="13">
                  <c:v>7.5</c:v>
                </c:pt>
                <c:pt idx="14">
                  <c:v>5</c:v>
                </c:pt>
                <c:pt idx="15">
                  <c:v>2.5</c:v>
                </c:pt>
              </c:numCache>
            </c:numRef>
          </c:xVal>
          <c:yVal>
            <c:numRef>
              <c:f>'Collected Data Site 1484'!$O$41:$O$56</c:f>
              <c:numCache>
                <c:formatCode>General</c:formatCode>
                <c:ptCount val="16"/>
                <c:pt idx="0">
                  <c:v>150.49</c:v>
                </c:pt>
                <c:pt idx="1">
                  <c:v>143.53</c:v>
                </c:pt>
                <c:pt idx="2">
                  <c:v>135.21</c:v>
                </c:pt>
                <c:pt idx="3">
                  <c:v>128.21</c:v>
                </c:pt>
                <c:pt idx="4">
                  <c:v>120.66</c:v>
                </c:pt>
                <c:pt idx="5">
                  <c:v>111.81</c:v>
                </c:pt>
                <c:pt idx="6">
                  <c:v>105.87</c:v>
                </c:pt>
                <c:pt idx="7">
                  <c:v>101.25</c:v>
                </c:pt>
                <c:pt idx="8">
                  <c:v>95.679999999999993</c:v>
                </c:pt>
                <c:pt idx="9">
                  <c:v>90.82</c:v>
                </c:pt>
                <c:pt idx="10">
                  <c:v>84.93</c:v>
                </c:pt>
                <c:pt idx="11">
                  <c:v>79.45</c:v>
                </c:pt>
                <c:pt idx="12">
                  <c:v>73.34</c:v>
                </c:pt>
                <c:pt idx="13">
                  <c:v>68.36</c:v>
                </c:pt>
                <c:pt idx="14">
                  <c:v>60.1</c:v>
                </c:pt>
                <c:pt idx="15">
                  <c:v>52.32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1-4498-8525-5569CC99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63296"/>
        <c:axId val="1610207071"/>
      </c:scatterChart>
      <c:valAx>
        <c:axId val="168546329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0207071"/>
        <c:crosses val="autoZero"/>
        <c:crossBetween val="midCat"/>
      </c:valAx>
      <c:valAx>
        <c:axId val="16102070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54632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(850.56)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54308580279925"/>
          <c:y val="0.18287719298245617"/>
          <c:w val="0.78899555588338344"/>
          <c:h val="0.6187447621678868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894275510643136"/>
                  <c:y val="9.7824561403508772E-2"/>
                </c:manualLayout>
              </c:layout>
              <c:numFmt formatCode="General" sourceLinked="0"/>
            </c:trendlineLbl>
          </c:trendline>
          <c:xVal>
            <c:numRef>
              <c:f>'Collected Data Site 1484'!$B$61:$B$80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'Collected Data Site 1484'!$C$61:$C$80</c:f>
              <c:numCache>
                <c:formatCode>General</c:formatCode>
                <c:ptCount val="20"/>
                <c:pt idx="0">
                  <c:v>68.19</c:v>
                </c:pt>
                <c:pt idx="1">
                  <c:v>65.570000000000007</c:v>
                </c:pt>
                <c:pt idx="2">
                  <c:v>63.86</c:v>
                </c:pt>
                <c:pt idx="3">
                  <c:v>60.480000000000004</c:v>
                </c:pt>
                <c:pt idx="4">
                  <c:v>58.480000000000004</c:v>
                </c:pt>
                <c:pt idx="5">
                  <c:v>57.8</c:v>
                </c:pt>
                <c:pt idx="6">
                  <c:v>55.21</c:v>
                </c:pt>
                <c:pt idx="7">
                  <c:v>52.23</c:v>
                </c:pt>
                <c:pt idx="8">
                  <c:v>49.480000000000004</c:v>
                </c:pt>
                <c:pt idx="9">
                  <c:v>46.52</c:v>
                </c:pt>
                <c:pt idx="10">
                  <c:v>44.66</c:v>
                </c:pt>
                <c:pt idx="11">
                  <c:v>42.49</c:v>
                </c:pt>
                <c:pt idx="12">
                  <c:v>39.79</c:v>
                </c:pt>
                <c:pt idx="13">
                  <c:v>38.24</c:v>
                </c:pt>
                <c:pt idx="14">
                  <c:v>36.160000000000004</c:v>
                </c:pt>
                <c:pt idx="15">
                  <c:v>34.300000000000004</c:v>
                </c:pt>
                <c:pt idx="16">
                  <c:v>32.17</c:v>
                </c:pt>
                <c:pt idx="17">
                  <c:v>30.16</c:v>
                </c:pt>
                <c:pt idx="18">
                  <c:v>27.6</c:v>
                </c:pt>
                <c:pt idx="19">
                  <c:v>25.01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1-4656-AE4A-F8866A6A9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744737"/>
        <c:axId val="1792994378"/>
      </c:scatterChart>
      <c:valAx>
        <c:axId val="99874473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2994378"/>
        <c:crosses val="autoZero"/>
        <c:crossBetween val="midCat"/>
      </c:valAx>
      <c:valAx>
        <c:axId val="179299437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7447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(970.69)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6.1167763865582377E-3"/>
                  <c:y val="0.14852106644564167"/>
                </c:manualLayout>
              </c:layout>
              <c:numFmt formatCode="General" sourceLinked="0"/>
            </c:trendlineLbl>
          </c:trendline>
          <c:xVal>
            <c:numRef>
              <c:f>'Collected Data Site 1484'!$H$61:$H$85</c:f>
              <c:numCache>
                <c:formatCode>General</c:formatCode>
                <c:ptCount val="25"/>
                <c:pt idx="0">
                  <c:v>5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</c:numCache>
            </c:numRef>
          </c:xVal>
          <c:yVal>
            <c:numRef>
              <c:f>'Collected Data Site 1484'!$I$61:$I$85</c:f>
              <c:numCache>
                <c:formatCode>General</c:formatCode>
                <c:ptCount val="25"/>
                <c:pt idx="0">
                  <c:v>115.34</c:v>
                </c:pt>
                <c:pt idx="1">
                  <c:v>114.09</c:v>
                </c:pt>
                <c:pt idx="2">
                  <c:v>112.72</c:v>
                </c:pt>
                <c:pt idx="3">
                  <c:v>112.44000000000001</c:v>
                </c:pt>
                <c:pt idx="4">
                  <c:v>112.2</c:v>
                </c:pt>
                <c:pt idx="5">
                  <c:v>110.84</c:v>
                </c:pt>
                <c:pt idx="6">
                  <c:v>107.6</c:v>
                </c:pt>
                <c:pt idx="7">
                  <c:v>108.61</c:v>
                </c:pt>
                <c:pt idx="8">
                  <c:v>107.75</c:v>
                </c:pt>
                <c:pt idx="9">
                  <c:v>106.39</c:v>
                </c:pt>
                <c:pt idx="10">
                  <c:v>105.22</c:v>
                </c:pt>
                <c:pt idx="11">
                  <c:v>103.53</c:v>
                </c:pt>
                <c:pt idx="12">
                  <c:v>102.98</c:v>
                </c:pt>
                <c:pt idx="13">
                  <c:v>101.66</c:v>
                </c:pt>
                <c:pt idx="14">
                  <c:v>100.47</c:v>
                </c:pt>
                <c:pt idx="15">
                  <c:v>98.84</c:v>
                </c:pt>
                <c:pt idx="16">
                  <c:v>97.45</c:v>
                </c:pt>
                <c:pt idx="17">
                  <c:v>96.16</c:v>
                </c:pt>
                <c:pt idx="18">
                  <c:v>94.75</c:v>
                </c:pt>
                <c:pt idx="19">
                  <c:v>92.68</c:v>
                </c:pt>
                <c:pt idx="20">
                  <c:v>91.08</c:v>
                </c:pt>
                <c:pt idx="21">
                  <c:v>89.25</c:v>
                </c:pt>
                <c:pt idx="22">
                  <c:v>86.55</c:v>
                </c:pt>
                <c:pt idx="23">
                  <c:v>83.84</c:v>
                </c:pt>
                <c:pt idx="24">
                  <c:v>80.31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E-444A-BBAE-1A137A29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53555"/>
        <c:axId val="1503655594"/>
      </c:scatterChart>
      <c:valAx>
        <c:axId val="61835355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655594"/>
        <c:crosses val="autoZero"/>
        <c:crossBetween val="midCat"/>
      </c:valAx>
      <c:valAx>
        <c:axId val="150365559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8353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(42.1)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5152754969799898"/>
          <c:y val="0.17171296296296298"/>
          <c:w val="0.7925009708011097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241333357920424"/>
                  <c:y val="-0.12651508035179812"/>
                </c:manualLayout>
              </c:layout>
              <c:numFmt formatCode="General" sourceLinked="0"/>
            </c:trendlineLbl>
          </c:trendline>
          <c:xVal>
            <c:numRef>
              <c:f>'Collected Data Site 1484'!$B$6:$B$17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1484'!$F$6:$F$17</c:f>
              <c:numCache>
                <c:formatCode>General</c:formatCode>
                <c:ptCount val="12"/>
                <c:pt idx="0">
                  <c:v>1.0962908825141604</c:v>
                </c:pt>
                <c:pt idx="1">
                  <c:v>1.0871713777426371</c:v>
                </c:pt>
                <c:pt idx="2">
                  <c:v>1.0725010725010726</c:v>
                </c:pt>
                <c:pt idx="3">
                  <c:v>1.0407030527289547</c:v>
                </c:pt>
                <c:pt idx="4">
                  <c:v>1.0124019235636548</c:v>
                </c:pt>
                <c:pt idx="5">
                  <c:v>0.97738061993856462</c:v>
                </c:pt>
                <c:pt idx="6">
                  <c:v>0.9375</c:v>
                </c:pt>
                <c:pt idx="7">
                  <c:v>0.90220137134608447</c:v>
                </c:pt>
                <c:pt idx="8">
                  <c:v>0.83368070029178831</c:v>
                </c:pt>
                <c:pt idx="9">
                  <c:v>0.77120822622107976</c:v>
                </c:pt>
                <c:pt idx="10">
                  <c:v>0.66934404283801874</c:v>
                </c:pt>
                <c:pt idx="11">
                  <c:v>0.50658561296859173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45-4453-BAD6-7AA0EC9A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013572"/>
        <c:axId val="870312"/>
      </c:scatterChart>
      <c:valAx>
        <c:axId val="183701357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0312"/>
        <c:crosses val="autoZero"/>
        <c:crossBetween val="midCat"/>
      </c:valAx>
      <c:valAx>
        <c:axId val="8703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70135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(119.04)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5171771561341719E-2"/>
                  <c:y val="-0.29955481880554402"/>
                </c:manualLayout>
              </c:layout>
              <c:numFmt formatCode="General" sourceLinked="0"/>
            </c:trendlineLbl>
          </c:trendline>
          <c:xVal>
            <c:numRef>
              <c:f>'Collected Data Site 1484'!$H$6:$H$17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1484'!$L$6:$L$17</c:f>
              <c:numCache>
                <c:formatCode>General</c:formatCode>
                <c:ptCount val="12"/>
                <c:pt idx="0">
                  <c:v>1.3333333333333333</c:v>
                </c:pt>
                <c:pt idx="1">
                  <c:v>1.325940212150434</c:v>
                </c:pt>
                <c:pt idx="2">
                  <c:v>1.3206550449022716</c:v>
                </c:pt>
                <c:pt idx="3">
                  <c:v>1.2919896640826873</c:v>
                </c:pt>
                <c:pt idx="4">
                  <c:v>1.2285012285012284</c:v>
                </c:pt>
                <c:pt idx="5">
                  <c:v>1.1860386309725517</c:v>
                </c:pt>
                <c:pt idx="6">
                  <c:v>1.169590643274854</c:v>
                </c:pt>
                <c:pt idx="7">
                  <c:v>1.1978917105893629</c:v>
                </c:pt>
                <c:pt idx="8">
                  <c:v>1.1217049915872124</c:v>
                </c:pt>
                <c:pt idx="9">
                  <c:v>1.1286681715575622</c:v>
                </c:pt>
                <c:pt idx="10">
                  <c:v>1.2547051442910917</c:v>
                </c:pt>
                <c:pt idx="11">
                  <c:v>1.0845986984815617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B-478D-87BE-670EF661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009"/>
        <c:axId val="1380349461"/>
      </c:scatterChart>
      <c:valAx>
        <c:axId val="945800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349461"/>
        <c:crosses val="autoZero"/>
        <c:crossBetween val="midCat"/>
      </c:valAx>
      <c:valAx>
        <c:axId val="138034946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580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(181.27)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2260357642210613"/>
                  <c:y val="1.3614035087719299E-2"/>
                </c:manualLayout>
              </c:layout>
              <c:numFmt formatCode="General" sourceLinked="0"/>
            </c:trendlineLbl>
          </c:trendline>
          <c:xVal>
            <c:numRef>
              <c:f>'Collected Data Site 1484'!$N$6:$N$17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'Collected Data Site 1484'!$R$6:$R$17</c:f>
              <c:numCache>
                <c:formatCode>General</c:formatCode>
                <c:ptCount val="12"/>
                <c:pt idx="0">
                  <c:v>0.83717036416910839</c:v>
                </c:pt>
                <c:pt idx="1">
                  <c:v>0.8309412297930201</c:v>
                </c:pt>
                <c:pt idx="2">
                  <c:v>0.8005123278898495</c:v>
                </c:pt>
                <c:pt idx="3">
                  <c:v>0.75037518759379696</c:v>
                </c:pt>
                <c:pt idx="4">
                  <c:v>0.71646068421995346</c:v>
                </c:pt>
                <c:pt idx="5">
                  <c:v>0.67672080433101311</c:v>
                </c:pt>
                <c:pt idx="6">
                  <c:v>0.62919463087248317</c:v>
                </c:pt>
                <c:pt idx="7">
                  <c:v>0.57524160147261849</c:v>
                </c:pt>
                <c:pt idx="8">
                  <c:v>0.51163980557687383</c:v>
                </c:pt>
                <c:pt idx="9">
                  <c:v>0.44722719141323791</c:v>
                </c:pt>
                <c:pt idx="10">
                  <c:v>0.36023054755043227</c:v>
                </c:pt>
                <c:pt idx="11">
                  <c:v>0.2612330198537095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9-4FFC-BBC5-FABD749C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67293"/>
        <c:axId val="1166387598"/>
      </c:scatterChart>
      <c:valAx>
        <c:axId val="91756729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6387598"/>
        <c:crosses val="autoZero"/>
        <c:crossBetween val="midCat"/>
      </c:valAx>
      <c:valAx>
        <c:axId val="11663875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756729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(253.01)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069538438842688"/>
                  <c:y val="4.6362573099415202E-2"/>
                </c:manualLayout>
              </c:layout>
              <c:numFmt formatCode="General" sourceLinked="0"/>
            </c:trendlineLbl>
          </c:trendline>
          <c:xVal>
            <c:numRef>
              <c:f>'Collected Data Site 1484'!$B$24:$B$33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1484'!$F$24:$F$33</c:f>
              <c:numCache>
                <c:formatCode>General</c:formatCode>
                <c:ptCount val="10"/>
                <c:pt idx="0">
                  <c:v>0.80606158310494924</c:v>
                </c:pt>
                <c:pt idx="1">
                  <c:v>0.79393083980239942</c:v>
                </c:pt>
                <c:pt idx="2">
                  <c:v>0.71761750986724071</c:v>
                </c:pt>
                <c:pt idx="3">
                  <c:v>0.6759366550791811</c:v>
                </c:pt>
                <c:pt idx="4">
                  <c:v>0.62473969179508537</c:v>
                </c:pt>
                <c:pt idx="5">
                  <c:v>0.588650812338121</c:v>
                </c:pt>
                <c:pt idx="6">
                  <c:v>0.51072522982635349</c:v>
                </c:pt>
                <c:pt idx="7">
                  <c:v>0.43834015195791937</c:v>
                </c:pt>
                <c:pt idx="8">
                  <c:v>0.3343363423604146</c:v>
                </c:pt>
                <c:pt idx="9">
                  <c:v>0.22779043280182232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7-4831-B42E-618EB1EC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78061"/>
        <c:axId val="1775579214"/>
      </c:scatterChart>
      <c:valAx>
        <c:axId val="90587806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5579214"/>
        <c:crosses val="autoZero"/>
        <c:crossBetween val="midCat"/>
      </c:valAx>
      <c:valAx>
        <c:axId val="177557921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8780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(350.67)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6816611038374303"/>
                  <c:y val="-0.16806446562600727"/>
                </c:manualLayout>
              </c:layout>
              <c:numFmt formatCode="General" sourceLinked="0"/>
            </c:trendlineLbl>
          </c:trendline>
          <c:xVal>
            <c:numRef>
              <c:f>'Collected Data Site 1484'!$H$24:$H$33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1484'!$L$24:$L$33</c:f>
              <c:numCache>
                <c:formatCode>General</c:formatCode>
                <c:ptCount val="10"/>
                <c:pt idx="0">
                  <c:v>1.0658708164570454</c:v>
                </c:pt>
                <c:pt idx="1">
                  <c:v>0.99557522123893794</c:v>
                </c:pt>
                <c:pt idx="2">
                  <c:v>0.9722897423432183</c:v>
                </c:pt>
                <c:pt idx="3">
                  <c:v>0.90509438841479184</c:v>
                </c:pt>
                <c:pt idx="4">
                  <c:v>0.83986562150055999</c:v>
                </c:pt>
                <c:pt idx="5">
                  <c:v>0.75301204819277101</c:v>
                </c:pt>
                <c:pt idx="6">
                  <c:v>0.66028392208649722</c:v>
                </c:pt>
                <c:pt idx="7">
                  <c:v>0.57647963105303612</c:v>
                </c:pt>
                <c:pt idx="8">
                  <c:v>0.45703839122486289</c:v>
                </c:pt>
                <c:pt idx="9">
                  <c:v>0.30712530712530711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0-4567-86FD-83E668077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57085"/>
        <c:axId val="2115931093"/>
      </c:scatterChart>
      <c:valAx>
        <c:axId val="184175708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5931093"/>
        <c:crosses val="autoZero"/>
        <c:crossBetween val="midCat"/>
      </c:valAx>
      <c:valAx>
        <c:axId val="21159310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17570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(455.07)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751043414655135"/>
                  <c:y val="8.3724639683197488E-2"/>
                </c:manualLayout>
              </c:layout>
              <c:numFmt formatCode="General" sourceLinked="0"/>
            </c:trendlineLbl>
          </c:trendline>
          <c:xVal>
            <c:numRef>
              <c:f>'Collected Data Site 1484'!$N$24:$N$34</c:f>
              <c:numCache>
                <c:formatCode>General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xVal>
          <c:yVal>
            <c:numRef>
              <c:f>'Collected Data Site 1484'!$R$24:$R$34</c:f>
              <c:numCache>
                <c:formatCode>General</c:formatCode>
                <c:ptCount val="11"/>
                <c:pt idx="0">
                  <c:v>0.64721110849611674</c:v>
                </c:pt>
                <c:pt idx="1">
                  <c:v>0.6505334374186833</c:v>
                </c:pt>
                <c:pt idx="2">
                  <c:v>0.63965884861407241</c:v>
                </c:pt>
                <c:pt idx="3">
                  <c:v>0.6210215804999224</c:v>
                </c:pt>
                <c:pt idx="4">
                  <c:v>0.61663143058491898</c:v>
                </c:pt>
                <c:pt idx="5">
                  <c:v>0.58252427184466016</c:v>
                </c:pt>
                <c:pt idx="6">
                  <c:v>0.55728934462773072</c:v>
                </c:pt>
                <c:pt idx="7">
                  <c:v>0.48496605237633361</c:v>
                </c:pt>
                <c:pt idx="8">
                  <c:v>0.41310933627099972</c:v>
                </c:pt>
                <c:pt idx="9">
                  <c:v>0.32071840923669021</c:v>
                </c:pt>
                <c:pt idx="10">
                  <c:v>0.21008403361344538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A-4DA7-AA62-F03C7C0E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21316"/>
        <c:axId val="1549015427"/>
      </c:scatterChart>
      <c:valAx>
        <c:axId val="184352131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015427"/>
        <c:crosses val="autoZero"/>
        <c:crossBetween val="midCat"/>
      </c:valAx>
      <c:valAx>
        <c:axId val="154901542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35213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(253.01)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1944612063678957"/>
                  <c:y val="-5.4315052723672701E-2"/>
                </c:manualLayout>
              </c:layout>
              <c:numFmt formatCode="General" sourceLinked="0"/>
            </c:trendlineLbl>
          </c:trendline>
          <c:xVal>
            <c:numRef>
              <c:f>'Collected Data Site 1484'!$B$24:$B$33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1484'!$E$24:$E$33</c:f>
              <c:numCache>
                <c:formatCode>General</c:formatCode>
                <c:ptCount val="10"/>
                <c:pt idx="0">
                  <c:v>1.82</c:v>
                </c:pt>
                <c:pt idx="1">
                  <c:v>1.71</c:v>
                </c:pt>
                <c:pt idx="2">
                  <c:v>1.63</c:v>
                </c:pt>
                <c:pt idx="3">
                  <c:v>1.6</c:v>
                </c:pt>
                <c:pt idx="4">
                  <c:v>1.51</c:v>
                </c:pt>
                <c:pt idx="5">
                  <c:v>1.37</c:v>
                </c:pt>
                <c:pt idx="6">
                  <c:v>1.26</c:v>
                </c:pt>
                <c:pt idx="7">
                  <c:v>1.1599999999999999</c:v>
                </c:pt>
                <c:pt idx="8">
                  <c:v>1</c:v>
                </c:pt>
                <c:pt idx="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EB5-BE3F-F66BA5E7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17106"/>
        <c:axId val="1092564117"/>
      </c:scatterChart>
      <c:valAx>
        <c:axId val="102411710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564117"/>
        <c:crosses val="autoZero"/>
        <c:crossBetween val="midCat"/>
      </c:valAx>
      <c:valAx>
        <c:axId val="109256411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41171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(526.88)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2764073883287951"/>
                  <c:y val="2.6835382419302851E-2"/>
                </c:manualLayout>
              </c:layout>
              <c:numFmt formatCode="General" sourceLinked="0"/>
            </c:trendlineLbl>
          </c:trendline>
          <c:xVal>
            <c:numRef>
              <c:f>'Collected Data Site 1484'!$B$41:$B$54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1484'!$F$41:$F$54</c:f>
              <c:numCache>
                <c:formatCode>General</c:formatCode>
                <c:ptCount val="14"/>
                <c:pt idx="0">
                  <c:v>0.59538998043718627</c:v>
                </c:pt>
                <c:pt idx="1">
                  <c:v>0.58025352615604353</c:v>
                </c:pt>
                <c:pt idx="2">
                  <c:v>0.58286380415776184</c:v>
                </c:pt>
                <c:pt idx="3">
                  <c:v>0.57846024400504836</c:v>
                </c:pt>
                <c:pt idx="4">
                  <c:v>0.59594755661501797</c:v>
                </c:pt>
                <c:pt idx="5">
                  <c:v>0.60655074807925602</c:v>
                </c:pt>
                <c:pt idx="6">
                  <c:v>0.59710404537990747</c:v>
                </c:pt>
                <c:pt idx="7">
                  <c:v>0.57330057330057327</c:v>
                </c:pt>
                <c:pt idx="8">
                  <c:v>0.53134962805526031</c:v>
                </c:pt>
                <c:pt idx="9">
                  <c:v>0.48837663606173082</c:v>
                </c:pt>
                <c:pt idx="10">
                  <c:v>0.4305705059203444</c:v>
                </c:pt>
                <c:pt idx="11">
                  <c:v>0.35612535612535617</c:v>
                </c:pt>
                <c:pt idx="12">
                  <c:v>0.27816411682892905</c:v>
                </c:pt>
                <c:pt idx="13">
                  <c:v>0.17053206002728513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D-46DC-9998-6CFF2CFE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6997"/>
        <c:axId val="1441491972"/>
      </c:scatterChart>
      <c:valAx>
        <c:axId val="47262699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1491972"/>
        <c:crosses val="autoZero"/>
        <c:crossBetween val="midCat"/>
      </c:valAx>
      <c:valAx>
        <c:axId val="14414919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26269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(577.89)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711114381730319"/>
                  <c:y val="-3.5300640051572497E-2"/>
                </c:manualLayout>
              </c:layout>
              <c:numFmt formatCode="General" sourceLinked="0"/>
            </c:trendlineLbl>
          </c:trendline>
          <c:xVal>
            <c:numRef>
              <c:f>'Collected Data Site 1484'!$H$41:$H$54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1484'!$L$41:$L$54</c:f>
              <c:numCache>
                <c:formatCode>General</c:formatCode>
                <c:ptCount val="14"/>
                <c:pt idx="0">
                  <c:v>0.48449612403100767</c:v>
                </c:pt>
                <c:pt idx="1">
                  <c:v>0.47258979206049151</c:v>
                </c:pt>
                <c:pt idx="2">
                  <c:v>0.46346361810597875</c:v>
                </c:pt>
                <c:pt idx="3">
                  <c:v>0.46013553082908054</c:v>
                </c:pt>
                <c:pt idx="4">
                  <c:v>0.45749839875560433</c:v>
                </c:pt>
                <c:pt idx="5">
                  <c:v>0.44946064722333195</c:v>
                </c:pt>
                <c:pt idx="6">
                  <c:v>0.4356823875394838</c:v>
                </c:pt>
                <c:pt idx="7">
                  <c:v>0.42072364466883039</c:v>
                </c:pt>
                <c:pt idx="8">
                  <c:v>0.39215686274509803</c:v>
                </c:pt>
                <c:pt idx="9">
                  <c:v>0.35491198182850653</c:v>
                </c:pt>
                <c:pt idx="10">
                  <c:v>0.30864197530864201</c:v>
                </c:pt>
                <c:pt idx="11">
                  <c:v>0.25406504065040653</c:v>
                </c:pt>
                <c:pt idx="12">
                  <c:v>0.19091256204658266</c:v>
                </c:pt>
                <c:pt idx="13">
                  <c:v>0.11402508551881413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C-4054-B268-D4FBD0C6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9200"/>
        <c:axId val="1415528098"/>
      </c:scatterChart>
      <c:valAx>
        <c:axId val="49116920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528098"/>
        <c:crosses val="autoZero"/>
        <c:crossBetween val="midCat"/>
      </c:valAx>
      <c:valAx>
        <c:axId val="14155280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11692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(683.43)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690571465452063"/>
                  <c:y val="-3.4944053046000829E-3"/>
                </c:manualLayout>
              </c:layout>
              <c:numFmt formatCode="General" sourceLinked="0"/>
            </c:trendlineLbl>
          </c:trendline>
          <c:xVal>
            <c:numRef>
              <c:f>'Collected Data Site 1484'!$N$41:$N$56</c:f>
              <c:numCache>
                <c:formatCode>General</c:formatCode>
                <c:ptCount val="16"/>
                <c:pt idx="0">
                  <c:v>40</c:v>
                </c:pt>
                <c:pt idx="1">
                  <c:v>37.5</c:v>
                </c:pt>
                <c:pt idx="2">
                  <c:v>35</c:v>
                </c:pt>
                <c:pt idx="3">
                  <c:v>32.5</c:v>
                </c:pt>
                <c:pt idx="4">
                  <c:v>30</c:v>
                </c:pt>
                <c:pt idx="5">
                  <c:v>27.5</c:v>
                </c:pt>
                <c:pt idx="6">
                  <c:v>25</c:v>
                </c:pt>
                <c:pt idx="7">
                  <c:v>22.5</c:v>
                </c:pt>
                <c:pt idx="8">
                  <c:v>20</c:v>
                </c:pt>
                <c:pt idx="9">
                  <c:v>17.5</c:v>
                </c:pt>
                <c:pt idx="10">
                  <c:v>15</c:v>
                </c:pt>
                <c:pt idx="11">
                  <c:v>12.5</c:v>
                </c:pt>
                <c:pt idx="12">
                  <c:v>10</c:v>
                </c:pt>
                <c:pt idx="13">
                  <c:v>7.5</c:v>
                </c:pt>
                <c:pt idx="14">
                  <c:v>5</c:v>
                </c:pt>
                <c:pt idx="15">
                  <c:v>2.5</c:v>
                </c:pt>
              </c:numCache>
            </c:numRef>
          </c:xVal>
          <c:yVal>
            <c:numRef>
              <c:f>'Collected Data Site 1484'!$R$41:$R$56</c:f>
              <c:numCache>
                <c:formatCode>General</c:formatCode>
                <c:ptCount val="16"/>
                <c:pt idx="0">
                  <c:v>0.26579839191972887</c:v>
                </c:pt>
                <c:pt idx="1">
                  <c:v>0.26126942102696299</c:v>
                </c:pt>
                <c:pt idx="2">
                  <c:v>0.25885659344723022</c:v>
                </c:pt>
                <c:pt idx="3">
                  <c:v>0.25349036736604008</c:v>
                </c:pt>
                <c:pt idx="4">
                  <c:v>0.2486325211337643</c:v>
                </c:pt>
                <c:pt idx="5">
                  <c:v>0.24595295590734281</c:v>
                </c:pt>
                <c:pt idx="6">
                  <c:v>0.23613866062151695</c:v>
                </c:pt>
                <c:pt idx="7">
                  <c:v>0.22222222222222221</c:v>
                </c:pt>
                <c:pt idx="8">
                  <c:v>0.20903010033444819</c:v>
                </c:pt>
                <c:pt idx="9">
                  <c:v>0.19268883505835721</c:v>
                </c:pt>
                <c:pt idx="10">
                  <c:v>0.17661603673613563</c:v>
                </c:pt>
                <c:pt idx="11">
                  <c:v>0.15733165512901195</c:v>
                </c:pt>
                <c:pt idx="12">
                  <c:v>0.13635124079629124</c:v>
                </c:pt>
                <c:pt idx="13">
                  <c:v>0.10971328262141604</c:v>
                </c:pt>
                <c:pt idx="14">
                  <c:v>8.3194675540765387E-2</c:v>
                </c:pt>
                <c:pt idx="15">
                  <c:v>4.7782874617737003E-2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B-4169-BCF0-1850BBAC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56981"/>
        <c:axId val="1517415058"/>
      </c:scatterChart>
      <c:valAx>
        <c:axId val="1124569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415058"/>
        <c:crosses val="autoZero"/>
        <c:crossBetween val="midCat"/>
      </c:valAx>
      <c:valAx>
        <c:axId val="151741505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4569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(850.56)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742487796502072"/>
                  <c:y val="-3.681834507528664E-2"/>
                </c:manualLayout>
              </c:layout>
              <c:numFmt formatCode="General" sourceLinked="0"/>
            </c:trendlineLbl>
          </c:trendline>
          <c:xVal>
            <c:numRef>
              <c:f>'Collected Data Site 1484'!$B$61:$B$80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'Collected Data Site 1484'!$F$61:$F$80</c:f>
              <c:numCache>
                <c:formatCode>General</c:formatCode>
                <c:ptCount val="20"/>
                <c:pt idx="0">
                  <c:v>0.29329813755682654</c:v>
                </c:pt>
                <c:pt idx="1">
                  <c:v>0.28976666158304099</c:v>
                </c:pt>
                <c:pt idx="2">
                  <c:v>0.28186658315064206</c:v>
                </c:pt>
                <c:pt idx="3">
                  <c:v>0.28108465608465605</c:v>
                </c:pt>
                <c:pt idx="4">
                  <c:v>0.27359781121751026</c:v>
                </c:pt>
                <c:pt idx="5">
                  <c:v>0.25951557093425609</c:v>
                </c:pt>
                <c:pt idx="6">
                  <c:v>0.25357725049809815</c:v>
                </c:pt>
                <c:pt idx="7">
                  <c:v>0.24889910013402261</c:v>
                </c:pt>
                <c:pt idx="8">
                  <c:v>0.24252223120452707</c:v>
                </c:pt>
                <c:pt idx="9">
                  <c:v>0.23645743766122096</c:v>
                </c:pt>
                <c:pt idx="10">
                  <c:v>0.2239140170174653</c:v>
                </c:pt>
                <c:pt idx="11">
                  <c:v>0.21181454459872912</c:v>
                </c:pt>
                <c:pt idx="12">
                  <c:v>0.20105554159336517</c:v>
                </c:pt>
                <c:pt idx="13">
                  <c:v>0.18305439330543932</c:v>
                </c:pt>
                <c:pt idx="14">
                  <c:v>0.16592920353982299</c:v>
                </c:pt>
                <c:pt idx="15">
                  <c:v>0.14577259475218657</c:v>
                </c:pt>
                <c:pt idx="16">
                  <c:v>0.12433944668946223</c:v>
                </c:pt>
                <c:pt idx="17">
                  <c:v>9.9469496021220155E-2</c:v>
                </c:pt>
                <c:pt idx="18">
                  <c:v>7.2463768115942032E-2</c:v>
                </c:pt>
                <c:pt idx="19">
                  <c:v>3.998400639744102E-2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A-49ED-91F1-95C3FB8D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58197"/>
        <c:axId val="1891847782"/>
      </c:scatterChart>
      <c:valAx>
        <c:axId val="99855819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1847782"/>
        <c:crosses val="autoZero"/>
        <c:crossBetween val="midCat"/>
      </c:valAx>
      <c:valAx>
        <c:axId val="189184778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5581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(970.69)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9437976794956703"/>
                  <c:y val="-0.17382842934106921"/>
                </c:manualLayout>
              </c:layout>
              <c:numFmt formatCode="General" sourceLinked="0"/>
            </c:trendlineLbl>
          </c:trendline>
          <c:xVal>
            <c:numRef>
              <c:f>'Collected Data Site 1484'!$H$61:$H$85</c:f>
              <c:numCache>
                <c:formatCode>General</c:formatCode>
                <c:ptCount val="25"/>
                <c:pt idx="0">
                  <c:v>5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</c:numCache>
            </c:numRef>
          </c:xVal>
          <c:yVal>
            <c:numRef>
              <c:f>'Collected Data Site 1484'!$L$61:$L$85</c:f>
              <c:numCache>
                <c:formatCode>General</c:formatCode>
                <c:ptCount val="25"/>
                <c:pt idx="0">
                  <c:v>4.3350095370209812E-2</c:v>
                </c:pt>
                <c:pt idx="1">
                  <c:v>4.2072048382855637E-2</c:v>
                </c:pt>
                <c:pt idx="2">
                  <c:v>4.0809084457061745E-2</c:v>
                </c:pt>
                <c:pt idx="3">
                  <c:v>3.9131981501245104E-2</c:v>
                </c:pt>
                <c:pt idx="4">
                  <c:v>3.7433155080213908E-2</c:v>
                </c:pt>
                <c:pt idx="5">
                  <c:v>3.6088054853843379E-2</c:v>
                </c:pt>
                <c:pt idx="6">
                  <c:v>3.5315985130111527E-2</c:v>
                </c:pt>
                <c:pt idx="7">
                  <c:v>3.3146119141883805E-2</c:v>
                </c:pt>
                <c:pt idx="8">
                  <c:v>3.1554524361948957E-2</c:v>
                </c:pt>
                <c:pt idx="9">
                  <c:v>3.0078014851019835E-2</c:v>
                </c:pt>
                <c:pt idx="10">
                  <c:v>2.8511689792815053E-2</c:v>
                </c:pt>
                <c:pt idx="11">
                  <c:v>2.7045300878972278E-2</c:v>
                </c:pt>
                <c:pt idx="12">
                  <c:v>2.5247620897261604E-2</c:v>
                </c:pt>
                <c:pt idx="13">
                  <c:v>2.3608105449537675E-2</c:v>
                </c:pt>
                <c:pt idx="14">
                  <c:v>2.1897083706579081E-2</c:v>
                </c:pt>
                <c:pt idx="15">
                  <c:v>2.0234722784297856E-2</c:v>
                </c:pt>
                <c:pt idx="16">
                  <c:v>1.8471010774756286E-2</c:v>
                </c:pt>
                <c:pt idx="17">
                  <c:v>1.6638935108153081E-2</c:v>
                </c:pt>
                <c:pt idx="18">
                  <c:v>1.4775725593667546E-2</c:v>
                </c:pt>
                <c:pt idx="19">
                  <c:v>1.2947777298230469E-2</c:v>
                </c:pt>
                <c:pt idx="20">
                  <c:v>1.0979358805445762E-2</c:v>
                </c:pt>
                <c:pt idx="21">
                  <c:v>8.9635854341736706E-3</c:v>
                </c:pt>
                <c:pt idx="22">
                  <c:v>6.9324090121317154E-3</c:v>
                </c:pt>
                <c:pt idx="23">
                  <c:v>4.7709923664122139E-3</c:v>
                </c:pt>
                <c:pt idx="24">
                  <c:v>2.4903498941601294E-3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1-46DB-B2EB-FD161C30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7988"/>
        <c:axId val="1178141385"/>
      </c:scatterChart>
      <c:valAx>
        <c:axId val="212999798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141385"/>
        <c:crosses val="autoZero"/>
        <c:crossBetween val="midCat"/>
      </c:valAx>
      <c:valAx>
        <c:axId val="117814138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99979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(350.67)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835602325410258"/>
                  <c:y val="-6.8242574941290227E-2"/>
                </c:manualLayout>
              </c:layout>
              <c:numFmt formatCode="General" sourceLinked="0"/>
            </c:trendlineLbl>
          </c:trendline>
          <c:xVal>
            <c:numRef>
              <c:f>'Collected Data Site 1484'!$H$24:$H$33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1484'!$K$24:$K$33</c:f>
              <c:numCache>
                <c:formatCode>General</c:formatCode>
                <c:ptCount val="10"/>
                <c:pt idx="0">
                  <c:v>1.8</c:v>
                </c:pt>
                <c:pt idx="1">
                  <c:v>1.74</c:v>
                </c:pt>
                <c:pt idx="2">
                  <c:v>1.63</c:v>
                </c:pt>
                <c:pt idx="3">
                  <c:v>1.48</c:v>
                </c:pt>
                <c:pt idx="4">
                  <c:v>1.43</c:v>
                </c:pt>
                <c:pt idx="5">
                  <c:v>1.37</c:v>
                </c:pt>
                <c:pt idx="6">
                  <c:v>1.19</c:v>
                </c:pt>
                <c:pt idx="7">
                  <c:v>1.08</c:v>
                </c:pt>
                <c:pt idx="8">
                  <c:v>1.02</c:v>
                </c:pt>
                <c:pt idx="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A-4300-B5D2-5475BB05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20604"/>
        <c:axId val="1106827195"/>
      </c:scatterChart>
      <c:valAx>
        <c:axId val="193142060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6827195"/>
        <c:crosses val="autoZero"/>
        <c:crossBetween val="midCat"/>
      </c:valAx>
      <c:valAx>
        <c:axId val="110682719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14206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(455.07)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624579714420945"/>
                  <c:y val="-1.4825252106644564E-2"/>
                </c:manualLayout>
              </c:layout>
              <c:numFmt formatCode="General" sourceLinked="0"/>
            </c:trendlineLbl>
          </c:trendline>
          <c:xVal>
            <c:numRef>
              <c:f>'Collected Data Site 1484'!$N$24:$N$34</c:f>
              <c:numCache>
                <c:formatCode>General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xVal>
          <c:yVal>
            <c:numRef>
              <c:f>'Collected Data Site 1484'!$Q$24:$Q$34</c:f>
              <c:numCache>
                <c:formatCode>General</c:formatCode>
                <c:ptCount val="11"/>
                <c:pt idx="0">
                  <c:v>2.13</c:v>
                </c:pt>
                <c:pt idx="1">
                  <c:v>2.04</c:v>
                </c:pt>
                <c:pt idx="2">
                  <c:v>1.9</c:v>
                </c:pt>
                <c:pt idx="3">
                  <c:v>1.87</c:v>
                </c:pt>
                <c:pt idx="4">
                  <c:v>1.72</c:v>
                </c:pt>
                <c:pt idx="5">
                  <c:v>1.64</c:v>
                </c:pt>
                <c:pt idx="6">
                  <c:v>1.5</c:v>
                </c:pt>
                <c:pt idx="7">
                  <c:v>1.39</c:v>
                </c:pt>
                <c:pt idx="8">
                  <c:v>1.25</c:v>
                </c:pt>
                <c:pt idx="9">
                  <c:v>1.1000000000000001</c:v>
                </c:pt>
                <c:pt idx="10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A-4C85-B7C4-E0D9790B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93367"/>
        <c:axId val="1334393755"/>
      </c:scatterChart>
      <c:valAx>
        <c:axId val="150969336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4393755"/>
        <c:crosses val="autoZero"/>
        <c:crossBetween val="midCat"/>
      </c:valAx>
      <c:valAx>
        <c:axId val="133439375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969336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(526.88)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659911363538577"/>
                  <c:y val="-2.9524519961320623E-2"/>
                </c:manualLayout>
              </c:layout>
              <c:numFmt formatCode="General" sourceLinked="0"/>
            </c:trendlineLbl>
          </c:trendline>
          <c:xVal>
            <c:numRef>
              <c:f>'Collected Data Site 1484'!$B$41:$B$54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1484'!$E$41:$E$54</c:f>
              <c:numCache>
                <c:formatCode>General</c:formatCode>
                <c:ptCount val="14"/>
                <c:pt idx="0">
                  <c:v>2.54</c:v>
                </c:pt>
                <c:pt idx="1">
                  <c:v>2.46</c:v>
                </c:pt>
                <c:pt idx="2">
                  <c:v>2.39</c:v>
                </c:pt>
                <c:pt idx="3">
                  <c:v>2.2999999999999998</c:v>
                </c:pt>
                <c:pt idx="4">
                  <c:v>2.2200000000000002</c:v>
                </c:pt>
                <c:pt idx="5">
                  <c:v>2.0699999999999998</c:v>
                </c:pt>
                <c:pt idx="6">
                  <c:v>1.98</c:v>
                </c:pt>
                <c:pt idx="7">
                  <c:v>1.88</c:v>
                </c:pt>
                <c:pt idx="8">
                  <c:v>1.76</c:v>
                </c:pt>
                <c:pt idx="9">
                  <c:v>1.66</c:v>
                </c:pt>
                <c:pt idx="10">
                  <c:v>1.51</c:v>
                </c:pt>
                <c:pt idx="11">
                  <c:v>1.38</c:v>
                </c:pt>
                <c:pt idx="12">
                  <c:v>1.23</c:v>
                </c:pt>
                <c:pt idx="13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5-4541-8275-918F7851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25737"/>
        <c:axId val="1893985410"/>
      </c:scatterChart>
      <c:valAx>
        <c:axId val="209602573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985410"/>
        <c:crosses val="autoZero"/>
        <c:crossBetween val="midCat"/>
      </c:valAx>
      <c:valAx>
        <c:axId val="189398541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0257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(577.89)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42757565140423"/>
                  <c:y val="-0.11132808398950131"/>
                </c:manualLayout>
              </c:layout>
              <c:numFmt formatCode="General" sourceLinked="0"/>
            </c:trendlineLbl>
          </c:trendline>
          <c:xVal>
            <c:numRef>
              <c:f>'Collected Data Site 1484'!$H$41:$H$54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1484'!$K$41:$K$54</c:f>
              <c:numCache>
                <c:formatCode>General</c:formatCode>
                <c:ptCount val="14"/>
                <c:pt idx="0">
                  <c:v>2.73</c:v>
                </c:pt>
                <c:pt idx="1">
                  <c:v>2.66</c:v>
                </c:pt>
                <c:pt idx="2">
                  <c:v>2.59</c:v>
                </c:pt>
                <c:pt idx="3">
                  <c:v>2.5</c:v>
                </c:pt>
                <c:pt idx="4">
                  <c:v>2.4</c:v>
                </c:pt>
                <c:pt idx="5">
                  <c:v>2.31</c:v>
                </c:pt>
                <c:pt idx="6">
                  <c:v>2.2000000000000002</c:v>
                </c:pt>
                <c:pt idx="7">
                  <c:v>2.1</c:v>
                </c:pt>
                <c:pt idx="8">
                  <c:v>2</c:v>
                </c:pt>
                <c:pt idx="9">
                  <c:v>1.87</c:v>
                </c:pt>
                <c:pt idx="10">
                  <c:v>1.75</c:v>
                </c:pt>
                <c:pt idx="11">
                  <c:v>1.61</c:v>
                </c:pt>
                <c:pt idx="12">
                  <c:v>1.46</c:v>
                </c:pt>
                <c:pt idx="13">
                  <c:v>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5-4D9B-9CC0-A8D256EF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30653"/>
        <c:axId val="568628298"/>
      </c:scatterChart>
      <c:valAx>
        <c:axId val="32093065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8628298"/>
        <c:crosses val="autoZero"/>
        <c:crossBetween val="midCat"/>
      </c:valAx>
      <c:valAx>
        <c:axId val="5686282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9306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(683.43)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2291258674632883"/>
                  <c:y val="-0.18079992632499889"/>
                </c:manualLayout>
              </c:layout>
              <c:numFmt formatCode="General" sourceLinked="0"/>
            </c:trendlineLbl>
          </c:trendline>
          <c:xVal>
            <c:numRef>
              <c:f>'Collected Data Site 1484'!$N$41:$N$56</c:f>
              <c:numCache>
                <c:formatCode>General</c:formatCode>
                <c:ptCount val="16"/>
                <c:pt idx="0">
                  <c:v>40</c:v>
                </c:pt>
                <c:pt idx="1">
                  <c:v>37.5</c:v>
                </c:pt>
                <c:pt idx="2">
                  <c:v>35</c:v>
                </c:pt>
                <c:pt idx="3">
                  <c:v>32.5</c:v>
                </c:pt>
                <c:pt idx="4">
                  <c:v>30</c:v>
                </c:pt>
                <c:pt idx="5">
                  <c:v>27.5</c:v>
                </c:pt>
                <c:pt idx="6">
                  <c:v>25</c:v>
                </c:pt>
                <c:pt idx="7">
                  <c:v>22.5</c:v>
                </c:pt>
                <c:pt idx="8">
                  <c:v>20</c:v>
                </c:pt>
                <c:pt idx="9">
                  <c:v>17.5</c:v>
                </c:pt>
                <c:pt idx="10">
                  <c:v>15</c:v>
                </c:pt>
                <c:pt idx="11">
                  <c:v>12.5</c:v>
                </c:pt>
                <c:pt idx="12">
                  <c:v>10</c:v>
                </c:pt>
                <c:pt idx="13">
                  <c:v>7.5</c:v>
                </c:pt>
                <c:pt idx="14">
                  <c:v>5</c:v>
                </c:pt>
                <c:pt idx="15">
                  <c:v>2.5</c:v>
                </c:pt>
              </c:numCache>
            </c:numRef>
          </c:xVal>
          <c:yVal>
            <c:numRef>
              <c:f>'Collected Data Site 1484'!$Q$41:$Q$56</c:f>
              <c:numCache>
                <c:formatCode>General</c:formatCode>
                <c:ptCount val="16"/>
                <c:pt idx="0">
                  <c:v>2.2200000000000002</c:v>
                </c:pt>
                <c:pt idx="1">
                  <c:v>2.16</c:v>
                </c:pt>
                <c:pt idx="2">
                  <c:v>2.06</c:v>
                </c:pt>
                <c:pt idx="3">
                  <c:v>2.0299999999999998</c:v>
                </c:pt>
                <c:pt idx="4">
                  <c:v>2.02</c:v>
                </c:pt>
                <c:pt idx="5">
                  <c:v>1.88</c:v>
                </c:pt>
                <c:pt idx="6">
                  <c:v>1.82</c:v>
                </c:pt>
                <c:pt idx="7">
                  <c:v>1.82</c:v>
                </c:pt>
                <c:pt idx="8">
                  <c:v>1.73</c:v>
                </c:pt>
                <c:pt idx="9">
                  <c:v>1.7</c:v>
                </c:pt>
                <c:pt idx="10">
                  <c:v>1.6</c:v>
                </c:pt>
                <c:pt idx="11">
                  <c:v>1.56</c:v>
                </c:pt>
                <c:pt idx="12">
                  <c:v>1.45</c:v>
                </c:pt>
                <c:pt idx="13">
                  <c:v>1.38</c:v>
                </c:pt>
                <c:pt idx="14">
                  <c:v>1.24</c:v>
                </c:pt>
                <c:pt idx="15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9-4509-B7F0-D6709663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55054"/>
        <c:axId val="1010676979"/>
      </c:scatterChart>
      <c:valAx>
        <c:axId val="67275505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0676979"/>
        <c:crosses val="autoZero"/>
        <c:crossBetween val="midCat"/>
      </c:valAx>
      <c:valAx>
        <c:axId val="101067697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75505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41756467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86225" cy="2714625"/>
    <xdr:graphicFrame macro="">
      <xdr:nvGraphicFramePr>
        <xdr:cNvPr id="34488057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149736595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76700" cy="2714625"/>
    <xdr:graphicFrame macro="">
      <xdr:nvGraphicFramePr>
        <xdr:cNvPr id="119706400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76700" cy="2714625"/>
    <xdr:graphicFrame macro="">
      <xdr:nvGraphicFramePr>
        <xdr:cNvPr id="15729896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15</xdr:row>
      <xdr:rowOff>0</xdr:rowOff>
    </xdr:from>
    <xdr:ext cx="4067175" cy="2714625"/>
    <xdr:graphicFrame macro="">
      <xdr:nvGraphicFramePr>
        <xdr:cNvPr id="19683600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67175" cy="2714625"/>
    <xdr:graphicFrame macro="">
      <xdr:nvGraphicFramePr>
        <xdr:cNvPr id="154714625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67175" cy="2714625"/>
    <xdr:graphicFrame macro="">
      <xdr:nvGraphicFramePr>
        <xdr:cNvPr id="69005761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067175" cy="2714625"/>
    <xdr:graphicFrame macro="">
      <xdr:nvGraphicFramePr>
        <xdr:cNvPr id="6915036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4076700" cy="2714625"/>
    <xdr:graphicFrame macro="">
      <xdr:nvGraphicFramePr>
        <xdr:cNvPr id="6650505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0</xdr:colOff>
      <xdr:row>45</xdr:row>
      <xdr:rowOff>0</xdr:rowOff>
    </xdr:from>
    <xdr:ext cx="4067175" cy="2714625"/>
    <xdr:graphicFrame macro="">
      <xdr:nvGraphicFramePr>
        <xdr:cNvPr id="127361305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116155594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67175" cy="2714625"/>
    <xdr:graphicFrame macro="">
      <xdr:nvGraphicFramePr>
        <xdr:cNvPr id="158125689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40786133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1305500778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67175" cy="2714625"/>
    <xdr:graphicFrame macro="">
      <xdr:nvGraphicFramePr>
        <xdr:cNvPr id="1896319118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590550</xdr:colOff>
      <xdr:row>15</xdr:row>
      <xdr:rowOff>0</xdr:rowOff>
    </xdr:from>
    <xdr:ext cx="4067175" cy="2714625"/>
    <xdr:graphicFrame macro="">
      <xdr:nvGraphicFramePr>
        <xdr:cNvPr id="19977983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67175" cy="2714625"/>
    <xdr:graphicFrame macro="">
      <xdr:nvGraphicFramePr>
        <xdr:cNvPr id="1670939566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67175" cy="2714625"/>
    <xdr:graphicFrame macro="">
      <xdr:nvGraphicFramePr>
        <xdr:cNvPr id="700729712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067175" cy="2714625"/>
    <xdr:graphicFrame macro="">
      <xdr:nvGraphicFramePr>
        <xdr:cNvPr id="19283096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4067175" cy="2714625"/>
    <xdr:graphicFrame macro="">
      <xdr:nvGraphicFramePr>
        <xdr:cNvPr id="658616716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0</xdr:colOff>
      <xdr:row>45</xdr:row>
      <xdr:rowOff>0</xdr:rowOff>
    </xdr:from>
    <xdr:ext cx="4067175" cy="2714625"/>
    <xdr:graphicFrame macro="">
      <xdr:nvGraphicFramePr>
        <xdr:cNvPr id="17950482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57329805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67175" cy="2714625"/>
    <xdr:graphicFrame macro="">
      <xdr:nvGraphicFramePr>
        <xdr:cNvPr id="736293866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1637244793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1813729122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67175" cy="2714625"/>
    <xdr:graphicFrame macro="">
      <xdr:nvGraphicFramePr>
        <xdr:cNvPr id="189927674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590550</xdr:colOff>
      <xdr:row>15</xdr:row>
      <xdr:rowOff>0</xdr:rowOff>
    </xdr:from>
    <xdr:ext cx="4067175" cy="2714625"/>
    <xdr:graphicFrame macro="">
      <xdr:nvGraphicFramePr>
        <xdr:cNvPr id="207992558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76700" cy="2714625"/>
    <xdr:graphicFrame macro="">
      <xdr:nvGraphicFramePr>
        <xdr:cNvPr id="185534797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76700" cy="2714625"/>
    <xdr:graphicFrame macro="">
      <xdr:nvGraphicFramePr>
        <xdr:cNvPr id="137842916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067175" cy="2714625"/>
    <xdr:graphicFrame macro="">
      <xdr:nvGraphicFramePr>
        <xdr:cNvPr id="1635197028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4067175" cy="2714625"/>
    <xdr:graphicFrame macro="">
      <xdr:nvGraphicFramePr>
        <xdr:cNvPr id="1810923644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0</xdr:colOff>
      <xdr:row>45</xdr:row>
      <xdr:rowOff>0</xdr:rowOff>
    </xdr:from>
    <xdr:ext cx="4067175" cy="2714625"/>
    <xdr:graphicFrame macro="">
      <xdr:nvGraphicFramePr>
        <xdr:cNvPr id="1704806450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1380583826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67175" cy="2714625"/>
    <xdr:graphicFrame macro="">
      <xdr:nvGraphicFramePr>
        <xdr:cNvPr id="11742192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76700" cy="2714625"/>
    <xdr:graphicFrame macro="">
      <xdr:nvGraphicFramePr>
        <xdr:cNvPr id="76788875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1787605535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67175" cy="2714625"/>
    <xdr:graphicFrame macro="">
      <xdr:nvGraphicFramePr>
        <xdr:cNvPr id="757644958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15</xdr:row>
      <xdr:rowOff>0</xdr:rowOff>
    </xdr:from>
    <xdr:ext cx="4067175" cy="2714625"/>
    <xdr:graphicFrame macro="">
      <xdr:nvGraphicFramePr>
        <xdr:cNvPr id="1616620686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76700" cy="2714625"/>
    <xdr:graphicFrame macro="">
      <xdr:nvGraphicFramePr>
        <xdr:cNvPr id="2038135420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76700" cy="2714625"/>
    <xdr:graphicFrame macro="">
      <xdr:nvGraphicFramePr>
        <xdr:cNvPr id="418769255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067175" cy="2714625"/>
    <xdr:graphicFrame macro="">
      <xdr:nvGraphicFramePr>
        <xdr:cNvPr id="314730668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4076700" cy="2714625"/>
    <xdr:graphicFrame macro="">
      <xdr:nvGraphicFramePr>
        <xdr:cNvPr id="501596203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0</xdr:colOff>
      <xdr:row>45</xdr:row>
      <xdr:rowOff>0</xdr:rowOff>
    </xdr:from>
    <xdr:ext cx="4076700" cy="2714625"/>
    <xdr:graphicFrame macro="">
      <xdr:nvGraphicFramePr>
        <xdr:cNvPr id="54374813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0"/>
  <sheetViews>
    <sheetView topLeftCell="A61" workbookViewId="0">
      <selection activeCell="S1" sqref="S1:S1048576"/>
    </sheetView>
  </sheetViews>
  <sheetFormatPr defaultColWidth="12.59765625" defaultRowHeight="15" customHeight="1" x14ac:dyDescent="0.25"/>
  <cols>
    <col min="1" max="1" width="7.59765625" customWidth="1"/>
    <col min="2" max="2" width="19.3984375" customWidth="1"/>
    <col min="3" max="3" width="8.59765625" customWidth="1"/>
    <col min="4" max="5" width="7.8984375" customWidth="1"/>
    <col min="6" max="6" width="11.09765625" customWidth="1"/>
    <col min="7" max="7" width="7.59765625" customWidth="1"/>
    <col min="8" max="8" width="19.3984375" customWidth="1"/>
    <col min="9" max="9" width="8.59765625" customWidth="1"/>
    <col min="10" max="11" width="7.8984375" customWidth="1"/>
    <col min="12" max="12" width="10.69921875" customWidth="1"/>
    <col min="13" max="13" width="7.59765625" customWidth="1"/>
    <col min="14" max="14" width="19.3984375" customWidth="1"/>
    <col min="15" max="15" width="8.59765625" customWidth="1"/>
    <col min="16" max="17" width="7.8984375" customWidth="1"/>
    <col min="18" max="18" width="10.69921875" customWidth="1"/>
    <col min="19" max="26" width="7.59765625" customWidth="1"/>
  </cols>
  <sheetData>
    <row r="1" spans="2:19" ht="14.25" customHeight="1" x14ac:dyDescent="0.25"/>
    <row r="2" spans="2:19" ht="14.25" customHeight="1" x14ac:dyDescent="0.3">
      <c r="B2" s="1" t="s">
        <v>0</v>
      </c>
      <c r="C2" s="2">
        <v>1484</v>
      </c>
      <c r="D2" s="2"/>
      <c r="E2" s="2"/>
      <c r="F2" s="2"/>
      <c r="H2" s="1" t="s">
        <v>0</v>
      </c>
      <c r="I2" s="2">
        <v>1484</v>
      </c>
      <c r="J2" s="2"/>
      <c r="K2" s="2"/>
      <c r="L2" s="2"/>
      <c r="N2" s="1" t="s">
        <v>0</v>
      </c>
      <c r="O2" s="2">
        <v>1484</v>
      </c>
      <c r="P2" s="2"/>
      <c r="Q2" s="2"/>
      <c r="R2" s="2"/>
    </row>
    <row r="3" spans="2:19" ht="14.25" customHeight="1" x14ac:dyDescent="0.3">
      <c r="B3" s="3" t="s">
        <v>1</v>
      </c>
      <c r="C3" s="2">
        <v>42.1</v>
      </c>
      <c r="D3" s="2"/>
      <c r="E3" s="2"/>
      <c r="F3" s="2"/>
      <c r="H3" s="3" t="s">
        <v>1</v>
      </c>
      <c r="I3" s="2">
        <v>119.04</v>
      </c>
      <c r="J3" s="2"/>
      <c r="K3" s="2"/>
      <c r="L3" s="2"/>
      <c r="N3" s="3" t="s">
        <v>1</v>
      </c>
      <c r="O3" s="2">
        <v>181.27</v>
      </c>
      <c r="P3" s="2"/>
      <c r="Q3" s="2"/>
      <c r="R3" s="2"/>
    </row>
    <row r="4" spans="2:19" ht="14.25" customHeight="1" x14ac:dyDescent="0.3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</row>
    <row r="5" spans="2:19" ht="14.25" customHeight="1" x14ac:dyDescent="0.3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4"/>
      <c r="H5" s="3" t="s">
        <v>2</v>
      </c>
      <c r="I5" s="3" t="s">
        <v>3</v>
      </c>
      <c r="J5" s="3" t="s">
        <v>4</v>
      </c>
      <c r="K5" s="3" t="s">
        <v>5</v>
      </c>
      <c r="L5" s="3" t="s">
        <v>6</v>
      </c>
      <c r="M5" s="4"/>
      <c r="N5" s="3" t="s">
        <v>2</v>
      </c>
      <c r="O5" s="3" t="s">
        <v>3</v>
      </c>
      <c r="P5" s="3" t="s">
        <v>4</v>
      </c>
      <c r="Q5" s="3" t="s">
        <v>5</v>
      </c>
      <c r="R5" s="3" t="s">
        <v>6</v>
      </c>
      <c r="S5" s="4"/>
    </row>
    <row r="6" spans="2:19" ht="14.25" customHeight="1" x14ac:dyDescent="0.3">
      <c r="B6" s="5">
        <v>60</v>
      </c>
      <c r="C6" s="5">
        <f>46.71+6.11+1.91</f>
        <v>54.73</v>
      </c>
      <c r="D6" s="5">
        <f>35.01+12.31+6.13</f>
        <v>53.45</v>
      </c>
      <c r="E6" s="5">
        <v>1.69</v>
      </c>
      <c r="F6" s="5">
        <f t="shared" ref="F6:F17" si="0">B6/C6</f>
        <v>1.0962908825141604</v>
      </c>
      <c r="G6" s="6"/>
      <c r="H6" s="5">
        <v>60</v>
      </c>
      <c r="I6" s="5">
        <f>37.11+7.89</f>
        <v>45</v>
      </c>
      <c r="J6" s="5">
        <f>34.95+7.47</f>
        <v>42.42</v>
      </c>
      <c r="K6" s="5">
        <v>1.56</v>
      </c>
      <c r="L6" s="5">
        <f t="shared" ref="L6:L17" si="1">H6/I6</f>
        <v>1.3333333333333333</v>
      </c>
      <c r="M6" s="6"/>
      <c r="N6" s="5">
        <v>60</v>
      </c>
      <c r="O6" s="5">
        <f>0.39+0.8+70.48</f>
        <v>71.67</v>
      </c>
      <c r="P6" s="5">
        <f>3.14+10.98+49.04</f>
        <v>63.16</v>
      </c>
      <c r="Q6" s="5">
        <v>1.9</v>
      </c>
      <c r="R6" s="5">
        <f t="shared" ref="R6:R17" si="2">N6/O6</f>
        <v>0.83717036416910839</v>
      </c>
      <c r="S6" s="6"/>
    </row>
    <row r="7" spans="2:19" ht="14.25" customHeight="1" x14ac:dyDescent="0.3">
      <c r="B7" s="5">
        <v>55</v>
      </c>
      <c r="C7" s="5">
        <f>43.91+5.2+0.05+1.43</f>
        <v>50.589999999999996</v>
      </c>
      <c r="D7" s="5">
        <f>33.85+11.34+1.14+4.1</f>
        <v>50.43</v>
      </c>
      <c r="E7" s="5">
        <v>1.59</v>
      </c>
      <c r="F7" s="5">
        <f t="shared" si="0"/>
        <v>1.0871713777426371</v>
      </c>
      <c r="G7" s="6"/>
      <c r="H7" s="5">
        <v>55</v>
      </c>
      <c r="I7" s="5">
        <f>34.19+7.29</f>
        <v>41.48</v>
      </c>
      <c r="J7" s="5">
        <f>34.43+7.25</f>
        <v>41.68</v>
      </c>
      <c r="K7" s="5">
        <v>1.49</v>
      </c>
      <c r="L7" s="5">
        <f t="shared" si="1"/>
        <v>1.325940212150434</v>
      </c>
      <c r="M7" s="6"/>
      <c r="N7" s="5">
        <v>55</v>
      </c>
      <c r="O7" s="5">
        <v>66.19</v>
      </c>
      <c r="P7" s="5">
        <v>46.79</v>
      </c>
      <c r="Q7" s="5">
        <v>1.85</v>
      </c>
      <c r="R7" s="5">
        <f t="shared" si="2"/>
        <v>0.8309412297930201</v>
      </c>
      <c r="S7" s="6"/>
    </row>
    <row r="8" spans="2:19" ht="14.25" customHeight="1" x14ac:dyDescent="0.3">
      <c r="B8" s="5">
        <v>50</v>
      </c>
      <c r="C8" s="5">
        <f>41.15+4.37+1.1</f>
        <v>46.62</v>
      </c>
      <c r="D8" s="5">
        <f>33.46+10.34+3.86</f>
        <v>47.66</v>
      </c>
      <c r="E8" s="5">
        <v>1.51</v>
      </c>
      <c r="F8" s="5">
        <f t="shared" si="0"/>
        <v>1.0725010725010726</v>
      </c>
      <c r="G8" s="6"/>
      <c r="H8" s="5">
        <v>50</v>
      </c>
      <c r="I8" s="5">
        <f>31.15+6.71</f>
        <v>37.86</v>
      </c>
      <c r="J8" s="5">
        <f>34.05+7.5</f>
        <v>41.55</v>
      </c>
      <c r="K8" s="5">
        <v>1.43</v>
      </c>
      <c r="L8" s="5">
        <f t="shared" si="1"/>
        <v>1.3206550449022716</v>
      </c>
      <c r="M8" s="6"/>
      <c r="N8" s="5">
        <v>50</v>
      </c>
      <c r="O8" s="5">
        <v>62.46</v>
      </c>
      <c r="P8" s="5">
        <v>46.47</v>
      </c>
      <c r="Q8" s="5">
        <v>1.76</v>
      </c>
      <c r="R8" s="5">
        <f t="shared" si="2"/>
        <v>0.8005123278898495</v>
      </c>
      <c r="S8" s="6"/>
    </row>
    <row r="9" spans="2:19" ht="14.25" customHeight="1" x14ac:dyDescent="0.3">
      <c r="B9" s="5">
        <v>45</v>
      </c>
      <c r="C9" s="5">
        <f>38.76+3.64+0.84</f>
        <v>43.24</v>
      </c>
      <c r="D9" s="5">
        <f>33.16+9.51+3.63</f>
        <v>46.3</v>
      </c>
      <c r="E9" s="5">
        <v>1.45</v>
      </c>
      <c r="F9" s="5">
        <f t="shared" si="0"/>
        <v>1.0407030527289547</v>
      </c>
      <c r="G9" s="6"/>
      <c r="H9" s="5">
        <v>45</v>
      </c>
      <c r="I9" s="5">
        <f>28.57+6.26</f>
        <v>34.83</v>
      </c>
      <c r="J9" s="5">
        <f>33.66+6.86</f>
        <v>40.519999999999996</v>
      </c>
      <c r="K9" s="5">
        <v>1.32</v>
      </c>
      <c r="L9" s="5">
        <f t="shared" si="1"/>
        <v>1.2919896640826873</v>
      </c>
      <c r="M9" s="6"/>
      <c r="N9" s="5">
        <v>45</v>
      </c>
      <c r="O9" s="5">
        <v>59.97</v>
      </c>
      <c r="P9" s="5">
        <v>46.4</v>
      </c>
      <c r="Q9" s="5">
        <v>1.75</v>
      </c>
      <c r="R9" s="5">
        <f t="shared" si="2"/>
        <v>0.75037518759379696</v>
      </c>
      <c r="S9" s="6"/>
    </row>
    <row r="10" spans="2:19" ht="14.25" customHeight="1" x14ac:dyDescent="0.3">
      <c r="B10" s="5">
        <v>40</v>
      </c>
      <c r="C10" s="5">
        <f>35.98+2.96+0.57</f>
        <v>39.51</v>
      </c>
      <c r="D10" s="5">
        <f>32.79+8.65+3.26</f>
        <v>44.699999999999996</v>
      </c>
      <c r="E10" s="5">
        <v>1.36</v>
      </c>
      <c r="F10" s="5">
        <f t="shared" si="0"/>
        <v>1.0124019235636548</v>
      </c>
      <c r="G10" s="6"/>
      <c r="H10" s="5">
        <v>40</v>
      </c>
      <c r="I10" s="5">
        <f>26.82+5.74</f>
        <v>32.56</v>
      </c>
      <c r="J10" s="5">
        <f>33.36+6.67</f>
        <v>40.03</v>
      </c>
      <c r="K10" s="5">
        <v>1.28</v>
      </c>
      <c r="L10" s="5">
        <f t="shared" si="1"/>
        <v>1.2285012285012284</v>
      </c>
      <c r="M10" s="6"/>
      <c r="N10" s="5">
        <v>40</v>
      </c>
      <c r="O10" s="5">
        <v>55.83</v>
      </c>
      <c r="P10" s="5">
        <v>46.24</v>
      </c>
      <c r="Q10" s="5">
        <v>1.58</v>
      </c>
      <c r="R10" s="5">
        <f t="shared" si="2"/>
        <v>0.71646068421995346</v>
      </c>
      <c r="S10" s="6"/>
    </row>
    <row r="11" spans="2:19" ht="14.25" customHeight="1" x14ac:dyDescent="0.3">
      <c r="B11" s="5">
        <v>35</v>
      </c>
      <c r="C11" s="5">
        <f>33.28+2.22+0.31</f>
        <v>35.81</v>
      </c>
      <c r="D11" s="5">
        <f>32.24+7.55+2.62</f>
        <v>42.41</v>
      </c>
      <c r="E11" s="5">
        <v>1.28</v>
      </c>
      <c r="F11" s="5">
        <f t="shared" si="0"/>
        <v>0.97738061993856462</v>
      </c>
      <c r="G11" s="6"/>
      <c r="H11" s="5">
        <v>35</v>
      </c>
      <c r="I11" s="5">
        <f>24.3+5.21</f>
        <v>29.51</v>
      </c>
      <c r="J11" s="5">
        <f>32.86+6.46</f>
        <v>39.32</v>
      </c>
      <c r="K11" s="5">
        <v>1.21</v>
      </c>
      <c r="L11" s="5">
        <f t="shared" si="1"/>
        <v>1.1860386309725517</v>
      </c>
      <c r="M11" s="6"/>
      <c r="N11" s="5">
        <v>35</v>
      </c>
      <c r="O11" s="5">
        <v>51.72</v>
      </c>
      <c r="P11" s="5">
        <v>46.15</v>
      </c>
      <c r="Q11" s="5">
        <v>1.52</v>
      </c>
      <c r="R11" s="5">
        <f t="shared" si="2"/>
        <v>0.67672080433101311</v>
      </c>
      <c r="S11" s="6"/>
    </row>
    <row r="12" spans="2:19" ht="14.25" customHeight="1" x14ac:dyDescent="0.3">
      <c r="B12" s="5">
        <v>30</v>
      </c>
      <c r="C12" s="5">
        <f>30.34+1.56+0.1</f>
        <v>32</v>
      </c>
      <c r="D12" s="5">
        <f>31.99+6.49+1.66</f>
        <v>40.139999999999993</v>
      </c>
      <c r="E12" s="5">
        <v>1.18</v>
      </c>
      <c r="F12" s="5">
        <f t="shared" si="0"/>
        <v>0.9375</v>
      </c>
      <c r="G12" s="6"/>
      <c r="H12" s="5">
        <v>30</v>
      </c>
      <c r="I12" s="5">
        <f>21.05+4.6</f>
        <v>25.65</v>
      </c>
      <c r="J12" s="5">
        <f>32.56+6.3</f>
        <v>38.86</v>
      </c>
      <c r="K12" s="5">
        <v>1.1200000000000001</v>
      </c>
      <c r="L12" s="5">
        <f t="shared" si="1"/>
        <v>1.169590643274854</v>
      </c>
      <c r="M12" s="6"/>
      <c r="N12" s="5">
        <v>30</v>
      </c>
      <c r="O12" s="5">
        <v>47.68</v>
      </c>
      <c r="P12" s="5">
        <v>45.97</v>
      </c>
      <c r="Q12" s="5">
        <v>1.44</v>
      </c>
      <c r="R12" s="5">
        <f t="shared" si="2"/>
        <v>0.62919463087248317</v>
      </c>
      <c r="S12" s="6"/>
    </row>
    <row r="13" spans="2:19" ht="14.25" customHeight="1" x14ac:dyDescent="0.3">
      <c r="B13" s="5">
        <v>25</v>
      </c>
      <c r="C13" s="5">
        <f>26.79+0.92</f>
        <v>27.71</v>
      </c>
      <c r="D13" s="5">
        <f>31.72+4.45</f>
        <v>36.17</v>
      </c>
      <c r="E13" s="5">
        <v>1.0900000000000001</v>
      </c>
      <c r="F13" s="5">
        <f t="shared" si="0"/>
        <v>0.90220137134608447</v>
      </c>
      <c r="G13" s="6"/>
      <c r="H13" s="5">
        <v>25</v>
      </c>
      <c r="I13" s="5">
        <f>16.88+3.99</f>
        <v>20.869999999999997</v>
      </c>
      <c r="J13" s="5">
        <f>32.27+6.15</f>
        <v>38.42</v>
      </c>
      <c r="K13" s="5">
        <v>0.96</v>
      </c>
      <c r="L13" s="5">
        <f t="shared" si="1"/>
        <v>1.1978917105893629</v>
      </c>
      <c r="M13" s="6"/>
      <c r="N13" s="5">
        <v>25</v>
      </c>
      <c r="O13" s="5">
        <v>43.46</v>
      </c>
      <c r="P13" s="5">
        <v>45.87</v>
      </c>
      <c r="Q13" s="5">
        <v>1.33</v>
      </c>
      <c r="R13" s="5">
        <f t="shared" si="2"/>
        <v>0.57524160147261849</v>
      </c>
      <c r="S13" s="6"/>
    </row>
    <row r="14" spans="2:19" ht="14.25" customHeight="1" x14ac:dyDescent="0.3">
      <c r="B14" s="5">
        <v>20</v>
      </c>
      <c r="C14" s="5">
        <f>23.52+0.47</f>
        <v>23.99</v>
      </c>
      <c r="D14" s="5">
        <f>31.57+3.8</f>
        <v>35.369999999999997</v>
      </c>
      <c r="E14" s="5">
        <v>0.97</v>
      </c>
      <c r="F14" s="5">
        <f t="shared" si="0"/>
        <v>0.83368070029178831</v>
      </c>
      <c r="G14" s="6"/>
      <c r="H14" s="5">
        <v>20</v>
      </c>
      <c r="I14" s="5">
        <f>14.48+3.35</f>
        <v>17.830000000000002</v>
      </c>
      <c r="J14" s="5">
        <f>31.94+5.96</f>
        <v>37.9</v>
      </c>
      <c r="K14" s="5">
        <v>0.9</v>
      </c>
      <c r="L14" s="5">
        <f t="shared" si="1"/>
        <v>1.1217049915872124</v>
      </c>
      <c r="M14" s="6"/>
      <c r="N14" s="5">
        <v>20</v>
      </c>
      <c r="O14" s="5">
        <v>39.090000000000003</v>
      </c>
      <c r="P14" s="5">
        <v>45.58</v>
      </c>
      <c r="Q14" s="5">
        <v>1.23</v>
      </c>
      <c r="R14" s="5">
        <f t="shared" si="2"/>
        <v>0.51163980557687383</v>
      </c>
      <c r="S14" s="6"/>
    </row>
    <row r="15" spans="2:19" ht="14.25" customHeight="1" x14ac:dyDescent="0.3">
      <c r="B15" s="5">
        <v>15</v>
      </c>
      <c r="C15" s="5">
        <f>19.38+0.07</f>
        <v>19.45</v>
      </c>
      <c r="D15" s="5">
        <f>31.18+1.43</f>
        <v>32.61</v>
      </c>
      <c r="E15" s="5">
        <v>0.84</v>
      </c>
      <c r="F15" s="5">
        <f t="shared" si="0"/>
        <v>0.77120822622107976</v>
      </c>
      <c r="G15" s="6"/>
      <c r="H15" s="5">
        <v>15</v>
      </c>
      <c r="I15" s="5">
        <f>10.61+2.68</f>
        <v>13.29</v>
      </c>
      <c r="J15" s="5">
        <f>31.57+5.6</f>
        <v>37.17</v>
      </c>
      <c r="K15" s="5">
        <v>0.77</v>
      </c>
      <c r="L15" s="5">
        <f t="shared" si="1"/>
        <v>1.1286681715575622</v>
      </c>
      <c r="M15" s="6"/>
      <c r="N15" s="5">
        <v>15</v>
      </c>
      <c r="O15" s="5">
        <v>33.54</v>
      </c>
      <c r="P15" s="5">
        <v>45.4</v>
      </c>
      <c r="Q15" s="5">
        <v>1.1100000000000001</v>
      </c>
      <c r="R15" s="5">
        <f t="shared" si="2"/>
        <v>0.44722719141323791</v>
      </c>
      <c r="S15" s="6"/>
    </row>
    <row r="16" spans="2:19" ht="14.25" customHeight="1" x14ac:dyDescent="0.3">
      <c r="B16" s="5">
        <v>10</v>
      </c>
      <c r="C16" s="5">
        <v>14.94</v>
      </c>
      <c r="D16" s="5">
        <v>30.95</v>
      </c>
      <c r="E16" s="5">
        <v>0.69</v>
      </c>
      <c r="F16" s="5">
        <f t="shared" si="0"/>
        <v>0.66934404283801874</v>
      </c>
      <c r="G16" s="6"/>
      <c r="H16" s="5">
        <v>10</v>
      </c>
      <c r="I16" s="5">
        <f>0.39+5.61+1.97</f>
        <v>7.97</v>
      </c>
      <c r="J16" s="5">
        <f>1.15+24.22+5.11</f>
        <v>30.479999999999997</v>
      </c>
      <c r="K16" s="5">
        <v>0.63</v>
      </c>
      <c r="L16" s="5">
        <f t="shared" si="1"/>
        <v>1.2547051442910917</v>
      </c>
      <c r="M16" s="6"/>
      <c r="N16" s="5">
        <v>10</v>
      </c>
      <c r="O16" s="5">
        <f>27.76</f>
        <v>27.76</v>
      </c>
      <c r="P16" s="5">
        <v>45.1</v>
      </c>
      <c r="Q16" s="5">
        <v>1.04</v>
      </c>
      <c r="R16" s="5">
        <f t="shared" si="2"/>
        <v>0.36023054755043227</v>
      </c>
      <c r="S16" s="6"/>
    </row>
    <row r="17" spans="2:19" ht="14.25" customHeight="1" x14ac:dyDescent="0.3">
      <c r="B17" s="5">
        <v>5</v>
      </c>
      <c r="C17" s="5">
        <v>9.8699999999999992</v>
      </c>
      <c r="D17" s="5">
        <v>30.23</v>
      </c>
      <c r="E17" s="5">
        <v>0.52</v>
      </c>
      <c r="F17" s="5">
        <f t="shared" si="0"/>
        <v>0.50658561296859173</v>
      </c>
      <c r="G17" s="6"/>
      <c r="H17" s="5">
        <v>5</v>
      </c>
      <c r="I17" s="5">
        <f>0.23+3.16+1.22</f>
        <v>4.6100000000000003</v>
      </c>
      <c r="J17" s="5">
        <f>0.95+16.09+4.57</f>
        <v>21.61</v>
      </c>
      <c r="K17" s="5">
        <v>0.5</v>
      </c>
      <c r="L17" s="5">
        <f t="shared" si="1"/>
        <v>1.0845986984815617</v>
      </c>
      <c r="M17" s="6"/>
      <c r="N17" s="5">
        <v>5</v>
      </c>
      <c r="O17" s="5">
        <f>19.14</f>
        <v>19.14</v>
      </c>
      <c r="P17" s="5">
        <v>44.84</v>
      </c>
      <c r="Q17" s="5">
        <v>0.85</v>
      </c>
      <c r="R17" s="5">
        <f t="shared" si="2"/>
        <v>0.2612330198537095</v>
      </c>
      <c r="S17" s="6"/>
    </row>
    <row r="18" spans="2:19" ht="14.25" customHeight="1" x14ac:dyDescent="0.25"/>
    <row r="19" spans="2:19" ht="14.25" customHeight="1" x14ac:dyDescent="0.25"/>
    <row r="20" spans="2:19" ht="14.25" customHeight="1" x14ac:dyDescent="0.3">
      <c r="B20" s="1" t="s">
        <v>0</v>
      </c>
      <c r="C20" s="2">
        <v>1484</v>
      </c>
      <c r="D20" s="2"/>
      <c r="E20" s="2"/>
      <c r="F20" s="2"/>
      <c r="H20" s="1" t="s">
        <v>0</v>
      </c>
      <c r="I20" s="2">
        <v>1484</v>
      </c>
      <c r="J20" s="2"/>
      <c r="K20" s="2"/>
      <c r="L20" s="2"/>
      <c r="N20" s="1" t="s">
        <v>0</v>
      </c>
      <c r="O20" s="2">
        <v>1484</v>
      </c>
      <c r="P20" s="2"/>
      <c r="Q20" s="2"/>
      <c r="R20" s="2"/>
    </row>
    <row r="21" spans="2:19" ht="14.25" customHeight="1" x14ac:dyDescent="0.3">
      <c r="B21" s="3" t="s">
        <v>1</v>
      </c>
      <c r="C21" s="2">
        <v>253.01</v>
      </c>
      <c r="D21" s="2"/>
      <c r="E21" s="2"/>
      <c r="F21" s="2"/>
      <c r="H21" s="3" t="s">
        <v>1</v>
      </c>
      <c r="I21" s="2">
        <v>350.67</v>
      </c>
      <c r="J21" s="2"/>
      <c r="K21" s="2"/>
      <c r="L21" s="2"/>
      <c r="N21" s="3" t="s">
        <v>1</v>
      </c>
      <c r="O21" s="2">
        <v>455.07</v>
      </c>
      <c r="P21" s="2"/>
      <c r="Q21" s="2"/>
      <c r="R21" s="2"/>
    </row>
    <row r="22" spans="2:19" ht="14.25" customHeight="1" x14ac:dyDescent="0.3">
      <c r="B22" s="2"/>
      <c r="C22" s="2"/>
      <c r="D22" s="2"/>
      <c r="E22" s="2"/>
      <c r="F22" s="2"/>
      <c r="H22" s="2"/>
      <c r="I22" s="2"/>
      <c r="J22" s="2"/>
      <c r="K22" s="2"/>
      <c r="L22" s="2"/>
      <c r="N22" s="2"/>
      <c r="O22" s="2"/>
      <c r="P22" s="2"/>
      <c r="Q22" s="2"/>
      <c r="R22" s="2"/>
    </row>
    <row r="23" spans="2:19" ht="14.25" customHeight="1" x14ac:dyDescent="0.3"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4"/>
      <c r="H23" s="3" t="s">
        <v>2</v>
      </c>
      <c r="I23" s="3" t="s">
        <v>3</v>
      </c>
      <c r="J23" s="3" t="s">
        <v>4</v>
      </c>
      <c r="K23" s="3" t="s">
        <v>5</v>
      </c>
      <c r="L23" s="3" t="s">
        <v>6</v>
      </c>
      <c r="M23" s="4"/>
      <c r="N23" s="3" t="s">
        <v>2</v>
      </c>
      <c r="O23" s="3" t="s">
        <v>3</v>
      </c>
      <c r="P23" s="3" t="s">
        <v>4</v>
      </c>
      <c r="Q23" s="3" t="s">
        <v>5</v>
      </c>
      <c r="R23" s="3" t="s">
        <v>6</v>
      </c>
      <c r="S23" s="4"/>
    </row>
    <row r="24" spans="2:19" ht="14.25" customHeight="1" x14ac:dyDescent="0.3">
      <c r="B24" s="5">
        <v>50</v>
      </c>
      <c r="C24" s="5">
        <v>62.03</v>
      </c>
      <c r="D24" s="5">
        <v>43.3</v>
      </c>
      <c r="E24" s="5">
        <v>1.82</v>
      </c>
      <c r="F24" s="5">
        <f t="shared" ref="F24:F33" si="3">B24/C24</f>
        <v>0.80606158310494924</v>
      </c>
      <c r="G24" s="6"/>
      <c r="H24" s="5">
        <v>50</v>
      </c>
      <c r="I24" s="5">
        <v>46.91</v>
      </c>
      <c r="J24" s="5">
        <v>32.56</v>
      </c>
      <c r="K24" s="5">
        <v>1.8</v>
      </c>
      <c r="L24" s="5">
        <f t="shared" ref="L24:L33" si="4">H24/I24</f>
        <v>1.0658708164570454</v>
      </c>
      <c r="M24" s="6"/>
      <c r="N24" s="5">
        <v>55</v>
      </c>
      <c r="O24" s="5">
        <f>17.64+67.34</f>
        <v>84.98</v>
      </c>
      <c r="P24" s="5">
        <f>45.47+36.89</f>
        <v>82.36</v>
      </c>
      <c r="Q24" s="5">
        <v>2.13</v>
      </c>
      <c r="R24" s="5">
        <f t="shared" ref="R24:R34" si="5">N24/O24</f>
        <v>0.64721110849611674</v>
      </c>
      <c r="S24" s="6"/>
    </row>
    <row r="25" spans="2:19" ht="14.25" customHeight="1" x14ac:dyDescent="0.3">
      <c r="B25" s="5">
        <v>45</v>
      </c>
      <c r="C25" s="5">
        <v>56.68</v>
      </c>
      <c r="D25" s="5">
        <v>42.63</v>
      </c>
      <c r="E25" s="5">
        <v>1.71</v>
      </c>
      <c r="F25" s="5">
        <f t="shared" si="3"/>
        <v>0.79393083980239942</v>
      </c>
      <c r="G25" s="6"/>
      <c r="H25" s="5">
        <v>45</v>
      </c>
      <c r="I25" s="5">
        <v>45.2</v>
      </c>
      <c r="J25" s="5">
        <v>32.15</v>
      </c>
      <c r="K25" s="5">
        <v>1.74</v>
      </c>
      <c r="L25" s="5">
        <f t="shared" si="4"/>
        <v>0.99557522123893794</v>
      </c>
      <c r="M25" s="6"/>
      <c r="N25" s="5">
        <v>50</v>
      </c>
      <c r="O25" s="5">
        <f>13.3+63.56</f>
        <v>76.86</v>
      </c>
      <c r="P25" s="5">
        <f>37.24+36.67</f>
        <v>73.91</v>
      </c>
      <c r="Q25" s="5">
        <v>2.04</v>
      </c>
      <c r="R25" s="5">
        <f t="shared" si="5"/>
        <v>0.6505334374186833</v>
      </c>
      <c r="S25" s="6"/>
    </row>
    <row r="26" spans="2:19" ht="14.25" customHeight="1" x14ac:dyDescent="0.3">
      <c r="B26" s="5">
        <v>40</v>
      </c>
      <c r="C26" s="5">
        <v>55.74</v>
      </c>
      <c r="D26" s="5">
        <v>42.52</v>
      </c>
      <c r="E26" s="5">
        <v>1.63</v>
      </c>
      <c r="F26" s="5">
        <f t="shared" si="3"/>
        <v>0.71761750986724071</v>
      </c>
      <c r="G26" s="6"/>
      <c r="H26" s="5">
        <v>40</v>
      </c>
      <c r="I26" s="5">
        <v>41.14</v>
      </c>
      <c r="J26" s="5">
        <v>31.66</v>
      </c>
      <c r="K26" s="5">
        <v>1.63</v>
      </c>
      <c r="L26" s="5">
        <f t="shared" si="4"/>
        <v>0.9722897423432183</v>
      </c>
      <c r="M26" s="6"/>
      <c r="N26" s="5">
        <v>45</v>
      </c>
      <c r="O26" s="5">
        <f>9.76+60.59</f>
        <v>70.350000000000009</v>
      </c>
      <c r="P26" s="5">
        <f>31.56+36.54</f>
        <v>68.099999999999994</v>
      </c>
      <c r="Q26" s="5">
        <v>1.9</v>
      </c>
      <c r="R26" s="5">
        <f t="shared" si="5"/>
        <v>0.63965884861407241</v>
      </c>
      <c r="S26" s="6"/>
    </row>
    <row r="27" spans="2:19" ht="14.25" customHeight="1" x14ac:dyDescent="0.3">
      <c r="B27" s="5">
        <v>35</v>
      </c>
      <c r="C27" s="5">
        <v>51.78</v>
      </c>
      <c r="D27" s="5">
        <v>42.46</v>
      </c>
      <c r="E27" s="5">
        <v>1.6</v>
      </c>
      <c r="F27" s="5">
        <f t="shared" si="3"/>
        <v>0.6759366550791811</v>
      </c>
      <c r="G27" s="6"/>
      <c r="H27" s="5">
        <v>35</v>
      </c>
      <c r="I27" s="5">
        <v>38.67</v>
      </c>
      <c r="J27" s="5">
        <v>31.43</v>
      </c>
      <c r="K27" s="5">
        <v>1.48</v>
      </c>
      <c r="L27" s="5">
        <f t="shared" si="4"/>
        <v>0.90509438841479184</v>
      </c>
      <c r="M27" s="6"/>
      <c r="N27" s="5">
        <v>40</v>
      </c>
      <c r="O27" s="5">
        <f>6.94+57.47</f>
        <v>64.41</v>
      </c>
      <c r="P27" s="5">
        <f>30.55+36.7</f>
        <v>67.25</v>
      </c>
      <c r="Q27" s="5">
        <v>1.87</v>
      </c>
      <c r="R27" s="5">
        <f t="shared" si="5"/>
        <v>0.6210215804999224</v>
      </c>
      <c r="S27" s="6"/>
    </row>
    <row r="28" spans="2:19" ht="14.25" customHeight="1" x14ac:dyDescent="0.3">
      <c r="B28" s="5">
        <v>30</v>
      </c>
      <c r="C28" s="5">
        <v>48.02</v>
      </c>
      <c r="D28" s="5">
        <v>42.3</v>
      </c>
      <c r="E28" s="5">
        <v>1.51</v>
      </c>
      <c r="F28" s="5">
        <f t="shared" si="3"/>
        <v>0.62473969179508537</v>
      </c>
      <c r="G28" s="6"/>
      <c r="H28" s="5">
        <v>30</v>
      </c>
      <c r="I28" s="5">
        <v>35.72</v>
      </c>
      <c r="J28" s="5">
        <v>31.16</v>
      </c>
      <c r="K28" s="5">
        <v>1.43</v>
      </c>
      <c r="L28" s="5">
        <f t="shared" si="4"/>
        <v>0.83986562150055999</v>
      </c>
      <c r="M28" s="6"/>
      <c r="N28" s="5">
        <v>35</v>
      </c>
      <c r="O28" s="5">
        <f>4.28+52.48</f>
        <v>56.76</v>
      </c>
      <c r="P28" s="5">
        <f>26.95+36.24</f>
        <v>63.19</v>
      </c>
      <c r="Q28" s="5">
        <v>1.72</v>
      </c>
      <c r="R28" s="5">
        <f t="shared" si="5"/>
        <v>0.61663143058491898</v>
      </c>
      <c r="S28" s="6"/>
    </row>
    <row r="29" spans="2:19" ht="14.25" customHeight="1" x14ac:dyDescent="0.3">
      <c r="B29" s="5">
        <v>25</v>
      </c>
      <c r="C29" s="5">
        <v>42.47</v>
      </c>
      <c r="D29" s="5">
        <v>42.09</v>
      </c>
      <c r="E29" s="5">
        <v>1.37</v>
      </c>
      <c r="F29" s="5">
        <f t="shared" si="3"/>
        <v>0.588650812338121</v>
      </c>
      <c r="G29" s="6"/>
      <c r="H29" s="5">
        <v>25</v>
      </c>
      <c r="I29" s="5">
        <v>33.200000000000003</v>
      </c>
      <c r="J29" s="5">
        <v>30.92</v>
      </c>
      <c r="K29" s="5">
        <v>1.37</v>
      </c>
      <c r="L29" s="5">
        <f t="shared" si="4"/>
        <v>0.75301204819277101</v>
      </c>
      <c r="M29" s="6"/>
      <c r="N29" s="5">
        <v>30</v>
      </c>
      <c r="O29" s="5">
        <f>1.64+49.86</f>
        <v>51.5</v>
      </c>
      <c r="P29" s="5">
        <f>15.35+35.96</f>
        <v>51.31</v>
      </c>
      <c r="Q29" s="5">
        <v>1.64</v>
      </c>
      <c r="R29" s="5">
        <f t="shared" si="5"/>
        <v>0.58252427184466016</v>
      </c>
      <c r="S29" s="6"/>
    </row>
    <row r="30" spans="2:19" ht="14.25" customHeight="1" x14ac:dyDescent="0.3">
      <c r="B30" s="5">
        <v>20</v>
      </c>
      <c r="C30" s="5">
        <v>39.159999999999997</v>
      </c>
      <c r="D30" s="5">
        <v>41.91</v>
      </c>
      <c r="E30" s="5">
        <v>1.26</v>
      </c>
      <c r="F30" s="5">
        <f t="shared" si="3"/>
        <v>0.51072522982635349</v>
      </c>
      <c r="G30" s="6"/>
      <c r="H30" s="5">
        <v>20</v>
      </c>
      <c r="I30" s="5">
        <v>30.29</v>
      </c>
      <c r="J30" s="5">
        <v>30.7</v>
      </c>
      <c r="K30" s="5">
        <v>1.19</v>
      </c>
      <c r="L30" s="5">
        <f t="shared" si="4"/>
        <v>0.66028392208649722</v>
      </c>
      <c r="M30" s="6"/>
      <c r="N30" s="5">
        <v>25</v>
      </c>
      <c r="O30" s="5">
        <v>44.86</v>
      </c>
      <c r="P30" s="5">
        <v>35.880000000000003</v>
      </c>
      <c r="Q30" s="5">
        <v>1.5</v>
      </c>
      <c r="R30" s="5">
        <f t="shared" si="5"/>
        <v>0.55728934462773072</v>
      </c>
      <c r="S30" s="6"/>
    </row>
    <row r="31" spans="2:19" ht="14.25" customHeight="1" x14ac:dyDescent="0.3">
      <c r="B31" s="5">
        <v>15</v>
      </c>
      <c r="C31" s="5">
        <v>34.22</v>
      </c>
      <c r="D31" s="5">
        <v>41.73</v>
      </c>
      <c r="E31" s="5">
        <v>1.1599999999999999</v>
      </c>
      <c r="F31" s="5">
        <f t="shared" si="3"/>
        <v>0.43834015195791937</v>
      </c>
      <c r="G31" s="6"/>
      <c r="H31" s="5">
        <v>15</v>
      </c>
      <c r="I31" s="5">
        <v>26.02</v>
      </c>
      <c r="J31" s="5">
        <v>30.52</v>
      </c>
      <c r="K31" s="5">
        <v>1.08</v>
      </c>
      <c r="L31" s="5">
        <f t="shared" si="4"/>
        <v>0.57647963105303612</v>
      </c>
      <c r="M31" s="6"/>
      <c r="N31" s="5">
        <v>20</v>
      </c>
      <c r="O31" s="5">
        <v>41.24</v>
      </c>
      <c r="P31" s="5">
        <v>35.5</v>
      </c>
      <c r="Q31" s="5">
        <v>1.39</v>
      </c>
      <c r="R31" s="5">
        <f t="shared" si="5"/>
        <v>0.48496605237633361</v>
      </c>
      <c r="S31" s="6"/>
    </row>
    <row r="32" spans="2:19" ht="14.25" customHeight="1" x14ac:dyDescent="0.3">
      <c r="B32" s="5">
        <v>10</v>
      </c>
      <c r="C32" s="5">
        <v>29.91</v>
      </c>
      <c r="D32" s="5">
        <v>40.950000000000003</v>
      </c>
      <c r="E32" s="5">
        <v>1</v>
      </c>
      <c r="F32" s="5">
        <f t="shared" si="3"/>
        <v>0.3343363423604146</v>
      </c>
      <c r="G32" s="6"/>
      <c r="H32" s="5">
        <v>10</v>
      </c>
      <c r="I32" s="5">
        <v>21.88</v>
      </c>
      <c r="J32" s="5">
        <v>30.18</v>
      </c>
      <c r="K32" s="5">
        <v>1.02</v>
      </c>
      <c r="L32" s="5">
        <f t="shared" si="4"/>
        <v>0.45703839122486289</v>
      </c>
      <c r="M32" s="6"/>
      <c r="N32" s="5">
        <v>15</v>
      </c>
      <c r="O32" s="5">
        <v>36.31</v>
      </c>
      <c r="P32" s="5">
        <v>35.340000000000003</v>
      </c>
      <c r="Q32" s="5">
        <v>1.25</v>
      </c>
      <c r="R32" s="5">
        <f t="shared" si="5"/>
        <v>0.41310933627099972</v>
      </c>
      <c r="S32" s="6"/>
    </row>
    <row r="33" spans="2:19" ht="14.25" customHeight="1" x14ac:dyDescent="0.3">
      <c r="B33" s="5">
        <v>5</v>
      </c>
      <c r="C33" s="5">
        <v>21.95</v>
      </c>
      <c r="D33" s="5">
        <v>39.869999999999997</v>
      </c>
      <c r="E33" s="5">
        <v>0.97</v>
      </c>
      <c r="F33" s="5">
        <f t="shared" si="3"/>
        <v>0.22779043280182232</v>
      </c>
      <c r="G33" s="6"/>
      <c r="H33" s="5">
        <v>5</v>
      </c>
      <c r="I33" s="5">
        <v>16.28</v>
      </c>
      <c r="J33" s="5">
        <v>29.71</v>
      </c>
      <c r="K33" s="5">
        <v>0.8</v>
      </c>
      <c r="L33" s="5">
        <f t="shared" si="4"/>
        <v>0.30712530712530711</v>
      </c>
      <c r="M33" s="6"/>
      <c r="N33" s="5">
        <v>10</v>
      </c>
      <c r="O33" s="5">
        <v>31.18</v>
      </c>
      <c r="P33" s="5">
        <v>35.01</v>
      </c>
      <c r="Q33" s="5">
        <v>1.1000000000000001</v>
      </c>
      <c r="R33" s="5">
        <f t="shared" si="5"/>
        <v>0.32071840923669021</v>
      </c>
      <c r="S33" s="6"/>
    </row>
    <row r="34" spans="2:19" ht="14.25" customHeight="1" x14ac:dyDescent="0.3">
      <c r="N34" s="5">
        <v>5</v>
      </c>
      <c r="O34" s="5">
        <v>23.8</v>
      </c>
      <c r="P34" s="5">
        <v>35.17</v>
      </c>
      <c r="Q34" s="5">
        <v>0.93</v>
      </c>
      <c r="R34" s="5">
        <f t="shared" si="5"/>
        <v>0.21008403361344538</v>
      </c>
      <c r="S34" s="6"/>
    </row>
    <row r="35" spans="2:19" ht="14.25" customHeight="1" x14ac:dyDescent="0.25"/>
    <row r="36" spans="2:19" ht="14.25" customHeight="1" x14ac:dyDescent="0.25"/>
    <row r="37" spans="2:19" ht="14.25" customHeight="1" x14ac:dyDescent="0.3">
      <c r="B37" s="1" t="s">
        <v>0</v>
      </c>
      <c r="C37" s="2">
        <v>1484</v>
      </c>
      <c r="D37" s="2"/>
      <c r="E37" s="2"/>
      <c r="F37" s="2"/>
      <c r="H37" s="1" t="s">
        <v>0</v>
      </c>
      <c r="I37" s="2">
        <v>1484</v>
      </c>
      <c r="J37" s="2"/>
      <c r="K37" s="2"/>
      <c r="L37" s="2"/>
      <c r="N37" s="1" t="s">
        <v>0</v>
      </c>
      <c r="O37" s="2">
        <v>1484</v>
      </c>
      <c r="P37" s="2"/>
      <c r="Q37" s="2"/>
      <c r="R37" s="2"/>
    </row>
    <row r="38" spans="2:19" ht="14.25" customHeight="1" x14ac:dyDescent="0.3">
      <c r="B38" s="3" t="s">
        <v>1</v>
      </c>
      <c r="C38" s="2">
        <v>526.88</v>
      </c>
      <c r="D38" s="2"/>
      <c r="E38" s="2"/>
      <c r="F38" s="2"/>
      <c r="H38" s="3" t="s">
        <v>1</v>
      </c>
      <c r="I38" s="2">
        <v>577.89</v>
      </c>
      <c r="J38" s="2"/>
      <c r="K38" s="2"/>
      <c r="L38" s="2"/>
      <c r="N38" s="3" t="s">
        <v>1</v>
      </c>
      <c r="O38" s="2">
        <v>683.43</v>
      </c>
      <c r="P38" s="2"/>
      <c r="Q38" s="2"/>
      <c r="R38" s="2"/>
    </row>
    <row r="39" spans="2:19" ht="14.25" customHeight="1" x14ac:dyDescent="0.3">
      <c r="B39" s="2"/>
      <c r="C39" s="2"/>
      <c r="D39" s="2"/>
      <c r="E39" s="2"/>
      <c r="F39" s="2"/>
      <c r="H39" s="2"/>
      <c r="I39" s="2"/>
      <c r="J39" s="2"/>
      <c r="K39" s="2"/>
      <c r="L39" s="2"/>
      <c r="N39" s="2"/>
      <c r="O39" s="2"/>
      <c r="P39" s="2"/>
      <c r="Q39" s="2"/>
      <c r="R39" s="2"/>
    </row>
    <row r="40" spans="2:19" ht="14.25" customHeight="1" x14ac:dyDescent="0.3"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4"/>
      <c r="H40" s="3" t="s">
        <v>2</v>
      </c>
      <c r="I40" s="3" t="s">
        <v>3</v>
      </c>
      <c r="J40" s="3" t="s">
        <v>4</v>
      </c>
      <c r="K40" s="3" t="s">
        <v>5</v>
      </c>
      <c r="L40" s="3" t="s">
        <v>6</v>
      </c>
      <c r="M40" s="4"/>
      <c r="N40" s="3" t="s">
        <v>2</v>
      </c>
      <c r="O40" s="3" t="s">
        <v>3</v>
      </c>
      <c r="P40" s="3" t="s">
        <v>4</v>
      </c>
      <c r="Q40" s="3" t="s">
        <v>5</v>
      </c>
      <c r="R40" s="3" t="s">
        <v>6</v>
      </c>
      <c r="S40" s="4"/>
    </row>
    <row r="41" spans="2:19" ht="14.25" customHeight="1" x14ac:dyDescent="0.3">
      <c r="B41" s="5">
        <v>70</v>
      </c>
      <c r="C41" s="5">
        <f>31.42+86.15</f>
        <v>117.57000000000001</v>
      </c>
      <c r="D41" s="5">
        <f>62.22+43.15</f>
        <v>105.37</v>
      </c>
      <c r="E41" s="5">
        <v>2.54</v>
      </c>
      <c r="F41" s="5">
        <f t="shared" ref="F41:F54" si="6">B41/C41</f>
        <v>0.59538998043718627</v>
      </c>
      <c r="G41" s="6"/>
      <c r="H41" s="5">
        <v>70</v>
      </c>
      <c r="I41" s="5">
        <f>19.3+8.44+0.01+116.73</f>
        <v>144.48000000000002</v>
      </c>
      <c r="J41" s="5">
        <f>29.69+20.19+0.79+64.86</f>
        <v>115.53</v>
      </c>
      <c r="K41" s="5">
        <v>2.73</v>
      </c>
      <c r="L41" s="5">
        <f t="shared" ref="L41:L54" si="7">H41/I41</f>
        <v>0.48449612403100767</v>
      </c>
      <c r="M41" s="6"/>
      <c r="N41" s="5">
        <v>40</v>
      </c>
      <c r="O41" s="5">
        <f>12+0.02+138.47</f>
        <v>150.49</v>
      </c>
      <c r="P41" s="5">
        <f>56.04+0.82+97.07</f>
        <v>153.93</v>
      </c>
      <c r="Q41" s="5">
        <v>2.2200000000000002</v>
      </c>
      <c r="R41" s="5">
        <f t="shared" ref="R41:R56" si="8">N41/O41</f>
        <v>0.26579839191972887</v>
      </c>
      <c r="S41" s="6"/>
    </row>
    <row r="42" spans="2:19" ht="14.25" customHeight="1" x14ac:dyDescent="0.3">
      <c r="B42" s="5">
        <v>65</v>
      </c>
      <c r="C42" s="5">
        <f>28.46+83.56</f>
        <v>112.02000000000001</v>
      </c>
      <c r="D42" s="5">
        <f>60.03+42.78</f>
        <v>102.81</v>
      </c>
      <c r="E42" s="5">
        <v>2.46</v>
      </c>
      <c r="F42" s="5">
        <f t="shared" si="6"/>
        <v>0.58025352615604353</v>
      </c>
      <c r="G42" s="6"/>
      <c r="H42" s="5">
        <v>65</v>
      </c>
      <c r="I42" s="5">
        <f>17.48+7.25+2.4+110.41</f>
        <v>137.54</v>
      </c>
      <c r="J42" s="5">
        <f>29.51+18.5+9.34+54.53</f>
        <v>111.88000000000001</v>
      </c>
      <c r="K42" s="5">
        <v>2.66</v>
      </c>
      <c r="L42" s="5">
        <f t="shared" si="7"/>
        <v>0.47258979206049151</v>
      </c>
      <c r="M42" s="6"/>
      <c r="N42" s="5">
        <v>37.5</v>
      </c>
      <c r="O42" s="5">
        <f>0.53+8.22+134.78</f>
        <v>143.53</v>
      </c>
      <c r="P42" s="5">
        <f>3.08+51.29+96.81</f>
        <v>151.18</v>
      </c>
      <c r="Q42" s="5">
        <v>2.16</v>
      </c>
      <c r="R42" s="5">
        <f t="shared" si="8"/>
        <v>0.26126942102696299</v>
      </c>
      <c r="S42" s="6"/>
    </row>
    <row r="43" spans="2:19" ht="14.25" customHeight="1" x14ac:dyDescent="0.3">
      <c r="B43" s="5">
        <v>60</v>
      </c>
      <c r="C43" s="5">
        <f>22.5+80.44</f>
        <v>102.94</v>
      </c>
      <c r="D43" s="5">
        <f>59.61+42.32</f>
        <v>101.93</v>
      </c>
      <c r="E43" s="5">
        <v>2.39</v>
      </c>
      <c r="F43" s="5">
        <f t="shared" si="6"/>
        <v>0.58286380415776184</v>
      </c>
      <c r="G43" s="6"/>
      <c r="H43" s="5">
        <v>60</v>
      </c>
      <c r="I43" s="5">
        <f>15.25+5.89+1.72+106.6</f>
        <v>129.45999999999998</v>
      </c>
      <c r="J43" s="5">
        <f>29.27+16.87+8.57+52.69</f>
        <v>107.4</v>
      </c>
      <c r="K43" s="5">
        <v>2.59</v>
      </c>
      <c r="L43" s="5">
        <f t="shared" si="7"/>
        <v>0.46346361810597875</v>
      </c>
      <c r="M43" s="6"/>
      <c r="N43" s="5">
        <v>35</v>
      </c>
      <c r="O43" s="5">
        <f>0.39+3.9+0.49+0.13+0.18+1.15+7.63+121.34</f>
        <v>135.21</v>
      </c>
      <c r="P43" s="5">
        <f>2.78+21.03+8.1+2.44+3.11+12.28+21.2+73.76</f>
        <v>144.69999999999999</v>
      </c>
      <c r="Q43" s="5">
        <v>2.06</v>
      </c>
      <c r="R43" s="5">
        <f t="shared" si="8"/>
        <v>0.25885659344723022</v>
      </c>
      <c r="S43" s="6"/>
    </row>
    <row r="44" spans="2:19" ht="14.25" customHeight="1" x14ac:dyDescent="0.3">
      <c r="B44" s="5">
        <v>55</v>
      </c>
      <c r="C44" s="5">
        <f>18.36+76.72</f>
        <v>95.08</v>
      </c>
      <c r="D44" s="5">
        <f>58.61+41.38</f>
        <v>99.990000000000009</v>
      </c>
      <c r="E44" s="5">
        <v>2.2999999999999998</v>
      </c>
      <c r="F44" s="5">
        <f t="shared" si="6"/>
        <v>0.57846024400504836</v>
      </c>
      <c r="G44" s="6"/>
      <c r="H44" s="5">
        <v>55</v>
      </c>
      <c r="I44" s="5">
        <f>12.69+4.44+0.04+0.99+101.37</f>
        <v>119.53</v>
      </c>
      <c r="J44" s="5">
        <f>28.91+13.45+1.55+8.01+51.86</f>
        <v>103.78</v>
      </c>
      <c r="K44" s="5">
        <v>2.5</v>
      </c>
      <c r="L44" s="5">
        <f t="shared" si="7"/>
        <v>0.46013553082908054</v>
      </c>
      <c r="M44" s="6"/>
      <c r="N44" s="5">
        <v>32.5</v>
      </c>
      <c r="O44" s="5">
        <f>0.23+2.91+0.12+0.03+0.06+0.01+0.11+0.02+0.12+0.04+0.02+6.51+118.03</f>
        <v>128.21</v>
      </c>
      <c r="P44" s="5">
        <f>2.63+20.63+3.75+1.03+1.49+1.04+2.78+0.82+2.03+2.06+0.59+20.2+73.19</f>
        <v>132.24</v>
      </c>
      <c r="Q44" s="5">
        <v>2.0299999999999998</v>
      </c>
      <c r="R44" s="5">
        <f t="shared" si="8"/>
        <v>0.25349036736604008</v>
      </c>
      <c r="S44" s="6"/>
    </row>
    <row r="45" spans="2:19" ht="14.25" customHeight="1" x14ac:dyDescent="0.3">
      <c r="B45" s="5">
        <v>50</v>
      </c>
      <c r="C45" s="5">
        <f>11.41+72.49</f>
        <v>83.899999999999991</v>
      </c>
      <c r="D45" s="5">
        <f>55.85+40.87</f>
        <v>96.72</v>
      </c>
      <c r="E45" s="5">
        <v>2.2200000000000002</v>
      </c>
      <c r="F45" s="5">
        <f t="shared" si="6"/>
        <v>0.59594755661501797</v>
      </c>
      <c r="G45" s="6"/>
      <c r="H45" s="5">
        <v>50</v>
      </c>
      <c r="I45" s="5">
        <f>9.66+3.07+0.05+0.02+0.1+0.05+96.34</f>
        <v>109.29</v>
      </c>
      <c r="J45" s="5">
        <f>28.39+12.2+1.37+1.19+1.88+1.09+51.14</f>
        <v>97.26</v>
      </c>
      <c r="K45" s="5">
        <v>2.4</v>
      </c>
      <c r="L45" s="5">
        <f t="shared" si="7"/>
        <v>0.45749839875560433</v>
      </c>
      <c r="M45" s="6"/>
      <c r="N45" s="5">
        <v>30</v>
      </c>
      <c r="O45" s="5">
        <f>0.03+0.08+0.76+0.87+0.01+0.01+0.04+5.3+113.56</f>
        <v>120.66</v>
      </c>
      <c r="P45" s="5">
        <f>0.77+0.94+11.62+7.97+0.92+0.73+1.03+19.85+73.06</f>
        <v>116.89</v>
      </c>
      <c r="Q45" s="5">
        <v>2.02</v>
      </c>
      <c r="R45" s="5">
        <f t="shared" si="8"/>
        <v>0.2486325211337643</v>
      </c>
      <c r="S45" s="6"/>
    </row>
    <row r="46" spans="2:19" ht="14.25" customHeight="1" x14ac:dyDescent="0.3">
      <c r="B46" s="5">
        <v>45</v>
      </c>
      <c r="C46" s="5">
        <f>0.09+0.62+1.01+4.24+68.23</f>
        <v>74.19</v>
      </c>
      <c r="D46" s="5">
        <f>3.88+9.38+10.8+25.88+40.5</f>
        <v>90.44</v>
      </c>
      <c r="E46" s="5">
        <v>2.0699999999999998</v>
      </c>
      <c r="F46" s="5">
        <f t="shared" si="6"/>
        <v>0.60655074807925602</v>
      </c>
      <c r="G46" s="6"/>
      <c r="H46" s="5">
        <v>45</v>
      </c>
      <c r="I46" s="5">
        <f>6.85+1.94+91.33</f>
        <v>100.12</v>
      </c>
      <c r="J46" s="5">
        <f>28.27+11.25+50.5</f>
        <v>90.02</v>
      </c>
      <c r="K46" s="5">
        <v>2.31</v>
      </c>
      <c r="L46" s="5">
        <f t="shared" si="7"/>
        <v>0.44946064722333195</v>
      </c>
      <c r="M46" s="6"/>
      <c r="N46" s="5">
        <v>27.5</v>
      </c>
      <c r="O46" s="5">
        <f>0.04+0.05+0.04+0.02+0.07+0.33+4.01+107.25</f>
        <v>111.81</v>
      </c>
      <c r="P46" s="5">
        <f>0.62+1.45+1.22+1.03+2.88+4.05+19.43+72.93</f>
        <v>103.61000000000001</v>
      </c>
      <c r="Q46" s="5">
        <v>1.88</v>
      </c>
      <c r="R46" s="5">
        <f t="shared" si="8"/>
        <v>0.24595295590734281</v>
      </c>
      <c r="S46" s="6"/>
    </row>
    <row r="47" spans="2:19" ht="14.25" customHeight="1" x14ac:dyDescent="0.3">
      <c r="B47" s="5">
        <v>40</v>
      </c>
      <c r="C47" s="5">
        <f>0.02+0.02+0.16+0.37+0.09+1.61+64.72</f>
        <v>66.989999999999995</v>
      </c>
      <c r="D47" s="5">
        <f>0.88+1.79+4.11+6.33+2.35+15.57+40.17</f>
        <v>71.2</v>
      </c>
      <c r="E47" s="5">
        <v>1.98</v>
      </c>
      <c r="F47" s="5">
        <f t="shared" si="6"/>
        <v>0.59710404537990747</v>
      </c>
      <c r="G47" s="6"/>
      <c r="H47" s="5">
        <v>40</v>
      </c>
      <c r="I47" s="5">
        <f>4.19+1.05+86.57</f>
        <v>91.809999999999988</v>
      </c>
      <c r="J47" s="5">
        <f>28.07+8.05+49.72</f>
        <v>85.84</v>
      </c>
      <c r="K47" s="5">
        <v>2.2000000000000002</v>
      </c>
      <c r="L47" s="5">
        <f t="shared" si="7"/>
        <v>0.4356823875394838</v>
      </c>
      <c r="M47" s="6"/>
      <c r="N47" s="5">
        <v>25</v>
      </c>
      <c r="O47" s="5">
        <f>0.05+0.04+2.43+0.01+0.41+102.93</f>
        <v>105.87</v>
      </c>
      <c r="P47" s="5">
        <f>1.74+1.27+13.54+0.53+3.65+72.62</f>
        <v>93.35</v>
      </c>
      <c r="Q47" s="5">
        <v>1.82</v>
      </c>
      <c r="R47" s="5">
        <f t="shared" si="8"/>
        <v>0.23613866062151695</v>
      </c>
      <c r="S47" s="6"/>
    </row>
    <row r="48" spans="2:19" ht="14.25" customHeight="1" x14ac:dyDescent="0.3">
      <c r="B48" s="5">
        <v>35</v>
      </c>
      <c r="C48" s="5">
        <f>0.03+0.14+0.03+0.01+60.84</f>
        <v>61.050000000000004</v>
      </c>
      <c r="D48" s="5">
        <f>0.72+3+2.1+0.64+39.81</f>
        <v>46.27</v>
      </c>
      <c r="E48" s="5">
        <v>1.88</v>
      </c>
      <c r="F48" s="5">
        <f t="shared" si="6"/>
        <v>0.57330057330057327</v>
      </c>
      <c r="G48" s="6"/>
      <c r="H48" s="5">
        <v>35</v>
      </c>
      <c r="I48" s="5">
        <f>0.03+0.04+0.2+0.04+1.19+0.33+0.01+81.35</f>
        <v>83.19</v>
      </c>
      <c r="J48" s="5">
        <f>0.89+1.06+5.04+1.58+11.51+3.55+0.81+49.06</f>
        <v>73.5</v>
      </c>
      <c r="K48" s="5">
        <v>2.1</v>
      </c>
      <c r="L48" s="5">
        <f t="shared" si="7"/>
        <v>0.42072364466883039</v>
      </c>
      <c r="M48" s="6"/>
      <c r="N48" s="5">
        <v>22.5</v>
      </c>
      <c r="O48" s="5">
        <f>1.61+0.01+0.21+99.42</f>
        <v>101.25</v>
      </c>
      <c r="P48" s="5">
        <f>11.7+0.73+2.97+72.3</f>
        <v>87.7</v>
      </c>
      <c r="Q48" s="5">
        <v>1.82</v>
      </c>
      <c r="R48" s="5">
        <f t="shared" si="8"/>
        <v>0.22222222222222221</v>
      </c>
      <c r="S48" s="6"/>
    </row>
    <row r="49" spans="2:19" ht="14.25" customHeight="1" x14ac:dyDescent="0.3">
      <c r="B49" s="5">
        <v>30</v>
      </c>
      <c r="C49" s="5">
        <f>56.46</f>
        <v>56.46</v>
      </c>
      <c r="D49" s="5">
        <v>39.14</v>
      </c>
      <c r="E49" s="5">
        <v>1.76</v>
      </c>
      <c r="F49" s="5">
        <f t="shared" si="6"/>
        <v>0.53134962805526031</v>
      </c>
      <c r="G49" s="6"/>
      <c r="H49" s="5">
        <v>30</v>
      </c>
      <c r="I49" s="5">
        <f>0.26+0.04+76.2</f>
        <v>76.5</v>
      </c>
      <c r="J49" s="5">
        <f>2.31+1.88+48.44</f>
        <v>52.629999999999995</v>
      </c>
      <c r="K49" s="5">
        <v>2</v>
      </c>
      <c r="L49" s="5">
        <f t="shared" si="7"/>
        <v>0.39215686274509803</v>
      </c>
      <c r="M49" s="6"/>
      <c r="N49" s="5">
        <v>20</v>
      </c>
      <c r="O49" s="5">
        <f>0.86+0.02+0.08+94.72</f>
        <v>95.679999999999993</v>
      </c>
      <c r="P49" s="5">
        <f>8.39+1.29+1.42+71.99</f>
        <v>83.089999999999989</v>
      </c>
      <c r="Q49" s="5">
        <v>1.73</v>
      </c>
      <c r="R49" s="5">
        <f t="shared" si="8"/>
        <v>0.20903010033444819</v>
      </c>
      <c r="S49" s="6"/>
    </row>
    <row r="50" spans="2:19" ht="14.25" customHeight="1" x14ac:dyDescent="0.3">
      <c r="B50" s="5">
        <v>25</v>
      </c>
      <c r="C50" s="5">
        <v>51.19</v>
      </c>
      <c r="D50" s="5">
        <v>38.630000000000003</v>
      </c>
      <c r="E50" s="5">
        <v>1.66</v>
      </c>
      <c r="F50" s="5">
        <f t="shared" si="6"/>
        <v>0.48837663606173082</v>
      </c>
      <c r="G50" s="6"/>
      <c r="H50" s="5">
        <v>25</v>
      </c>
      <c r="I50" s="5">
        <f>0.05+70.39</f>
        <v>70.44</v>
      </c>
      <c r="J50" s="5">
        <f>1.13+47.53</f>
        <v>48.660000000000004</v>
      </c>
      <c r="K50" s="5">
        <v>1.87</v>
      </c>
      <c r="L50" s="5">
        <f t="shared" si="7"/>
        <v>0.35491198182850653</v>
      </c>
      <c r="M50" s="6"/>
      <c r="N50" s="5">
        <v>17.5</v>
      </c>
      <c r="O50" s="5">
        <f>0.46+0.01+90.35</f>
        <v>90.82</v>
      </c>
      <c r="P50" s="5">
        <f>5.85+0.61+71.27</f>
        <v>77.72999999999999</v>
      </c>
      <c r="Q50" s="5">
        <v>1.7</v>
      </c>
      <c r="R50" s="5">
        <f t="shared" si="8"/>
        <v>0.19268883505835721</v>
      </c>
      <c r="S50" s="6"/>
    </row>
    <row r="51" spans="2:19" ht="14.25" customHeight="1" x14ac:dyDescent="0.3">
      <c r="B51" s="5">
        <v>20</v>
      </c>
      <c r="C51" s="5">
        <v>46.45</v>
      </c>
      <c r="D51" s="5">
        <v>38.299999999999997</v>
      </c>
      <c r="E51" s="5">
        <v>1.51</v>
      </c>
      <c r="F51" s="5">
        <f t="shared" si="6"/>
        <v>0.4305705059203444</v>
      </c>
      <c r="G51" s="6"/>
      <c r="H51" s="5">
        <v>20</v>
      </c>
      <c r="I51" s="5">
        <v>64.8</v>
      </c>
      <c r="J51" s="5">
        <v>45</v>
      </c>
      <c r="K51" s="5">
        <v>1.75</v>
      </c>
      <c r="L51" s="5">
        <f t="shared" si="7"/>
        <v>0.30864197530864201</v>
      </c>
      <c r="M51" s="6"/>
      <c r="N51" s="5">
        <v>15</v>
      </c>
      <c r="O51" s="5">
        <f>0.14+0.01+84.78</f>
        <v>84.93</v>
      </c>
      <c r="P51" s="5">
        <f>2.44+0.83+70.89</f>
        <v>74.16</v>
      </c>
      <c r="Q51" s="5">
        <v>1.6</v>
      </c>
      <c r="R51" s="5">
        <f t="shared" si="8"/>
        <v>0.17661603673613563</v>
      </c>
      <c r="S51" s="6"/>
    </row>
    <row r="52" spans="2:19" ht="14.25" customHeight="1" x14ac:dyDescent="0.3">
      <c r="B52" s="5">
        <v>15</v>
      </c>
      <c r="C52" s="5">
        <f>42.12</f>
        <v>42.12</v>
      </c>
      <c r="D52" s="5">
        <v>38.08</v>
      </c>
      <c r="E52" s="5">
        <v>1.38</v>
      </c>
      <c r="F52" s="5">
        <f t="shared" si="6"/>
        <v>0.35612535612535617</v>
      </c>
      <c r="G52" s="6"/>
      <c r="H52" s="5">
        <v>15</v>
      </c>
      <c r="I52" s="5">
        <v>59.04</v>
      </c>
      <c r="J52" s="5">
        <v>43.96</v>
      </c>
      <c r="K52" s="5">
        <v>1.61</v>
      </c>
      <c r="L52" s="5">
        <f t="shared" si="7"/>
        <v>0.25406504065040653</v>
      </c>
      <c r="M52" s="6"/>
      <c r="N52" s="5">
        <v>12.5</v>
      </c>
      <c r="O52" s="5">
        <f>0.02+0.06+79.37</f>
        <v>79.45</v>
      </c>
      <c r="P52" s="5">
        <f>0.62+0.89+69.21</f>
        <v>70.72</v>
      </c>
      <c r="Q52" s="5">
        <v>1.56</v>
      </c>
      <c r="R52" s="5">
        <f t="shared" si="8"/>
        <v>0.15733165512901195</v>
      </c>
      <c r="S52" s="6"/>
    </row>
    <row r="53" spans="2:19" ht="14.25" customHeight="1" x14ac:dyDescent="0.3">
      <c r="B53" s="5">
        <v>10</v>
      </c>
      <c r="C53" s="5">
        <v>35.950000000000003</v>
      </c>
      <c r="D53" s="5">
        <v>37.69</v>
      </c>
      <c r="E53" s="5">
        <v>1.23</v>
      </c>
      <c r="F53" s="5">
        <f t="shared" si="6"/>
        <v>0.27816411682892905</v>
      </c>
      <c r="G53" s="6"/>
      <c r="H53" s="5">
        <v>10</v>
      </c>
      <c r="I53" s="5">
        <v>52.38</v>
      </c>
      <c r="J53" s="5">
        <v>43.22</v>
      </c>
      <c r="K53" s="5">
        <v>1.46</v>
      </c>
      <c r="L53" s="5">
        <f t="shared" si="7"/>
        <v>0.19091256204658266</v>
      </c>
      <c r="M53" s="6"/>
      <c r="N53" s="5">
        <v>10</v>
      </c>
      <c r="O53" s="5">
        <f>0.01+73.33</f>
        <v>73.34</v>
      </c>
      <c r="P53" s="5">
        <f>0.42+68.64</f>
        <v>69.06</v>
      </c>
      <c r="Q53" s="5">
        <v>1.45</v>
      </c>
      <c r="R53" s="5">
        <f t="shared" si="8"/>
        <v>0.13635124079629124</v>
      </c>
      <c r="S53" s="6"/>
    </row>
    <row r="54" spans="2:19" ht="14.25" customHeight="1" x14ac:dyDescent="0.3">
      <c r="B54" s="5">
        <v>5</v>
      </c>
      <c r="C54" s="5">
        <v>29.32</v>
      </c>
      <c r="D54" s="5">
        <v>37.450000000000003</v>
      </c>
      <c r="E54" s="5">
        <v>1.05</v>
      </c>
      <c r="F54" s="5">
        <f t="shared" si="6"/>
        <v>0.17053206002728513</v>
      </c>
      <c r="G54" s="6"/>
      <c r="H54" s="5">
        <v>5</v>
      </c>
      <c r="I54" s="5">
        <v>43.85</v>
      </c>
      <c r="J54" s="5">
        <v>43.05</v>
      </c>
      <c r="K54" s="5">
        <v>1.28</v>
      </c>
      <c r="L54" s="5">
        <f t="shared" si="7"/>
        <v>0.11402508551881413</v>
      </c>
      <c r="M54" s="6"/>
      <c r="N54" s="5">
        <v>7.5</v>
      </c>
      <c r="O54" s="5">
        <v>68.36</v>
      </c>
      <c r="P54" s="5">
        <v>66.8</v>
      </c>
      <c r="Q54" s="5">
        <v>1.38</v>
      </c>
      <c r="R54" s="5">
        <f t="shared" si="8"/>
        <v>0.10971328262141604</v>
      </c>
      <c r="S54" s="6"/>
    </row>
    <row r="55" spans="2:19" ht="14.25" customHeight="1" x14ac:dyDescent="0.3">
      <c r="N55" s="5">
        <v>5</v>
      </c>
      <c r="O55" s="5">
        <v>60.1</v>
      </c>
      <c r="P55" s="5">
        <v>63.82</v>
      </c>
      <c r="Q55" s="5">
        <v>1.24</v>
      </c>
      <c r="R55" s="5">
        <f t="shared" si="8"/>
        <v>8.3194675540765387E-2</v>
      </c>
      <c r="S55" s="6"/>
    </row>
    <row r="56" spans="2:19" ht="14.25" customHeight="1" x14ac:dyDescent="0.3">
      <c r="N56" s="5">
        <v>2.5</v>
      </c>
      <c r="O56" s="5">
        <v>52.32</v>
      </c>
      <c r="P56" s="5">
        <v>63.44</v>
      </c>
      <c r="Q56" s="5">
        <v>1.1200000000000001</v>
      </c>
      <c r="R56" s="5">
        <f t="shared" si="8"/>
        <v>4.7782874617737003E-2</v>
      </c>
      <c r="S56" s="6"/>
    </row>
    <row r="57" spans="2:19" ht="14.25" customHeight="1" x14ac:dyDescent="0.3">
      <c r="B57" s="1" t="s">
        <v>0</v>
      </c>
      <c r="C57" s="2">
        <v>1484</v>
      </c>
      <c r="D57" s="2"/>
      <c r="E57" s="2"/>
      <c r="F57" s="2"/>
      <c r="H57" s="1" t="s">
        <v>0</v>
      </c>
      <c r="I57" s="2">
        <v>1484</v>
      </c>
      <c r="J57" s="2"/>
      <c r="K57" s="2"/>
      <c r="L57" s="2"/>
    </row>
    <row r="58" spans="2:19" ht="14.25" customHeight="1" x14ac:dyDescent="0.3">
      <c r="B58" s="3" t="s">
        <v>1</v>
      </c>
      <c r="C58" s="2">
        <v>850.56</v>
      </c>
      <c r="D58" s="2"/>
      <c r="E58" s="2"/>
      <c r="F58" s="2"/>
      <c r="H58" s="3" t="s">
        <v>1</v>
      </c>
      <c r="I58" s="2">
        <v>970.69</v>
      </c>
      <c r="J58" s="2"/>
      <c r="K58" s="2"/>
      <c r="L58" s="2"/>
    </row>
    <row r="59" spans="2:19" ht="14.25" customHeight="1" x14ac:dyDescent="0.3">
      <c r="B59" s="2"/>
      <c r="C59" s="2"/>
      <c r="D59" s="2"/>
      <c r="E59" s="2"/>
      <c r="F59" s="2"/>
      <c r="H59" s="2"/>
      <c r="I59" s="2"/>
      <c r="J59" s="2"/>
      <c r="K59" s="2"/>
      <c r="L59" s="2"/>
    </row>
    <row r="60" spans="2:19" ht="14.25" customHeight="1" x14ac:dyDescent="0.3">
      <c r="B60" s="3" t="s">
        <v>2</v>
      </c>
      <c r="C60" s="3" t="s">
        <v>3</v>
      </c>
      <c r="D60" s="3" t="s">
        <v>4</v>
      </c>
      <c r="E60" s="3" t="s">
        <v>5</v>
      </c>
      <c r="F60" s="3" t="s">
        <v>6</v>
      </c>
      <c r="G60" s="4"/>
      <c r="H60" s="3" t="s">
        <v>2</v>
      </c>
      <c r="I60" s="3" t="s">
        <v>3</v>
      </c>
      <c r="J60" s="3" t="s">
        <v>4</v>
      </c>
      <c r="K60" s="3" t="s">
        <v>5</v>
      </c>
      <c r="L60" s="3" t="s">
        <v>6</v>
      </c>
      <c r="M60" s="4"/>
      <c r="O60" s="4" t="s">
        <v>7</v>
      </c>
    </row>
    <row r="61" spans="2:19" ht="14.25" customHeight="1" x14ac:dyDescent="0.3">
      <c r="B61" s="5">
        <v>20</v>
      </c>
      <c r="C61" s="5">
        <f>1.77+66.42</f>
        <v>68.19</v>
      </c>
      <c r="D61" s="5">
        <f>7.96+73.94</f>
        <v>81.899999999999991</v>
      </c>
      <c r="E61" s="5">
        <v>2.02</v>
      </c>
      <c r="F61" s="5">
        <f t="shared" ref="F61:F80" si="9">B61/C61</f>
        <v>0.29329813755682654</v>
      </c>
      <c r="G61" s="6"/>
      <c r="H61" s="5">
        <v>5</v>
      </c>
      <c r="I61" s="5">
        <f>0.69+114.65</f>
        <v>115.34</v>
      </c>
      <c r="J61" s="5">
        <f>5.86+85.07</f>
        <v>90.929999999999993</v>
      </c>
      <c r="K61" s="5">
        <v>1.77</v>
      </c>
      <c r="L61" s="5">
        <f t="shared" ref="L61:L85" si="10">H61/I61</f>
        <v>4.3350095370209812E-2</v>
      </c>
      <c r="M61" s="6"/>
      <c r="N61" s="7"/>
      <c r="O61" s="6">
        <v>1</v>
      </c>
    </row>
    <row r="62" spans="2:19" ht="14.25" customHeight="1" x14ac:dyDescent="0.3">
      <c r="B62" s="5">
        <v>19</v>
      </c>
      <c r="C62" s="5">
        <f>1.61+63.96</f>
        <v>65.570000000000007</v>
      </c>
      <c r="D62" s="5">
        <f>7.85+73.71</f>
        <v>81.559999999999988</v>
      </c>
      <c r="E62" s="5">
        <v>1.93</v>
      </c>
      <c r="F62" s="5">
        <f t="shared" si="9"/>
        <v>0.28976666158304099</v>
      </c>
      <c r="G62" s="6"/>
      <c r="H62" s="5">
        <v>4.8</v>
      </c>
      <c r="I62" s="5">
        <f>0.65+113.44</f>
        <v>114.09</v>
      </c>
      <c r="J62" s="5">
        <f>5.75+85.01</f>
        <v>90.76</v>
      </c>
      <c r="K62" s="5">
        <v>1.76</v>
      </c>
      <c r="L62" s="5">
        <f t="shared" si="10"/>
        <v>4.2072048382855637E-2</v>
      </c>
      <c r="M62" s="6"/>
      <c r="N62" s="7"/>
      <c r="O62" s="6">
        <v>0.94082840236686394</v>
      </c>
    </row>
    <row r="63" spans="2:19" ht="14.25" customHeight="1" x14ac:dyDescent="0.3">
      <c r="B63" s="5">
        <v>18</v>
      </c>
      <c r="C63" s="5">
        <f>1.38+62.48</f>
        <v>63.86</v>
      </c>
      <c r="D63" s="5">
        <f>7.29+73.54</f>
        <v>80.830000000000013</v>
      </c>
      <c r="E63" s="5">
        <v>1.87</v>
      </c>
      <c r="F63" s="5">
        <f t="shared" si="9"/>
        <v>0.28186658315064206</v>
      </c>
      <c r="G63" s="6"/>
      <c r="H63" s="5">
        <v>4.5999999999999996</v>
      </c>
      <c r="I63" s="5">
        <f>0.59+112.13</f>
        <v>112.72</v>
      </c>
      <c r="J63" s="5">
        <f>5.68+84.99</f>
        <v>90.669999999999987</v>
      </c>
      <c r="K63" s="5">
        <v>1.75</v>
      </c>
      <c r="L63" s="5">
        <f t="shared" si="10"/>
        <v>4.0809084457061745E-2</v>
      </c>
      <c r="M63" s="6"/>
      <c r="O63" s="6">
        <v>0.89349112426035504</v>
      </c>
    </row>
    <row r="64" spans="2:19" ht="14.25" customHeight="1" x14ac:dyDescent="0.3">
      <c r="B64" s="5">
        <v>17</v>
      </c>
      <c r="C64" s="5">
        <f>1.21+59.27</f>
        <v>60.480000000000004</v>
      </c>
      <c r="D64" s="5">
        <f>7.11+73.31</f>
        <v>80.42</v>
      </c>
      <c r="E64" s="5">
        <v>1.85</v>
      </c>
      <c r="F64" s="5">
        <f t="shared" si="9"/>
        <v>0.28108465608465605</v>
      </c>
      <c r="G64" s="6"/>
      <c r="H64" s="5">
        <v>4.4000000000000004</v>
      </c>
      <c r="I64" s="5">
        <f>0.54+111.9</f>
        <v>112.44000000000001</v>
      </c>
      <c r="J64" s="5">
        <f>5.52+84.87</f>
        <v>90.39</v>
      </c>
      <c r="K64" s="5">
        <v>1.74</v>
      </c>
      <c r="L64" s="5">
        <f t="shared" si="10"/>
        <v>3.9131981501245104E-2</v>
      </c>
      <c r="M64" s="6"/>
      <c r="N64" s="7"/>
      <c r="O64" s="6">
        <v>0.85798816568047342</v>
      </c>
    </row>
    <row r="65" spans="2:15" ht="14.25" customHeight="1" x14ac:dyDescent="0.3">
      <c r="B65" s="5">
        <v>16</v>
      </c>
      <c r="C65" s="5">
        <f>1.03+57.45</f>
        <v>58.480000000000004</v>
      </c>
      <c r="D65" s="5">
        <f>6.82+73.14</f>
        <v>79.960000000000008</v>
      </c>
      <c r="E65" s="5">
        <v>1.81</v>
      </c>
      <c r="F65" s="5">
        <f t="shared" si="9"/>
        <v>0.27359781121751026</v>
      </c>
      <c r="G65" s="6"/>
      <c r="H65" s="5">
        <v>4.2</v>
      </c>
      <c r="I65" s="5">
        <f>0.48+111.72</f>
        <v>112.2</v>
      </c>
      <c r="J65" s="5">
        <f>5.38+84.89</f>
        <v>90.27</v>
      </c>
      <c r="K65" s="5">
        <v>1.73</v>
      </c>
      <c r="L65" s="5">
        <f t="shared" si="10"/>
        <v>3.7433155080213908E-2</v>
      </c>
      <c r="M65" s="6"/>
      <c r="O65" s="6">
        <v>0.804733727810651</v>
      </c>
    </row>
    <row r="66" spans="2:15" ht="14.25" customHeight="1" x14ac:dyDescent="0.3">
      <c r="B66" s="5">
        <v>15</v>
      </c>
      <c r="C66" s="5">
        <f>0.82+56.98</f>
        <v>57.8</v>
      </c>
      <c r="D66" s="5">
        <f>6.47+72.97</f>
        <v>79.44</v>
      </c>
      <c r="E66" s="5">
        <v>1.79</v>
      </c>
      <c r="F66" s="5">
        <f t="shared" si="9"/>
        <v>0.25951557093425609</v>
      </c>
      <c r="G66" s="6"/>
      <c r="H66" s="5">
        <v>4</v>
      </c>
      <c r="I66" s="5">
        <f>0.43+110.41</f>
        <v>110.84</v>
      </c>
      <c r="J66" s="5">
        <f>5.25+84.8</f>
        <v>90.05</v>
      </c>
      <c r="K66" s="5">
        <v>1.72</v>
      </c>
      <c r="L66" s="5">
        <f t="shared" si="10"/>
        <v>3.6088054853843379E-2</v>
      </c>
      <c r="M66" s="6"/>
      <c r="O66" s="6">
        <v>0.75739644970414211</v>
      </c>
    </row>
    <row r="67" spans="2:15" ht="14.25" customHeight="1" x14ac:dyDescent="0.3">
      <c r="B67" s="5">
        <v>14</v>
      </c>
      <c r="C67" s="5">
        <f>0.63+2.02+52.56</f>
        <v>55.21</v>
      </c>
      <c r="D67" s="5">
        <f>6.15+11.73+60.77</f>
        <v>78.650000000000006</v>
      </c>
      <c r="E67" s="5">
        <v>1.76</v>
      </c>
      <c r="F67" s="5">
        <f t="shared" si="9"/>
        <v>0.25357725049809815</v>
      </c>
      <c r="G67" s="6"/>
      <c r="H67" s="5">
        <v>3.8</v>
      </c>
      <c r="I67" s="5">
        <f>0.36+107.24</f>
        <v>107.6</v>
      </c>
      <c r="J67" s="5">
        <f>5.11+84.78</f>
        <v>89.89</v>
      </c>
      <c r="K67" s="5">
        <v>1.71</v>
      </c>
      <c r="L67" s="5">
        <f t="shared" si="10"/>
        <v>3.5315985130111527E-2</v>
      </c>
      <c r="M67" s="6"/>
      <c r="O67" s="6">
        <v>0.69822485207100593</v>
      </c>
    </row>
    <row r="68" spans="2:15" ht="14.25" customHeight="1" x14ac:dyDescent="0.3">
      <c r="B68" s="5">
        <v>13</v>
      </c>
      <c r="C68" s="5">
        <f>0.1+0.34+1.68+50.11</f>
        <v>52.23</v>
      </c>
      <c r="D68" s="5">
        <f>1.69+4+10.46+60.35</f>
        <v>76.5</v>
      </c>
      <c r="E68" s="5">
        <v>1.73</v>
      </c>
      <c r="F68" s="5">
        <f t="shared" si="9"/>
        <v>0.24889910013402261</v>
      </c>
      <c r="G68" s="6"/>
      <c r="H68" s="5">
        <v>3.6</v>
      </c>
      <c r="I68" s="5">
        <f>0.31+108.3</f>
        <v>108.61</v>
      </c>
      <c r="J68" s="5">
        <f>4.99+84.73</f>
        <v>89.72</v>
      </c>
      <c r="K68" s="5">
        <v>1.69</v>
      </c>
      <c r="L68" s="5">
        <f t="shared" si="10"/>
        <v>3.3146119141883805E-2</v>
      </c>
      <c r="M68" s="6"/>
      <c r="O68" s="6">
        <v>0.64497041420118351</v>
      </c>
    </row>
    <row r="69" spans="2:15" ht="14.25" customHeight="1" x14ac:dyDescent="0.3">
      <c r="B69" s="5">
        <v>12</v>
      </c>
      <c r="C69" s="5">
        <f>0.05+0.22+1.36+47.85</f>
        <v>49.480000000000004</v>
      </c>
      <c r="D69" s="5">
        <f>1.45+3.61+9.41+59.68</f>
        <v>74.150000000000006</v>
      </c>
      <c r="E69" s="5">
        <v>1.7</v>
      </c>
      <c r="F69" s="5">
        <f t="shared" si="9"/>
        <v>0.24252223120452707</v>
      </c>
      <c r="G69" s="6"/>
      <c r="H69" s="5">
        <v>3.4</v>
      </c>
      <c r="I69" s="5">
        <f>0.25+107.5</f>
        <v>107.75</v>
      </c>
      <c r="J69" s="5">
        <f>4.86+84.72</f>
        <v>89.58</v>
      </c>
      <c r="K69" s="5">
        <v>1.68</v>
      </c>
      <c r="L69" s="5">
        <f t="shared" si="10"/>
        <v>3.1554524361948957E-2</v>
      </c>
      <c r="M69" s="6"/>
      <c r="O69" s="6">
        <v>0.57396449704142016</v>
      </c>
    </row>
    <row r="70" spans="2:15" ht="14.25" customHeight="1" x14ac:dyDescent="0.3">
      <c r="B70" s="5">
        <v>11</v>
      </c>
      <c r="C70" s="5">
        <f>0.01+0.12+1.09+4.28+41.02</f>
        <v>46.52</v>
      </c>
      <c r="D70" s="5">
        <f>0.8+2.9+8.71+16.4+39.92</f>
        <v>68.73</v>
      </c>
      <c r="E70" s="5">
        <v>1.67</v>
      </c>
      <c r="F70" s="5">
        <f t="shared" si="9"/>
        <v>0.23645743766122096</v>
      </c>
      <c r="G70" s="6"/>
      <c r="H70" s="5">
        <v>3.2</v>
      </c>
      <c r="I70" s="5">
        <f>0.17+0.03+0.18+106.01</f>
        <v>106.39</v>
      </c>
      <c r="J70" s="5">
        <f>3.73+0.95+1.84+82.65</f>
        <v>89.17</v>
      </c>
      <c r="K70" s="5">
        <v>1.67</v>
      </c>
      <c r="L70" s="5">
        <f t="shared" si="10"/>
        <v>3.0078014851019835E-2</v>
      </c>
      <c r="M70" s="6"/>
      <c r="O70" s="6">
        <v>0.49704142011834318</v>
      </c>
    </row>
    <row r="71" spans="2:15" ht="14.25" customHeight="1" x14ac:dyDescent="0.3">
      <c r="B71" s="5">
        <v>10</v>
      </c>
      <c r="C71" s="5">
        <f>0.02+0.78+3.7+40.16</f>
        <v>44.66</v>
      </c>
      <c r="D71" s="5">
        <f>1.04+7.61+15.78+39.57</f>
        <v>64</v>
      </c>
      <c r="E71" s="5">
        <v>1.63</v>
      </c>
      <c r="F71" s="5">
        <f t="shared" si="9"/>
        <v>0.2239140170174653</v>
      </c>
      <c r="G71" s="6"/>
      <c r="H71" s="5">
        <v>3</v>
      </c>
      <c r="I71" s="5">
        <f>0.1+0.02+0.02+0.16+104.92</f>
        <v>105.22</v>
      </c>
      <c r="J71" s="5">
        <f>2.62+0.89+0.82+1.73+82.63</f>
        <v>88.69</v>
      </c>
      <c r="K71" s="5">
        <v>1.66</v>
      </c>
      <c r="L71" s="5">
        <f t="shared" si="10"/>
        <v>2.8511689792815053E-2</v>
      </c>
      <c r="M71" s="6"/>
      <c r="O71" s="6">
        <v>0.40828402366863903</v>
      </c>
    </row>
    <row r="72" spans="2:15" ht="14.25" customHeight="1" x14ac:dyDescent="0.3">
      <c r="B72" s="5">
        <v>9</v>
      </c>
      <c r="C72" s="5">
        <f>0.54+3.25+0.34+38.36</f>
        <v>42.49</v>
      </c>
      <c r="D72" s="5">
        <f>7.25+15.5+5.4+32.32</f>
        <v>60.47</v>
      </c>
      <c r="E72" s="5">
        <v>1.59</v>
      </c>
      <c r="F72" s="5">
        <f t="shared" si="9"/>
        <v>0.21181454459872912</v>
      </c>
      <c r="G72" s="6"/>
      <c r="H72" s="5">
        <v>2.8</v>
      </c>
      <c r="I72" s="5">
        <f>0.06+0.01+0.01+0.14+103.31</f>
        <v>103.53</v>
      </c>
      <c r="J72" s="5">
        <f>2.32+0.61+0.47+1.62+82.59</f>
        <v>87.61</v>
      </c>
      <c r="K72" s="5">
        <v>1.64</v>
      </c>
      <c r="L72" s="5">
        <f t="shared" si="10"/>
        <v>2.7045300878972278E-2</v>
      </c>
      <c r="M72" s="6"/>
      <c r="O72" s="6">
        <v>0.30769230769230771</v>
      </c>
    </row>
    <row r="73" spans="2:15" ht="14.25" customHeight="1" x14ac:dyDescent="0.3">
      <c r="B73" s="5">
        <v>8</v>
      </c>
      <c r="C73" s="5">
        <f>0.28+0.01+2.53+0.04+0.13+36.8</f>
        <v>39.79</v>
      </c>
      <c r="D73" s="5">
        <f>4.57+0.68+14.92+1.75+2.43+31.6</f>
        <v>55.95</v>
      </c>
      <c r="E73" s="5">
        <v>1.58</v>
      </c>
      <c r="F73" s="5">
        <f t="shared" si="9"/>
        <v>0.20105554159336517</v>
      </c>
      <c r="G73" s="6"/>
      <c r="H73" s="5">
        <v>2.6</v>
      </c>
      <c r="I73" s="5">
        <f>0.04+0.11+102.83</f>
        <v>102.98</v>
      </c>
      <c r="J73" s="5">
        <f>1.73+1.5+82.54</f>
        <v>85.77000000000001</v>
      </c>
      <c r="K73" s="5">
        <v>1.63</v>
      </c>
      <c r="L73" s="5">
        <f t="shared" si="10"/>
        <v>2.5247620897261604E-2</v>
      </c>
      <c r="M73" s="6"/>
      <c r="O73" s="6">
        <v>1</v>
      </c>
    </row>
    <row r="74" spans="2:15" ht="14.25" customHeight="1" x14ac:dyDescent="0.3">
      <c r="B74" s="5">
        <v>7</v>
      </c>
      <c r="C74" s="5">
        <f>0.11+0.67+1.38+0.05+36.03</f>
        <v>38.24</v>
      </c>
      <c r="D74" s="5">
        <f>2.86+5.85+7.6+1.72+31.35</f>
        <v>49.379999999999995</v>
      </c>
      <c r="E74" s="5">
        <v>1.52</v>
      </c>
      <c r="F74" s="5">
        <f t="shared" si="9"/>
        <v>0.18305439330543932</v>
      </c>
      <c r="G74" s="6"/>
      <c r="H74" s="5">
        <v>2.4</v>
      </c>
      <c r="I74" s="5">
        <f>0.02+0.09+101.55</f>
        <v>101.66</v>
      </c>
      <c r="J74" s="5">
        <f>1.13+1.37+82.41</f>
        <v>84.91</v>
      </c>
      <c r="K74" s="5">
        <v>1.61</v>
      </c>
      <c r="L74" s="5">
        <f t="shared" si="10"/>
        <v>2.3608105449537675E-2</v>
      </c>
      <c r="M74" s="6"/>
      <c r="O74" s="6">
        <v>0.95512820512820507</v>
      </c>
    </row>
    <row r="75" spans="2:15" ht="14.25" customHeight="1" x14ac:dyDescent="0.3">
      <c r="B75" s="5">
        <v>6</v>
      </c>
      <c r="C75" s="5">
        <f>0.03+0.24+0.17+1.07+0.01+34.64</f>
        <v>36.160000000000004</v>
      </c>
      <c r="D75" s="5">
        <f>0.98+3.08+1.91+5.97+0.59+31.01</f>
        <v>43.540000000000006</v>
      </c>
      <c r="E75" s="5">
        <v>1.51</v>
      </c>
      <c r="F75" s="5">
        <f t="shared" si="9"/>
        <v>0.16592920353982299</v>
      </c>
      <c r="G75" s="6"/>
      <c r="H75" s="5">
        <v>2.2000000000000002</v>
      </c>
      <c r="I75" s="5">
        <f>0.07+100.4</f>
        <v>100.47</v>
      </c>
      <c r="J75" s="5">
        <f>1.22+82.44</f>
        <v>83.66</v>
      </c>
      <c r="K75" s="5">
        <v>1.6</v>
      </c>
      <c r="L75" s="5">
        <f t="shared" si="10"/>
        <v>2.1897083706579081E-2</v>
      </c>
      <c r="M75" s="6"/>
      <c r="O75" s="6">
        <v>0.91666666666666663</v>
      </c>
    </row>
    <row r="76" spans="2:15" ht="14.25" customHeight="1" x14ac:dyDescent="0.3">
      <c r="B76" s="5">
        <v>5</v>
      </c>
      <c r="C76" s="5">
        <f>0.13+0.09+0.81+33.27</f>
        <v>34.300000000000004</v>
      </c>
      <c r="D76" s="5">
        <f>2.26+1.47+5.6+30.88</f>
        <v>40.209999999999994</v>
      </c>
      <c r="E76" s="5">
        <v>1.48</v>
      </c>
      <c r="F76" s="5">
        <f t="shared" si="9"/>
        <v>0.14577259475218657</v>
      </c>
      <c r="G76" s="6"/>
      <c r="H76" s="5">
        <v>2</v>
      </c>
      <c r="I76" s="5">
        <f>0.05+98.79</f>
        <v>98.84</v>
      </c>
      <c r="J76" s="5">
        <f>1.13+82.38</f>
        <v>83.509999999999991</v>
      </c>
      <c r="K76" s="5">
        <f>1.59</f>
        <v>1.59</v>
      </c>
      <c r="L76" s="5">
        <f t="shared" si="10"/>
        <v>2.0234722784297856E-2</v>
      </c>
      <c r="M76" s="6"/>
      <c r="O76" s="6">
        <v>0.84615384615384615</v>
      </c>
    </row>
    <row r="77" spans="2:15" ht="14.25" customHeight="1" x14ac:dyDescent="0.3">
      <c r="B77" s="5">
        <v>4</v>
      </c>
      <c r="C77" s="5">
        <f>0.03+0.03+0.53+31.58</f>
        <v>32.17</v>
      </c>
      <c r="D77" s="5">
        <f>1.23+0.87+5.01+30.61</f>
        <v>37.72</v>
      </c>
      <c r="E77" s="5">
        <v>1.42</v>
      </c>
      <c r="F77" s="5">
        <f t="shared" si="9"/>
        <v>0.12433944668946223</v>
      </c>
      <c r="G77" s="6"/>
      <c r="H77" s="5">
        <v>1.8</v>
      </c>
      <c r="I77" s="5">
        <f>0.04+97.41</f>
        <v>97.45</v>
      </c>
      <c r="J77" s="5">
        <f>0.9+82.33</f>
        <v>83.23</v>
      </c>
      <c r="K77" s="5">
        <v>1.57</v>
      </c>
      <c r="L77" s="5">
        <f t="shared" si="10"/>
        <v>1.8471010774756286E-2</v>
      </c>
      <c r="M77" s="6"/>
      <c r="O77" s="6">
        <v>0.82051282051282048</v>
      </c>
    </row>
    <row r="78" spans="2:15" ht="14.25" customHeight="1" x14ac:dyDescent="0.3">
      <c r="B78" s="5">
        <v>3</v>
      </c>
      <c r="C78" s="5">
        <f>0.29+29.87</f>
        <v>30.16</v>
      </c>
      <c r="D78" s="5">
        <f>4.09+30.38</f>
        <v>34.47</v>
      </c>
      <c r="E78" s="5">
        <v>1.35</v>
      </c>
      <c r="F78" s="5">
        <f t="shared" si="9"/>
        <v>9.9469496021220155E-2</v>
      </c>
      <c r="G78" s="6"/>
      <c r="H78" s="5">
        <v>1.6</v>
      </c>
      <c r="I78" s="5">
        <f>0.02+96.14</f>
        <v>96.16</v>
      </c>
      <c r="J78" s="5">
        <f>0.7+82.29</f>
        <v>82.990000000000009</v>
      </c>
      <c r="K78" s="5">
        <v>1.55</v>
      </c>
      <c r="L78" s="5">
        <f t="shared" si="10"/>
        <v>1.6638935108153081E-2</v>
      </c>
      <c r="M78" s="6"/>
      <c r="O78" s="6">
        <v>0.77564102564102555</v>
      </c>
    </row>
    <row r="79" spans="2:15" ht="14.25" customHeight="1" x14ac:dyDescent="0.3">
      <c r="B79" s="5">
        <v>2</v>
      </c>
      <c r="C79" s="5">
        <v>27.6</v>
      </c>
      <c r="D79" s="5">
        <v>30.11</v>
      </c>
      <c r="E79" s="5">
        <v>1.27</v>
      </c>
      <c r="F79" s="5">
        <f t="shared" si="9"/>
        <v>7.2463768115942032E-2</v>
      </c>
      <c r="G79" s="6"/>
      <c r="H79" s="5">
        <v>1.4</v>
      </c>
      <c r="I79" s="5">
        <f>0.01+94.74</f>
        <v>94.75</v>
      </c>
      <c r="J79" s="5">
        <f>0.49+82.23</f>
        <v>82.72</v>
      </c>
      <c r="K79" s="5">
        <v>1.53</v>
      </c>
      <c r="L79" s="5">
        <f t="shared" si="10"/>
        <v>1.4775725593667546E-2</v>
      </c>
      <c r="M79" s="6"/>
      <c r="O79" s="6">
        <v>0.71794871794871795</v>
      </c>
    </row>
    <row r="80" spans="2:15" ht="14.25" customHeight="1" x14ac:dyDescent="0.3">
      <c r="B80" s="5">
        <v>1</v>
      </c>
      <c r="C80" s="5">
        <v>25.01</v>
      </c>
      <c r="D80" s="5">
        <v>29.44</v>
      </c>
      <c r="E80" s="5">
        <v>1.21</v>
      </c>
      <c r="F80" s="5">
        <f t="shared" si="9"/>
        <v>3.998400639744102E-2</v>
      </c>
      <c r="G80" s="6"/>
      <c r="H80" s="5">
        <v>1.2</v>
      </c>
      <c r="I80" s="5">
        <v>92.68</v>
      </c>
      <c r="J80" s="5">
        <v>82.14</v>
      </c>
      <c r="K80" s="5">
        <v>1.5</v>
      </c>
      <c r="L80" s="5">
        <f t="shared" si="10"/>
        <v>1.2947777298230469E-2</v>
      </c>
      <c r="M80" s="6"/>
      <c r="O80" s="6">
        <v>0.61538461538461531</v>
      </c>
    </row>
    <row r="81" spans="8:15" ht="14.25" customHeight="1" x14ac:dyDescent="0.3">
      <c r="H81" s="5">
        <v>1</v>
      </c>
      <c r="I81" s="5">
        <v>91.08</v>
      </c>
      <c r="J81" s="5">
        <v>82.12</v>
      </c>
      <c r="K81" s="5">
        <v>1.49</v>
      </c>
      <c r="L81" s="5">
        <f t="shared" si="10"/>
        <v>1.0979358805445762E-2</v>
      </c>
      <c r="M81" s="6"/>
      <c r="O81" s="6">
        <v>0.57692307692307687</v>
      </c>
    </row>
    <row r="82" spans="8:15" ht="14.25" customHeight="1" x14ac:dyDescent="0.3">
      <c r="H82" s="5">
        <v>0.8</v>
      </c>
      <c r="I82" s="5">
        <v>89.25</v>
      </c>
      <c r="J82" s="5">
        <v>82.03</v>
      </c>
      <c r="K82" s="5">
        <v>1.47</v>
      </c>
      <c r="L82" s="5">
        <f t="shared" si="10"/>
        <v>8.9635854341736706E-3</v>
      </c>
      <c r="M82" s="6"/>
      <c r="O82" s="6">
        <v>0.49358974358974356</v>
      </c>
    </row>
    <row r="83" spans="8:15" ht="14.25" customHeight="1" x14ac:dyDescent="0.3">
      <c r="H83" s="5">
        <v>0.6</v>
      </c>
      <c r="I83" s="5">
        <v>86.55</v>
      </c>
      <c r="J83" s="5">
        <v>81.93</v>
      </c>
      <c r="K83" s="5">
        <v>1.44</v>
      </c>
      <c r="L83" s="5">
        <f t="shared" si="10"/>
        <v>6.9324090121317154E-3</v>
      </c>
      <c r="M83" s="6"/>
      <c r="O83" s="6">
        <v>0.40384615384615385</v>
      </c>
    </row>
    <row r="84" spans="8:15" ht="14.25" customHeight="1" x14ac:dyDescent="0.3">
      <c r="H84" s="5">
        <v>0.4</v>
      </c>
      <c r="I84" s="5">
        <v>83.84</v>
      </c>
      <c r="J84" s="5">
        <v>79.83</v>
      </c>
      <c r="K84" s="5">
        <v>1.4</v>
      </c>
      <c r="L84" s="5">
        <f t="shared" si="10"/>
        <v>4.7709923664122139E-3</v>
      </c>
      <c r="M84" s="6"/>
      <c r="O84" s="6">
        <v>0.32051282051282048</v>
      </c>
    </row>
    <row r="85" spans="8:15" ht="14.25" customHeight="1" x14ac:dyDescent="0.3">
      <c r="H85" s="5">
        <v>0.2</v>
      </c>
      <c r="I85" s="5">
        <f>80.31</f>
        <v>80.31</v>
      </c>
      <c r="J85" s="5">
        <v>79.239999999999995</v>
      </c>
      <c r="K85" s="5">
        <v>1.35</v>
      </c>
      <c r="L85" s="5">
        <f t="shared" si="10"/>
        <v>2.4903498941601294E-3</v>
      </c>
      <c r="M85" s="6"/>
      <c r="O85" s="6">
        <v>1</v>
      </c>
    </row>
    <row r="86" spans="8:15" ht="14.25" customHeight="1" x14ac:dyDescent="0.3">
      <c r="O86" s="6">
        <v>0.97368421052631593</v>
      </c>
    </row>
    <row r="87" spans="8:15" ht="14.25" customHeight="1" x14ac:dyDescent="0.3">
      <c r="O87" s="6">
        <v>0.9263157894736842</v>
      </c>
    </row>
    <row r="88" spans="8:15" ht="14.25" customHeight="1" x14ac:dyDescent="0.3">
      <c r="O88" s="6">
        <v>0.92105263157894746</v>
      </c>
    </row>
    <row r="89" spans="8:15" ht="14.25" customHeight="1" x14ac:dyDescent="0.3">
      <c r="O89" s="6">
        <v>0.83157894736842108</v>
      </c>
    </row>
    <row r="90" spans="8:15" ht="14.25" customHeight="1" x14ac:dyDescent="0.3">
      <c r="O90" s="6">
        <v>0.8</v>
      </c>
    </row>
    <row r="91" spans="8:15" ht="14.25" customHeight="1" x14ac:dyDescent="0.3">
      <c r="O91" s="6">
        <v>0.75789473684210529</v>
      </c>
    </row>
    <row r="92" spans="8:15" ht="14.25" customHeight="1" x14ac:dyDescent="0.3">
      <c r="O92" s="6">
        <v>0.70000000000000007</v>
      </c>
    </row>
    <row r="93" spans="8:15" ht="14.25" customHeight="1" x14ac:dyDescent="0.3">
      <c r="O93" s="6">
        <v>0.64736842105263159</v>
      </c>
    </row>
    <row r="94" spans="8:15" ht="14.25" customHeight="1" x14ac:dyDescent="0.3">
      <c r="O94" s="6">
        <v>0.58421052631578951</v>
      </c>
    </row>
    <row r="95" spans="8:15" ht="14.25" customHeight="1" x14ac:dyDescent="0.3">
      <c r="O95" s="6">
        <v>0.54736842105263162</v>
      </c>
    </row>
    <row r="96" spans="8:15" ht="14.25" customHeight="1" x14ac:dyDescent="0.3">
      <c r="O96" s="6">
        <v>0.44736842105263158</v>
      </c>
    </row>
    <row r="97" spans="15:15" ht="14.25" customHeight="1" x14ac:dyDescent="0.3">
      <c r="O97" s="6">
        <v>1</v>
      </c>
    </row>
    <row r="98" spans="15:15" ht="14.25" customHeight="1" x14ac:dyDescent="0.3">
      <c r="O98" s="6">
        <v>0.96666666666666667</v>
      </c>
    </row>
    <row r="99" spans="15:15" ht="14.25" customHeight="1" x14ac:dyDescent="0.3">
      <c r="O99" s="6">
        <v>0.90555555555555545</v>
      </c>
    </row>
    <row r="100" spans="15:15" ht="14.25" customHeight="1" x14ac:dyDescent="0.3">
      <c r="O100" s="6">
        <v>0.82222222222222219</v>
      </c>
    </row>
    <row r="101" spans="15:15" ht="14.25" customHeight="1" x14ac:dyDescent="0.3">
      <c r="O101" s="6">
        <v>0.7944444444444444</v>
      </c>
    </row>
    <row r="102" spans="15:15" ht="14.25" customHeight="1" x14ac:dyDescent="0.3">
      <c r="O102" s="6">
        <v>0.76111111111111118</v>
      </c>
    </row>
    <row r="103" spans="15:15" ht="14.25" customHeight="1" x14ac:dyDescent="0.3">
      <c r="O103" s="6">
        <v>0.66111111111111109</v>
      </c>
    </row>
    <row r="104" spans="15:15" ht="14.25" customHeight="1" x14ac:dyDescent="0.3">
      <c r="O104" s="6">
        <v>0.6</v>
      </c>
    </row>
    <row r="105" spans="15:15" ht="14.25" customHeight="1" x14ac:dyDescent="0.3">
      <c r="O105" s="6">
        <v>0.56666666666666665</v>
      </c>
    </row>
    <row r="106" spans="15:15" ht="14.25" customHeight="1" x14ac:dyDescent="0.3">
      <c r="O106" s="6">
        <v>0.44444444444444448</v>
      </c>
    </row>
    <row r="107" spans="15:15" ht="14.25" customHeight="1" x14ac:dyDescent="0.3">
      <c r="O107" s="6">
        <v>1</v>
      </c>
    </row>
    <row r="108" spans="15:15" ht="14.25" customHeight="1" x14ac:dyDescent="0.3">
      <c r="O108" s="6">
        <v>0.96666666666666667</v>
      </c>
    </row>
    <row r="109" spans="15:15" ht="14.25" customHeight="1" x14ac:dyDescent="0.3">
      <c r="O109" s="6">
        <v>0.90555555555555545</v>
      </c>
    </row>
    <row r="110" spans="15:15" ht="14.25" customHeight="1" x14ac:dyDescent="0.3">
      <c r="O110" s="6">
        <v>0.82222222222222219</v>
      </c>
    </row>
    <row r="111" spans="15:15" ht="14.25" customHeight="1" x14ac:dyDescent="0.3">
      <c r="O111" s="6">
        <v>0.7944444444444444</v>
      </c>
    </row>
    <row r="112" spans="15:15" ht="14.25" customHeight="1" x14ac:dyDescent="0.3">
      <c r="O112" s="6">
        <v>0.76111111111111118</v>
      </c>
    </row>
    <row r="113" spans="15:15" ht="14.25" customHeight="1" x14ac:dyDescent="0.3">
      <c r="O113" s="6">
        <v>0.66111111111111109</v>
      </c>
    </row>
    <row r="114" spans="15:15" ht="14.25" customHeight="1" x14ac:dyDescent="0.3">
      <c r="O114" s="6">
        <v>0.6</v>
      </c>
    </row>
    <row r="115" spans="15:15" ht="14.25" customHeight="1" x14ac:dyDescent="0.3">
      <c r="O115" s="6">
        <v>0.56666666666666665</v>
      </c>
    </row>
    <row r="116" spans="15:15" ht="14.25" customHeight="1" x14ac:dyDescent="0.3">
      <c r="O116" s="6">
        <v>0.44444444444444448</v>
      </c>
    </row>
    <row r="117" spans="15:15" ht="14.25" customHeight="1" x14ac:dyDescent="0.3">
      <c r="O117" s="6">
        <v>1</v>
      </c>
    </row>
    <row r="118" spans="15:15" ht="14.25" customHeight="1" x14ac:dyDescent="0.3">
      <c r="O118" s="6">
        <v>0.95774647887323949</v>
      </c>
    </row>
    <row r="119" spans="15:15" ht="14.25" customHeight="1" x14ac:dyDescent="0.3">
      <c r="O119" s="6">
        <v>0.892018779342723</v>
      </c>
    </row>
    <row r="120" spans="15:15" ht="14.25" customHeight="1" x14ac:dyDescent="0.3">
      <c r="O120" s="6">
        <v>0.87793427230046961</v>
      </c>
    </row>
    <row r="121" spans="15:15" ht="14.25" customHeight="1" x14ac:dyDescent="0.3">
      <c r="O121" s="6">
        <v>0.80751173708920188</v>
      </c>
    </row>
    <row r="122" spans="15:15" ht="14.25" customHeight="1" x14ac:dyDescent="0.3">
      <c r="O122" s="6">
        <v>0.7699530516431925</v>
      </c>
    </row>
    <row r="123" spans="15:15" ht="14.25" customHeight="1" x14ac:dyDescent="0.3">
      <c r="O123" s="6">
        <v>0.70422535211267612</v>
      </c>
    </row>
    <row r="124" spans="15:15" ht="14.25" customHeight="1" x14ac:dyDescent="0.3">
      <c r="O124" s="6">
        <v>0.65258215962441313</v>
      </c>
    </row>
    <row r="125" spans="15:15" ht="14.25" customHeight="1" x14ac:dyDescent="0.3">
      <c r="O125" s="6">
        <v>0.58685446009389675</v>
      </c>
    </row>
    <row r="126" spans="15:15" ht="14.25" customHeight="1" x14ac:dyDescent="0.3">
      <c r="O126" s="6">
        <v>0.51643192488262912</v>
      </c>
    </row>
    <row r="127" spans="15:15" ht="14.25" customHeight="1" x14ac:dyDescent="0.3">
      <c r="O127" s="6">
        <v>0.43661971830985918</v>
      </c>
    </row>
    <row r="128" spans="15:15" ht="14.25" customHeight="1" x14ac:dyDescent="0.3">
      <c r="O128" s="6">
        <v>1</v>
      </c>
    </row>
    <row r="129" spans="15:15" ht="14.25" customHeight="1" x14ac:dyDescent="0.3">
      <c r="O129" s="6">
        <v>0.96850393700787396</v>
      </c>
    </row>
    <row r="130" spans="15:15" ht="14.25" customHeight="1" x14ac:dyDescent="0.3">
      <c r="O130" s="6">
        <v>0.94094488188976377</v>
      </c>
    </row>
    <row r="131" spans="15:15" ht="14.25" customHeight="1" x14ac:dyDescent="0.3">
      <c r="O131" s="6">
        <v>0.90551181102362199</v>
      </c>
    </row>
    <row r="132" spans="15:15" ht="14.25" customHeight="1" x14ac:dyDescent="0.3">
      <c r="O132" s="6">
        <v>0.87401574803149618</v>
      </c>
    </row>
    <row r="133" spans="15:15" ht="14.25" customHeight="1" x14ac:dyDescent="0.3">
      <c r="O133" s="6">
        <v>0.81496062992125973</v>
      </c>
    </row>
    <row r="134" spans="15:15" ht="14.25" customHeight="1" x14ac:dyDescent="0.3">
      <c r="O134" s="6">
        <v>0.77952755905511806</v>
      </c>
    </row>
    <row r="135" spans="15:15" ht="14.25" customHeight="1" x14ac:dyDescent="0.3">
      <c r="O135" s="6">
        <v>0.74015748031496054</v>
      </c>
    </row>
    <row r="136" spans="15:15" ht="14.25" customHeight="1" x14ac:dyDescent="0.3">
      <c r="O136" s="6">
        <v>0.69291338582677164</v>
      </c>
    </row>
    <row r="137" spans="15:15" ht="14.25" customHeight="1" x14ac:dyDescent="0.3">
      <c r="O137" s="6">
        <v>0.65354330708661412</v>
      </c>
    </row>
    <row r="138" spans="15:15" ht="14.25" customHeight="1" x14ac:dyDescent="0.3">
      <c r="O138" s="6">
        <v>0.5944881889763779</v>
      </c>
    </row>
    <row r="139" spans="15:15" ht="14.25" customHeight="1" x14ac:dyDescent="0.3">
      <c r="O139" s="6">
        <v>0.54330708661417315</v>
      </c>
    </row>
    <row r="140" spans="15:15" ht="14.25" customHeight="1" x14ac:dyDescent="0.3">
      <c r="O140" s="6">
        <v>0.48425196850393698</v>
      </c>
    </row>
    <row r="141" spans="15:15" ht="14.25" customHeight="1" x14ac:dyDescent="0.3">
      <c r="O141" s="6">
        <v>0.41338582677165353</v>
      </c>
    </row>
    <row r="142" spans="15:15" ht="14.25" customHeight="1" x14ac:dyDescent="0.3">
      <c r="O142" s="6">
        <v>1</v>
      </c>
    </row>
    <row r="143" spans="15:15" ht="14.25" customHeight="1" x14ac:dyDescent="0.3">
      <c r="O143" s="6">
        <v>0.97435897435897445</v>
      </c>
    </row>
    <row r="144" spans="15:15" ht="14.25" customHeight="1" x14ac:dyDescent="0.3">
      <c r="O144" s="6">
        <v>0.94871794871794868</v>
      </c>
    </row>
    <row r="145" spans="15:15" ht="14.25" customHeight="1" x14ac:dyDescent="0.3">
      <c r="O145" s="6">
        <v>0.91575091575091572</v>
      </c>
    </row>
    <row r="146" spans="15:15" ht="14.25" customHeight="1" x14ac:dyDescent="0.3">
      <c r="O146" s="6">
        <v>0.87912087912087911</v>
      </c>
    </row>
    <row r="147" spans="15:15" ht="14.25" customHeight="1" x14ac:dyDescent="0.3">
      <c r="O147" s="6">
        <v>0.84615384615384615</v>
      </c>
    </row>
    <row r="148" spans="15:15" ht="14.25" customHeight="1" x14ac:dyDescent="0.3">
      <c r="O148" s="6">
        <v>0.80586080586080588</v>
      </c>
    </row>
    <row r="149" spans="15:15" ht="14.25" customHeight="1" x14ac:dyDescent="0.3">
      <c r="O149" s="6">
        <v>0.76923076923076927</v>
      </c>
    </row>
    <row r="150" spans="15:15" ht="14.25" customHeight="1" x14ac:dyDescent="0.3">
      <c r="O150" s="6">
        <v>0.73260073260073255</v>
      </c>
    </row>
    <row r="151" spans="15:15" ht="14.25" customHeight="1" x14ac:dyDescent="0.3">
      <c r="O151" s="6">
        <v>0.68498168498168499</v>
      </c>
    </row>
    <row r="152" spans="15:15" ht="14.25" customHeight="1" x14ac:dyDescent="0.3">
      <c r="O152" s="6">
        <v>0.64102564102564108</v>
      </c>
    </row>
    <row r="153" spans="15:15" ht="14.25" customHeight="1" x14ac:dyDescent="0.3">
      <c r="O153" s="6">
        <v>0.58974358974358976</v>
      </c>
    </row>
    <row r="154" spans="15:15" ht="14.25" customHeight="1" x14ac:dyDescent="0.3">
      <c r="O154" s="6">
        <v>0.53479853479853479</v>
      </c>
    </row>
    <row r="155" spans="15:15" ht="14.25" customHeight="1" x14ac:dyDescent="0.3">
      <c r="O155" s="6">
        <v>0.46886446886446886</v>
      </c>
    </row>
    <row r="156" spans="15:15" ht="14.25" customHeight="1" x14ac:dyDescent="0.3">
      <c r="O156" s="6">
        <v>1</v>
      </c>
    </row>
    <row r="157" spans="15:15" ht="14.25" customHeight="1" x14ac:dyDescent="0.3">
      <c r="O157" s="6">
        <v>0.97297297297297292</v>
      </c>
    </row>
    <row r="158" spans="15:15" ht="14.25" customHeight="1" x14ac:dyDescent="0.3">
      <c r="O158" s="6">
        <v>0.92792792792792789</v>
      </c>
    </row>
    <row r="159" spans="15:15" ht="14.25" customHeight="1" x14ac:dyDescent="0.3">
      <c r="O159" s="6">
        <v>0.91441441441441429</v>
      </c>
    </row>
    <row r="160" spans="15:15" ht="14.25" customHeight="1" x14ac:dyDescent="0.3">
      <c r="O160" s="6">
        <v>0.90990990990990983</v>
      </c>
    </row>
    <row r="161" spans="15:15" ht="14.25" customHeight="1" x14ac:dyDescent="0.3">
      <c r="O161" s="6">
        <v>0.84684684684684675</v>
      </c>
    </row>
    <row r="162" spans="15:15" ht="14.25" customHeight="1" x14ac:dyDescent="0.3">
      <c r="O162" s="6">
        <v>0.81981981981981977</v>
      </c>
    </row>
    <row r="163" spans="15:15" ht="14.25" customHeight="1" x14ac:dyDescent="0.3">
      <c r="O163" s="6">
        <v>0.81981981981981977</v>
      </c>
    </row>
    <row r="164" spans="15:15" ht="14.25" customHeight="1" x14ac:dyDescent="0.3">
      <c r="O164" s="6">
        <v>0.7792792792792792</v>
      </c>
    </row>
    <row r="165" spans="15:15" ht="14.25" customHeight="1" x14ac:dyDescent="0.3">
      <c r="O165" s="6">
        <v>0.76576576576576572</v>
      </c>
    </row>
    <row r="166" spans="15:15" ht="14.25" customHeight="1" x14ac:dyDescent="0.3">
      <c r="O166" s="6">
        <v>0.72072072072072069</v>
      </c>
    </row>
    <row r="167" spans="15:15" ht="14.25" customHeight="1" x14ac:dyDescent="0.3">
      <c r="O167" s="6">
        <v>0.70270270270270263</v>
      </c>
    </row>
    <row r="168" spans="15:15" ht="14.25" customHeight="1" x14ac:dyDescent="0.3">
      <c r="O168" s="6">
        <v>0.65315315315315303</v>
      </c>
    </row>
    <row r="169" spans="15:15" ht="14.25" customHeight="1" x14ac:dyDescent="0.3">
      <c r="O169" s="6">
        <v>0.62162162162162149</v>
      </c>
    </row>
    <row r="170" spans="15:15" ht="14.25" customHeight="1" x14ac:dyDescent="0.3">
      <c r="O170" s="6">
        <v>0.55855855855855852</v>
      </c>
    </row>
    <row r="171" spans="15:15" ht="14.25" customHeight="1" x14ac:dyDescent="0.3">
      <c r="O171" s="6">
        <v>0.50450450450450446</v>
      </c>
    </row>
    <row r="172" spans="15:15" ht="14.25" customHeight="1" x14ac:dyDescent="0.3">
      <c r="O172" s="6">
        <v>1</v>
      </c>
    </row>
    <row r="173" spans="15:15" ht="14.25" customHeight="1" x14ac:dyDescent="0.3">
      <c r="O173" s="6">
        <v>0.95544554455445541</v>
      </c>
    </row>
    <row r="174" spans="15:15" ht="14.25" customHeight="1" x14ac:dyDescent="0.3">
      <c r="O174" s="6">
        <v>0.92574257425742579</v>
      </c>
    </row>
    <row r="175" spans="15:15" ht="14.25" customHeight="1" x14ac:dyDescent="0.3">
      <c r="O175" s="6">
        <v>0.91584158415841588</v>
      </c>
    </row>
    <row r="176" spans="15:15" ht="14.25" customHeight="1" x14ac:dyDescent="0.3">
      <c r="O176" s="6">
        <v>0.89603960396039606</v>
      </c>
    </row>
    <row r="177" spans="15:15" ht="14.25" customHeight="1" x14ac:dyDescent="0.3">
      <c r="O177" s="6">
        <v>0.88613861386138615</v>
      </c>
    </row>
    <row r="178" spans="15:15" ht="14.25" customHeight="1" x14ac:dyDescent="0.3">
      <c r="O178" s="6">
        <v>0.87128712871287128</v>
      </c>
    </row>
    <row r="179" spans="15:15" ht="14.25" customHeight="1" x14ac:dyDescent="0.3">
      <c r="O179" s="6">
        <v>0.85643564356435642</v>
      </c>
    </row>
    <row r="180" spans="15:15" ht="14.25" customHeight="1" x14ac:dyDescent="0.3">
      <c r="O180" s="6">
        <v>0.84158415841584155</v>
      </c>
    </row>
    <row r="181" spans="15:15" ht="14.25" customHeight="1" x14ac:dyDescent="0.3">
      <c r="O181" s="6">
        <v>0.82673267326732669</v>
      </c>
    </row>
    <row r="182" spans="15:15" ht="14.25" customHeight="1" x14ac:dyDescent="0.3">
      <c r="O182" s="6">
        <v>0.80693069306930687</v>
      </c>
    </row>
    <row r="183" spans="15:15" ht="14.25" customHeight="1" x14ac:dyDescent="0.3">
      <c r="O183" s="6">
        <v>0.78712871287128716</v>
      </c>
    </row>
    <row r="184" spans="15:15" ht="14.25" customHeight="1" x14ac:dyDescent="0.3">
      <c r="O184" s="6">
        <v>0.78217821782178221</v>
      </c>
    </row>
    <row r="185" spans="15:15" ht="14.25" customHeight="1" x14ac:dyDescent="0.3">
      <c r="O185" s="6">
        <v>0.75247524752475248</v>
      </c>
    </row>
    <row r="186" spans="15:15" ht="14.25" customHeight="1" x14ac:dyDescent="0.3">
      <c r="O186" s="6">
        <v>0.74752475247524752</v>
      </c>
    </row>
    <row r="187" spans="15:15" ht="14.25" customHeight="1" x14ac:dyDescent="0.3">
      <c r="O187" s="6">
        <v>0.73267326732673266</v>
      </c>
    </row>
    <row r="188" spans="15:15" ht="14.25" customHeight="1" x14ac:dyDescent="0.3">
      <c r="O188" s="6">
        <v>0.70297029702970293</v>
      </c>
    </row>
    <row r="189" spans="15:15" ht="14.25" customHeight="1" x14ac:dyDescent="0.3">
      <c r="O189" s="6">
        <v>0.66831683168316836</v>
      </c>
    </row>
    <row r="190" spans="15:15" ht="14.25" customHeight="1" x14ac:dyDescent="0.3">
      <c r="O190" s="6">
        <v>0.62871287128712872</v>
      </c>
    </row>
    <row r="191" spans="15:15" ht="14.25" customHeight="1" x14ac:dyDescent="0.3">
      <c r="O191" s="6">
        <v>0.59900990099009899</v>
      </c>
    </row>
    <row r="192" spans="15:15" ht="14.25" customHeight="1" x14ac:dyDescent="0.3">
      <c r="O192" s="6">
        <v>1</v>
      </c>
    </row>
    <row r="193" spans="15:15" ht="14.25" customHeight="1" x14ac:dyDescent="0.3">
      <c r="O193" s="6">
        <v>0.99435028248587565</v>
      </c>
    </row>
    <row r="194" spans="15:15" ht="14.25" customHeight="1" x14ac:dyDescent="0.3">
      <c r="O194" s="6">
        <v>0.98870056497175141</v>
      </c>
    </row>
    <row r="195" spans="15:15" ht="14.25" customHeight="1" x14ac:dyDescent="0.3">
      <c r="O195" s="6">
        <v>0.98305084745762705</v>
      </c>
    </row>
    <row r="196" spans="15:15" ht="14.25" customHeight="1" x14ac:dyDescent="0.3">
      <c r="O196" s="6">
        <v>0.97740112994350281</v>
      </c>
    </row>
    <row r="197" spans="15:15" ht="14.25" customHeight="1" x14ac:dyDescent="0.3">
      <c r="O197" s="6">
        <v>0.97175141242937846</v>
      </c>
    </row>
    <row r="198" spans="15:15" ht="14.25" customHeight="1" x14ac:dyDescent="0.3">
      <c r="O198" s="6">
        <v>0.96610169491525422</v>
      </c>
    </row>
    <row r="199" spans="15:15" ht="14.25" customHeight="1" x14ac:dyDescent="0.3">
      <c r="O199" s="6">
        <v>0.95480225988700562</v>
      </c>
    </row>
    <row r="200" spans="15:15" ht="14.25" customHeight="1" x14ac:dyDescent="0.3">
      <c r="O200" s="6">
        <v>0.94915254237288127</v>
      </c>
    </row>
    <row r="201" spans="15:15" ht="14.25" customHeight="1" x14ac:dyDescent="0.3">
      <c r="O201" s="6">
        <v>0.94350282485875703</v>
      </c>
    </row>
    <row r="202" spans="15:15" ht="14.25" customHeight="1" x14ac:dyDescent="0.3">
      <c r="O202" s="6">
        <v>0.93785310734463267</v>
      </c>
    </row>
    <row r="203" spans="15:15" ht="14.25" customHeight="1" x14ac:dyDescent="0.3">
      <c r="O203" s="6">
        <v>0.92655367231638408</v>
      </c>
    </row>
    <row r="204" spans="15:15" ht="14.25" customHeight="1" x14ac:dyDescent="0.3">
      <c r="O204" s="6">
        <v>0.92090395480225984</v>
      </c>
    </row>
    <row r="205" spans="15:15" ht="14.25" customHeight="1" x14ac:dyDescent="0.3">
      <c r="O205" s="6">
        <v>0.90960451977401136</v>
      </c>
    </row>
    <row r="206" spans="15:15" ht="14.25" customHeight="1" x14ac:dyDescent="0.3">
      <c r="O206" s="6">
        <v>0.903954802259887</v>
      </c>
    </row>
    <row r="207" spans="15:15" ht="14.25" customHeight="1" x14ac:dyDescent="0.3">
      <c r="O207" s="6">
        <v>0.89830508474576276</v>
      </c>
    </row>
    <row r="208" spans="15:15" ht="14.25" customHeight="1" x14ac:dyDescent="0.3">
      <c r="O208" s="6">
        <v>0.88700564971751417</v>
      </c>
    </row>
    <row r="209" spans="14:15" ht="14.25" customHeight="1" x14ac:dyDescent="0.3">
      <c r="O209" s="6">
        <v>0.87570621468926557</v>
      </c>
    </row>
    <row r="210" spans="14:15" ht="14.25" customHeight="1" x14ac:dyDescent="0.3">
      <c r="O210" s="6">
        <v>0.86440677966101698</v>
      </c>
    </row>
    <row r="211" spans="14:15" ht="14.25" customHeight="1" x14ac:dyDescent="0.3">
      <c r="O211" s="6">
        <v>0.84745762711864403</v>
      </c>
    </row>
    <row r="212" spans="14:15" ht="14.25" customHeight="1" x14ac:dyDescent="0.3">
      <c r="O212" s="6">
        <v>0.84180790960451979</v>
      </c>
    </row>
    <row r="213" spans="14:15" ht="14.25" customHeight="1" x14ac:dyDescent="0.3">
      <c r="O213" s="6">
        <v>0.83050847457627119</v>
      </c>
    </row>
    <row r="214" spans="14:15" ht="14.25" customHeight="1" x14ac:dyDescent="0.3">
      <c r="O214" s="6">
        <v>0.81355932203389825</v>
      </c>
    </row>
    <row r="215" spans="14:15" ht="14.25" customHeight="1" x14ac:dyDescent="0.3">
      <c r="O215" s="6">
        <v>0.79096045197740106</v>
      </c>
    </row>
    <row r="216" spans="14:15" ht="14.25" customHeight="1" x14ac:dyDescent="0.3">
      <c r="O216" s="6">
        <v>0.76271186440677974</v>
      </c>
    </row>
    <row r="217" spans="14:15" ht="14.25" customHeight="1" x14ac:dyDescent="0.3">
      <c r="N217" s="4" t="s">
        <v>8</v>
      </c>
      <c r="O217" s="6">
        <f>STDEV(O61:O216)</f>
        <v>0.16990391256389598</v>
      </c>
    </row>
    <row r="218" spans="14:15" ht="14.25" customHeight="1" x14ac:dyDescent="0.25"/>
    <row r="219" spans="14:15" ht="14.25" customHeight="1" x14ac:dyDescent="0.25"/>
    <row r="220" spans="14:15" ht="14.25" customHeight="1" x14ac:dyDescent="0.25"/>
    <row r="221" spans="14:15" ht="14.25" customHeight="1" x14ac:dyDescent="0.25"/>
    <row r="222" spans="14:15" ht="14.25" customHeight="1" x14ac:dyDescent="0.25"/>
    <row r="223" spans="14:15" ht="14.25" customHeight="1" x14ac:dyDescent="0.25"/>
    <row r="224" spans="14:15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37" workbookViewId="0">
      <selection activeCell="Q58" sqref="Q58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37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3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34" workbookViewId="0">
      <selection activeCell="S57" sqref="S57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1484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Ruma</cp:lastModifiedBy>
  <dcterms:created xsi:type="dcterms:W3CDTF">2020-07-16T15:04:46Z</dcterms:created>
  <dcterms:modified xsi:type="dcterms:W3CDTF">2021-07-15T15:16:39Z</dcterms:modified>
</cp:coreProperties>
</file>