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EW JOURNAL\Power\"/>
    </mc:Choice>
  </mc:AlternateContent>
  <bookViews>
    <workbookView xWindow="0" yWindow="0" windowWidth="23040" windowHeight="8760" tabRatio="622" activeTab="4"/>
  </bookViews>
  <sheets>
    <sheet name="Collected Data Site 992" sheetId="1" r:id="rId1"/>
    <sheet name="Discharge vs Depth" sheetId="2" r:id="rId2"/>
    <sheet name="Discharge vs Width" sheetId="3" r:id="rId3"/>
    <sheet name="Discharge vs Area" sheetId="4" r:id="rId4"/>
    <sheet name="Discharge vs Velocit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4" i="1" l="1"/>
  <c r="F74" i="1"/>
  <c r="L73" i="1"/>
  <c r="F73" i="1"/>
  <c r="L72" i="1"/>
  <c r="F72" i="1"/>
  <c r="L71" i="1"/>
  <c r="F71" i="1"/>
  <c r="V70" i="1"/>
  <c r="U70" i="1"/>
  <c r="X70" i="1" s="1"/>
  <c r="L70" i="1"/>
  <c r="F70" i="1"/>
  <c r="V69" i="1"/>
  <c r="U69" i="1"/>
  <c r="X69" i="1" s="1"/>
  <c r="R69" i="1"/>
  <c r="L69" i="1"/>
  <c r="F69" i="1"/>
  <c r="X68" i="1"/>
  <c r="V68" i="1"/>
  <c r="U68" i="1"/>
  <c r="R68" i="1"/>
  <c r="L68" i="1"/>
  <c r="F68" i="1"/>
  <c r="V67" i="1"/>
  <c r="U67" i="1"/>
  <c r="X67" i="1" s="1"/>
  <c r="R67" i="1"/>
  <c r="L67" i="1"/>
  <c r="F67" i="1"/>
  <c r="X66" i="1"/>
  <c r="V66" i="1"/>
  <c r="U66" i="1"/>
  <c r="R66" i="1"/>
  <c r="L66" i="1"/>
  <c r="F66" i="1"/>
  <c r="V65" i="1"/>
  <c r="U65" i="1"/>
  <c r="X65" i="1" s="1"/>
  <c r="R65" i="1"/>
  <c r="L65" i="1"/>
  <c r="F65" i="1"/>
  <c r="X64" i="1"/>
  <c r="V64" i="1"/>
  <c r="U64" i="1"/>
  <c r="R64" i="1"/>
  <c r="L64" i="1"/>
  <c r="F64" i="1"/>
  <c r="V63" i="1"/>
  <c r="U63" i="1"/>
  <c r="X63" i="1" s="1"/>
  <c r="R63" i="1"/>
  <c r="L63" i="1"/>
  <c r="F63" i="1"/>
  <c r="X62" i="1"/>
  <c r="V62" i="1"/>
  <c r="U62" i="1"/>
  <c r="R62" i="1"/>
  <c r="L62" i="1"/>
  <c r="F62" i="1"/>
  <c r="V61" i="1"/>
  <c r="U61" i="1"/>
  <c r="X61" i="1" s="1"/>
  <c r="R61" i="1"/>
  <c r="L61" i="1"/>
  <c r="F61" i="1"/>
  <c r="X60" i="1"/>
  <c r="V60" i="1"/>
  <c r="U60" i="1"/>
  <c r="R60" i="1"/>
  <c r="L60" i="1"/>
  <c r="F60" i="1"/>
  <c r="V59" i="1"/>
  <c r="U59" i="1"/>
  <c r="X59" i="1" s="1"/>
  <c r="R59" i="1"/>
  <c r="L59" i="1"/>
  <c r="F59" i="1"/>
  <c r="X58" i="1"/>
  <c r="V58" i="1"/>
  <c r="U58" i="1"/>
  <c r="R58" i="1"/>
  <c r="P58" i="1"/>
  <c r="O58" i="1"/>
  <c r="L58" i="1"/>
  <c r="F58" i="1"/>
  <c r="X57" i="1"/>
  <c r="V57" i="1"/>
  <c r="U57" i="1"/>
  <c r="R57" i="1"/>
  <c r="P57" i="1"/>
  <c r="O57" i="1"/>
  <c r="L57" i="1"/>
  <c r="F57" i="1"/>
  <c r="X56" i="1"/>
  <c r="V56" i="1"/>
  <c r="U56" i="1"/>
  <c r="R56" i="1"/>
  <c r="P56" i="1"/>
  <c r="O56" i="1"/>
  <c r="J56" i="1"/>
  <c r="I56" i="1"/>
  <c r="L56" i="1" s="1"/>
  <c r="D56" i="1"/>
  <c r="C56" i="1"/>
  <c r="F56" i="1" s="1"/>
  <c r="X55" i="1"/>
  <c r="V55" i="1"/>
  <c r="U55" i="1"/>
  <c r="R55" i="1"/>
  <c r="P55" i="1"/>
  <c r="O55" i="1"/>
  <c r="J55" i="1"/>
  <c r="I55" i="1"/>
  <c r="L55" i="1" s="1"/>
  <c r="D55" i="1"/>
  <c r="C55" i="1"/>
  <c r="F55" i="1" s="1"/>
  <c r="X54" i="1"/>
  <c r="V54" i="1"/>
  <c r="U54" i="1"/>
  <c r="R54" i="1"/>
  <c r="P54" i="1"/>
  <c r="O54" i="1"/>
  <c r="J54" i="1"/>
  <c r="I54" i="1"/>
  <c r="L54" i="1" s="1"/>
  <c r="D54" i="1"/>
  <c r="C54" i="1"/>
  <c r="F54" i="1" s="1"/>
  <c r="F46" i="1"/>
  <c r="X45" i="1"/>
  <c r="F45" i="1"/>
  <c r="X44" i="1"/>
  <c r="F44" i="1"/>
  <c r="X43" i="1"/>
  <c r="F43" i="1"/>
  <c r="X42" i="1"/>
  <c r="R42" i="1"/>
  <c r="F42" i="1"/>
  <c r="X41" i="1"/>
  <c r="R41" i="1"/>
  <c r="L41" i="1"/>
  <c r="F41" i="1"/>
  <c r="X40" i="1"/>
  <c r="R40" i="1"/>
  <c r="L40" i="1"/>
  <c r="F40" i="1"/>
  <c r="X39" i="1"/>
  <c r="R39" i="1"/>
  <c r="L39" i="1"/>
  <c r="F39" i="1"/>
  <c r="X38" i="1"/>
  <c r="R38" i="1"/>
  <c r="L38" i="1"/>
  <c r="F38" i="1"/>
  <c r="X37" i="1"/>
  <c r="R37" i="1"/>
  <c r="L37" i="1"/>
  <c r="F37" i="1"/>
  <c r="X36" i="1"/>
  <c r="R36" i="1"/>
  <c r="L36" i="1"/>
  <c r="F36" i="1"/>
  <c r="X35" i="1"/>
  <c r="R35" i="1"/>
  <c r="L35" i="1"/>
  <c r="F35" i="1"/>
  <c r="X34" i="1"/>
  <c r="R34" i="1"/>
  <c r="L34" i="1"/>
  <c r="F34" i="1"/>
  <c r="X33" i="1"/>
  <c r="R33" i="1"/>
  <c r="L33" i="1"/>
  <c r="F33" i="1"/>
  <c r="X32" i="1"/>
  <c r="R32" i="1"/>
  <c r="L32" i="1"/>
  <c r="F32" i="1"/>
  <c r="X31" i="1"/>
  <c r="R31" i="1"/>
  <c r="L31" i="1"/>
  <c r="F31" i="1"/>
  <c r="X30" i="1"/>
  <c r="R30" i="1"/>
  <c r="P30" i="1"/>
  <c r="O30" i="1"/>
  <c r="L30" i="1"/>
  <c r="F30" i="1"/>
  <c r="X29" i="1"/>
  <c r="V29" i="1"/>
  <c r="U29" i="1"/>
  <c r="R29" i="1"/>
  <c r="P29" i="1"/>
  <c r="O29" i="1"/>
  <c r="L29" i="1"/>
  <c r="F29" i="1"/>
  <c r="X28" i="1"/>
  <c r="V28" i="1"/>
  <c r="U28" i="1"/>
  <c r="R28" i="1"/>
  <c r="P28" i="1"/>
  <c r="O28" i="1"/>
  <c r="L28" i="1"/>
  <c r="F28" i="1"/>
  <c r="X27" i="1"/>
  <c r="V27" i="1"/>
  <c r="U27" i="1"/>
  <c r="R27" i="1"/>
  <c r="P27" i="1"/>
  <c r="O27" i="1"/>
  <c r="L27" i="1"/>
  <c r="F27" i="1"/>
  <c r="X19" i="1"/>
  <c r="R19" i="1"/>
  <c r="L19" i="1"/>
  <c r="F19" i="1"/>
  <c r="X18" i="1"/>
  <c r="R18" i="1"/>
  <c r="L18" i="1"/>
  <c r="F18" i="1"/>
  <c r="X17" i="1"/>
  <c r="R17" i="1"/>
  <c r="L17" i="1"/>
  <c r="F17" i="1"/>
  <c r="X16" i="1"/>
  <c r="R16" i="1"/>
  <c r="L16" i="1"/>
  <c r="F16" i="1"/>
  <c r="X15" i="1"/>
  <c r="R15" i="1"/>
  <c r="L15" i="1"/>
  <c r="F15" i="1"/>
  <c r="X14" i="1"/>
  <c r="R14" i="1"/>
  <c r="L14" i="1"/>
  <c r="F14" i="1"/>
  <c r="X13" i="1"/>
  <c r="R13" i="1"/>
  <c r="L13" i="1"/>
  <c r="F13" i="1"/>
  <c r="X12" i="1"/>
  <c r="R12" i="1"/>
  <c r="L12" i="1"/>
  <c r="F12" i="1"/>
  <c r="X11" i="1"/>
  <c r="R11" i="1"/>
  <c r="L11" i="1"/>
  <c r="F11" i="1"/>
  <c r="X10" i="1"/>
  <c r="R10" i="1"/>
  <c r="L10" i="1"/>
  <c r="F10" i="1"/>
  <c r="X9" i="1"/>
  <c r="R9" i="1"/>
  <c r="L9" i="1"/>
  <c r="F9" i="1"/>
  <c r="X8" i="1"/>
  <c r="R8" i="1"/>
  <c r="J8" i="1"/>
  <c r="I8" i="1"/>
  <c r="L8" i="1" s="1"/>
  <c r="F8" i="1"/>
  <c r="X7" i="1"/>
  <c r="R7" i="1"/>
  <c r="L7" i="1"/>
  <c r="J7" i="1"/>
  <c r="I7" i="1"/>
  <c r="F7" i="1"/>
  <c r="X6" i="1"/>
  <c r="V6" i="1"/>
  <c r="U6" i="1"/>
  <c r="R6" i="1"/>
  <c r="L6" i="1"/>
  <c r="J6" i="1"/>
  <c r="I6" i="1"/>
  <c r="F6" i="1"/>
</calcChain>
</file>

<file path=xl/sharedStrings.xml><?xml version="1.0" encoding="utf-8"?>
<sst xmlns="http://schemas.openxmlformats.org/spreadsheetml/2006/main" count="84" uniqueCount="7">
  <si>
    <t>Site</t>
  </si>
  <si>
    <t>Cross Section</t>
  </si>
  <si>
    <t>Stream Discharge (m^3/s)</t>
  </si>
  <si>
    <t>Area (m^2)</t>
  </si>
  <si>
    <t>Width (m)</t>
  </si>
  <si>
    <t>Depth (m)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</si>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</sst>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(78.22)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406692913385827"/>
                  <c:y val="0.209682852143482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0.2398x</a:t>
                    </a:r>
                    <a:r>
                      <a:rPr lang="en-US" sz="1200" baseline="30000"/>
                      <a:t>0.5626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0.9999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992'!$B$6:$B$19</c:f>
              <c:numCache>
                <c:formatCode>General</c:formatCode>
                <c:ptCount val="14"/>
                <c:pt idx="0">
                  <c:v>280</c:v>
                </c:pt>
                <c:pt idx="1">
                  <c:v>260</c:v>
                </c:pt>
                <c:pt idx="2">
                  <c:v>240</c:v>
                </c:pt>
                <c:pt idx="3">
                  <c:v>220</c:v>
                </c:pt>
                <c:pt idx="4">
                  <c:v>200</c:v>
                </c:pt>
                <c:pt idx="5">
                  <c:v>180</c:v>
                </c:pt>
                <c:pt idx="6">
                  <c:v>160</c:v>
                </c:pt>
                <c:pt idx="7">
                  <c:v>140</c:v>
                </c:pt>
                <c:pt idx="8">
                  <c:v>120</c:v>
                </c:pt>
                <c:pt idx="9">
                  <c:v>100</c:v>
                </c:pt>
                <c:pt idx="10">
                  <c:v>80</c:v>
                </c:pt>
                <c:pt idx="11">
                  <c:v>60</c:v>
                </c:pt>
                <c:pt idx="12">
                  <c:v>40</c:v>
                </c:pt>
                <c:pt idx="13">
                  <c:v>20</c:v>
                </c:pt>
              </c:numCache>
            </c:numRef>
          </c:xVal>
          <c:yVal>
            <c:numRef>
              <c:f>'Collected Data Site 992'!$E$6:$E$19</c:f>
              <c:numCache>
                <c:formatCode>General</c:formatCode>
                <c:ptCount val="14"/>
                <c:pt idx="0">
                  <c:v>5.69</c:v>
                </c:pt>
                <c:pt idx="1">
                  <c:v>5.49</c:v>
                </c:pt>
                <c:pt idx="2">
                  <c:v>5.25</c:v>
                </c:pt>
                <c:pt idx="3">
                  <c:v>5.01</c:v>
                </c:pt>
                <c:pt idx="4">
                  <c:v>4.7699999999999996</c:v>
                </c:pt>
                <c:pt idx="5">
                  <c:v>4.42</c:v>
                </c:pt>
                <c:pt idx="6">
                  <c:v>4.1500000000000004</c:v>
                </c:pt>
                <c:pt idx="7">
                  <c:v>3.85</c:v>
                </c:pt>
                <c:pt idx="8">
                  <c:v>3.55</c:v>
                </c:pt>
                <c:pt idx="9">
                  <c:v>3.2</c:v>
                </c:pt>
                <c:pt idx="10">
                  <c:v>2.81</c:v>
                </c:pt>
                <c:pt idx="11">
                  <c:v>2.39</c:v>
                </c:pt>
                <c:pt idx="12">
                  <c:v>1.91</c:v>
                </c:pt>
                <c:pt idx="13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22-4342-9CCD-AC65069C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20896"/>
        <c:axId val="498321224"/>
      </c:scatterChart>
      <c:valAx>
        <c:axId val="498320896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21224"/>
        <c:crosses val="autoZero"/>
        <c:crossBetween val="midCat"/>
      </c:valAx>
      <c:valAx>
        <c:axId val="498321224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2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(2004.39)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8328521434820695E-2"/>
                  <c:y val="2.56095071449402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0.749x</a:t>
                    </a:r>
                    <a:r>
                      <a:rPr lang="en-US" sz="1200" baseline="30000"/>
                      <a:t>0.3806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0.9665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992'!$H$54:$H$74</c:f>
              <c:numCache>
                <c:formatCode>General</c:formatCode>
                <c:ptCount val="21"/>
                <c:pt idx="0">
                  <c:v>210</c:v>
                </c:pt>
                <c:pt idx="1">
                  <c:v>200</c:v>
                </c:pt>
                <c:pt idx="2">
                  <c:v>190</c:v>
                </c:pt>
                <c:pt idx="3">
                  <c:v>180</c:v>
                </c:pt>
                <c:pt idx="4">
                  <c:v>170</c:v>
                </c:pt>
                <c:pt idx="5">
                  <c:v>160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100</c:v>
                </c:pt>
                <c:pt idx="12">
                  <c:v>90</c:v>
                </c:pt>
                <c:pt idx="13">
                  <c:v>80</c:v>
                </c:pt>
                <c:pt idx="14">
                  <c:v>70</c:v>
                </c:pt>
                <c:pt idx="15">
                  <c:v>60</c:v>
                </c:pt>
                <c:pt idx="16">
                  <c:v>50</c:v>
                </c:pt>
                <c:pt idx="17">
                  <c:v>40</c:v>
                </c:pt>
                <c:pt idx="18">
                  <c:v>30</c:v>
                </c:pt>
                <c:pt idx="19">
                  <c:v>20</c:v>
                </c:pt>
                <c:pt idx="20">
                  <c:v>10</c:v>
                </c:pt>
              </c:numCache>
            </c:numRef>
          </c:xVal>
          <c:yVal>
            <c:numRef>
              <c:f>'Collected Data Site 992'!$K$54:$K$74</c:f>
              <c:numCache>
                <c:formatCode>General</c:formatCode>
                <c:ptCount val="21"/>
                <c:pt idx="0">
                  <c:v>6.06</c:v>
                </c:pt>
                <c:pt idx="1">
                  <c:v>5.91</c:v>
                </c:pt>
                <c:pt idx="2">
                  <c:v>5.76</c:v>
                </c:pt>
                <c:pt idx="3">
                  <c:v>5.53</c:v>
                </c:pt>
                <c:pt idx="4">
                  <c:v>5.4</c:v>
                </c:pt>
                <c:pt idx="5">
                  <c:v>5.23</c:v>
                </c:pt>
                <c:pt idx="6">
                  <c:v>5.08</c:v>
                </c:pt>
                <c:pt idx="7">
                  <c:v>4.93</c:v>
                </c:pt>
                <c:pt idx="8">
                  <c:v>4.78</c:v>
                </c:pt>
                <c:pt idx="9">
                  <c:v>4.6100000000000003</c:v>
                </c:pt>
                <c:pt idx="10">
                  <c:v>4.43</c:v>
                </c:pt>
                <c:pt idx="11">
                  <c:v>4.25</c:v>
                </c:pt>
                <c:pt idx="12">
                  <c:v>4.0599999999999996</c:v>
                </c:pt>
                <c:pt idx="13">
                  <c:v>3.85</c:v>
                </c:pt>
                <c:pt idx="14">
                  <c:v>3.62</c:v>
                </c:pt>
                <c:pt idx="15">
                  <c:v>3.41</c:v>
                </c:pt>
                <c:pt idx="16">
                  <c:v>3.15</c:v>
                </c:pt>
                <c:pt idx="17">
                  <c:v>2.87</c:v>
                </c:pt>
                <c:pt idx="18">
                  <c:v>2.56</c:v>
                </c:pt>
                <c:pt idx="19">
                  <c:v>2.2000000000000002</c:v>
                </c:pt>
                <c:pt idx="20">
                  <c:v>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43-435A-B45E-8290DBCAE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14896"/>
        <c:axId val="587813912"/>
      </c:scatterChart>
      <c:valAx>
        <c:axId val="58781489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13912"/>
        <c:crosses val="autoZero"/>
        <c:crossBetween val="midCat"/>
      </c:valAx>
      <c:valAx>
        <c:axId val="587813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(2125.59)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630708661417323E-2"/>
                  <c:y val="-2.951370662000583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0.8374x</a:t>
                    </a:r>
                    <a:r>
                      <a:rPr lang="en-US" sz="1200" baseline="30000"/>
                      <a:t>0.354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0.938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992'!$N$54:$N$69</c:f>
              <c:numCache>
                <c:formatCode>General</c:formatCode>
                <c:ptCount val="16"/>
                <c:pt idx="0">
                  <c:v>230</c:v>
                </c:pt>
                <c:pt idx="1">
                  <c:v>215</c:v>
                </c:pt>
                <c:pt idx="2">
                  <c:v>200</c:v>
                </c:pt>
                <c:pt idx="3">
                  <c:v>185</c:v>
                </c:pt>
                <c:pt idx="4">
                  <c:v>170</c:v>
                </c:pt>
                <c:pt idx="5">
                  <c:v>155</c:v>
                </c:pt>
                <c:pt idx="6">
                  <c:v>140</c:v>
                </c:pt>
                <c:pt idx="7">
                  <c:v>125</c:v>
                </c:pt>
                <c:pt idx="8">
                  <c:v>110</c:v>
                </c:pt>
                <c:pt idx="9">
                  <c:v>95</c:v>
                </c:pt>
                <c:pt idx="10">
                  <c:v>80</c:v>
                </c:pt>
                <c:pt idx="11">
                  <c:v>65</c:v>
                </c:pt>
                <c:pt idx="12">
                  <c:v>50</c:v>
                </c:pt>
                <c:pt idx="13">
                  <c:v>35</c:v>
                </c:pt>
                <c:pt idx="14">
                  <c:v>20</c:v>
                </c:pt>
                <c:pt idx="15">
                  <c:v>5</c:v>
                </c:pt>
              </c:numCache>
            </c:numRef>
          </c:xVal>
          <c:yVal>
            <c:numRef>
              <c:f>'Collected Data Site 992'!$Q$54:$Q$69</c:f>
              <c:numCache>
                <c:formatCode>General</c:formatCode>
                <c:ptCount val="16"/>
                <c:pt idx="0">
                  <c:v>6.27</c:v>
                </c:pt>
                <c:pt idx="1">
                  <c:v>6.06</c:v>
                </c:pt>
                <c:pt idx="2">
                  <c:v>5.81</c:v>
                </c:pt>
                <c:pt idx="3">
                  <c:v>5.52</c:v>
                </c:pt>
                <c:pt idx="4">
                  <c:v>5.31</c:v>
                </c:pt>
                <c:pt idx="5">
                  <c:v>5.0999999999999996</c:v>
                </c:pt>
                <c:pt idx="6">
                  <c:v>4.84</c:v>
                </c:pt>
                <c:pt idx="7">
                  <c:v>4.57</c:v>
                </c:pt>
                <c:pt idx="8">
                  <c:v>4.34</c:v>
                </c:pt>
                <c:pt idx="9">
                  <c:v>4.05</c:v>
                </c:pt>
                <c:pt idx="10">
                  <c:v>3.75</c:v>
                </c:pt>
                <c:pt idx="11">
                  <c:v>3.41</c:v>
                </c:pt>
                <c:pt idx="12">
                  <c:v>3.05</c:v>
                </c:pt>
                <c:pt idx="13">
                  <c:v>2.63</c:v>
                </c:pt>
                <c:pt idx="14">
                  <c:v>2.0699999999999998</c:v>
                </c:pt>
                <c:pt idx="15">
                  <c:v>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97-43CF-93E3-B578C855E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61888"/>
        <c:axId val="558357296"/>
      </c:scatterChart>
      <c:valAx>
        <c:axId val="558361888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57296"/>
        <c:crosses val="autoZero"/>
        <c:crossBetween val="midCat"/>
      </c:valAx>
      <c:valAx>
        <c:axId val="558357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(2257.55)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395647419072615"/>
                  <c:y val="1.645450568678915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0.6318x</a:t>
                    </a:r>
                    <a:r>
                      <a:rPr lang="en-US" sz="1200" baseline="30000"/>
                      <a:t>0.4237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0.9952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992'!$T$54:$T$70</c:f>
              <c:numCache>
                <c:formatCode>General</c:formatCode>
                <c:ptCount val="17"/>
                <c:pt idx="0">
                  <c:v>250</c:v>
                </c:pt>
                <c:pt idx="1">
                  <c:v>235</c:v>
                </c:pt>
                <c:pt idx="2">
                  <c:v>220</c:v>
                </c:pt>
                <c:pt idx="3">
                  <c:v>205</c:v>
                </c:pt>
                <c:pt idx="4">
                  <c:v>190</c:v>
                </c:pt>
                <c:pt idx="5">
                  <c:v>175</c:v>
                </c:pt>
                <c:pt idx="6">
                  <c:v>160</c:v>
                </c:pt>
                <c:pt idx="7">
                  <c:v>145</c:v>
                </c:pt>
                <c:pt idx="8">
                  <c:v>130</c:v>
                </c:pt>
                <c:pt idx="9">
                  <c:v>115</c:v>
                </c:pt>
                <c:pt idx="10">
                  <c:v>100</c:v>
                </c:pt>
                <c:pt idx="11">
                  <c:v>85</c:v>
                </c:pt>
                <c:pt idx="12">
                  <c:v>70</c:v>
                </c:pt>
                <c:pt idx="13">
                  <c:v>55</c:v>
                </c:pt>
                <c:pt idx="14">
                  <c:v>40</c:v>
                </c:pt>
                <c:pt idx="15">
                  <c:v>25</c:v>
                </c:pt>
                <c:pt idx="16">
                  <c:v>10</c:v>
                </c:pt>
              </c:numCache>
            </c:numRef>
          </c:xVal>
          <c:yVal>
            <c:numRef>
              <c:f>'Collected Data Site 992'!$W$54:$W$70</c:f>
              <c:numCache>
                <c:formatCode>General</c:formatCode>
                <c:ptCount val="17"/>
                <c:pt idx="0">
                  <c:v>6.79</c:v>
                </c:pt>
                <c:pt idx="1">
                  <c:v>6.6</c:v>
                </c:pt>
                <c:pt idx="2">
                  <c:v>6.36</c:v>
                </c:pt>
                <c:pt idx="3">
                  <c:v>6.13</c:v>
                </c:pt>
                <c:pt idx="4">
                  <c:v>5.9</c:v>
                </c:pt>
                <c:pt idx="5">
                  <c:v>5.64</c:v>
                </c:pt>
                <c:pt idx="6">
                  <c:v>5.39</c:v>
                </c:pt>
                <c:pt idx="7">
                  <c:v>5.15</c:v>
                </c:pt>
                <c:pt idx="8">
                  <c:v>4.8899999999999997</c:v>
                </c:pt>
                <c:pt idx="9">
                  <c:v>4.63</c:v>
                </c:pt>
                <c:pt idx="10">
                  <c:v>4.33</c:v>
                </c:pt>
                <c:pt idx="11">
                  <c:v>4.07</c:v>
                </c:pt>
                <c:pt idx="12">
                  <c:v>3.72</c:v>
                </c:pt>
                <c:pt idx="13">
                  <c:v>3.35</c:v>
                </c:pt>
                <c:pt idx="14">
                  <c:v>2.96</c:v>
                </c:pt>
                <c:pt idx="15">
                  <c:v>2.46</c:v>
                </c:pt>
                <c:pt idx="16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45-4FAF-B8DF-65BEC0CF3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69192"/>
        <c:axId val="578667880"/>
      </c:scatterChart>
      <c:valAx>
        <c:axId val="578669192"/>
        <c:scaling>
          <c:logBase val="10"/>
          <c:orientation val="minMax"/>
          <c:max val="30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67880"/>
        <c:crosses val="autoZero"/>
        <c:crossBetween val="midCat"/>
      </c:valAx>
      <c:valAx>
        <c:axId val="578667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6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(78.22)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3007108486439195"/>
                  <c:y val="0.152812044327792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17.364x</a:t>
                    </a:r>
                    <a:r>
                      <a:rPr lang="en-US" sz="1200" baseline="30000"/>
                      <a:t>0.1704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0.9767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992'!$B$6:$B$19</c:f>
              <c:numCache>
                <c:formatCode>General</c:formatCode>
                <c:ptCount val="14"/>
                <c:pt idx="0">
                  <c:v>280</c:v>
                </c:pt>
                <c:pt idx="1">
                  <c:v>260</c:v>
                </c:pt>
                <c:pt idx="2">
                  <c:v>240</c:v>
                </c:pt>
                <c:pt idx="3">
                  <c:v>220</c:v>
                </c:pt>
                <c:pt idx="4">
                  <c:v>200</c:v>
                </c:pt>
                <c:pt idx="5">
                  <c:v>180</c:v>
                </c:pt>
                <c:pt idx="6">
                  <c:v>160</c:v>
                </c:pt>
                <c:pt idx="7">
                  <c:v>140</c:v>
                </c:pt>
                <c:pt idx="8">
                  <c:v>120</c:v>
                </c:pt>
                <c:pt idx="9">
                  <c:v>100</c:v>
                </c:pt>
                <c:pt idx="10">
                  <c:v>80</c:v>
                </c:pt>
                <c:pt idx="11">
                  <c:v>60</c:v>
                </c:pt>
                <c:pt idx="12">
                  <c:v>40</c:v>
                </c:pt>
                <c:pt idx="13">
                  <c:v>20</c:v>
                </c:pt>
              </c:numCache>
            </c:numRef>
          </c:xVal>
          <c:yVal>
            <c:numRef>
              <c:f>'Collected Data Site 992'!$D$6:$D$19</c:f>
              <c:numCache>
                <c:formatCode>General</c:formatCode>
                <c:ptCount val="14"/>
                <c:pt idx="0">
                  <c:v>46.66</c:v>
                </c:pt>
                <c:pt idx="1">
                  <c:v>45.32</c:v>
                </c:pt>
                <c:pt idx="2">
                  <c:v>45.01</c:v>
                </c:pt>
                <c:pt idx="3">
                  <c:v>44.02</c:v>
                </c:pt>
                <c:pt idx="4">
                  <c:v>42.94</c:v>
                </c:pt>
                <c:pt idx="5">
                  <c:v>41.82</c:v>
                </c:pt>
                <c:pt idx="6">
                  <c:v>40.799999999999997</c:v>
                </c:pt>
                <c:pt idx="7">
                  <c:v>39.71</c:v>
                </c:pt>
                <c:pt idx="8">
                  <c:v>38.56</c:v>
                </c:pt>
                <c:pt idx="9">
                  <c:v>37.07</c:v>
                </c:pt>
                <c:pt idx="10">
                  <c:v>35.909999999999997</c:v>
                </c:pt>
                <c:pt idx="11">
                  <c:v>34.25</c:v>
                </c:pt>
                <c:pt idx="12">
                  <c:v>32.42</c:v>
                </c:pt>
                <c:pt idx="13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E8-427D-BC0C-DA89574B2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20896"/>
        <c:axId val="498321224"/>
      </c:scatterChart>
      <c:valAx>
        <c:axId val="498320896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21224"/>
        <c:crosses val="autoZero"/>
        <c:crossBetween val="midCat"/>
      </c:valAx>
      <c:valAx>
        <c:axId val="49832122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2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</a:t>
            </a:r>
            <a:r>
              <a:rPr lang="en-US" baseline="0"/>
              <a:t> vs Width (321.57)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3679790026246719E-2"/>
                  <c:y val="-0.113653032954214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5.5955x</a:t>
                    </a:r>
                    <a:r>
                      <a:rPr lang="en-US" sz="1200" baseline="30000"/>
                      <a:t>0.3936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0.5756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992'!$H$6:$H$19</c:f>
              <c:numCache>
                <c:formatCode>General</c:formatCode>
                <c:ptCount val="14"/>
                <c:pt idx="0">
                  <c:v>350</c:v>
                </c:pt>
                <c:pt idx="1">
                  <c:v>325</c:v>
                </c:pt>
                <c:pt idx="2">
                  <c:v>300</c:v>
                </c:pt>
                <c:pt idx="3">
                  <c:v>275</c:v>
                </c:pt>
                <c:pt idx="4">
                  <c:v>250</c:v>
                </c:pt>
                <c:pt idx="5">
                  <c:v>225</c:v>
                </c:pt>
                <c:pt idx="6">
                  <c:v>200</c:v>
                </c:pt>
                <c:pt idx="7">
                  <c:v>175</c:v>
                </c:pt>
                <c:pt idx="8">
                  <c:v>150</c:v>
                </c:pt>
                <c:pt idx="9">
                  <c:v>125</c:v>
                </c:pt>
                <c:pt idx="10">
                  <c:v>100</c:v>
                </c:pt>
                <c:pt idx="11">
                  <c:v>75</c:v>
                </c:pt>
                <c:pt idx="12">
                  <c:v>50</c:v>
                </c:pt>
                <c:pt idx="13">
                  <c:v>25</c:v>
                </c:pt>
              </c:numCache>
            </c:numRef>
          </c:xVal>
          <c:yVal>
            <c:numRef>
              <c:f>'Collected Data Site 992'!$J$6:$J$19</c:f>
              <c:numCache>
                <c:formatCode>General</c:formatCode>
                <c:ptCount val="14"/>
                <c:pt idx="0">
                  <c:v>100.08</c:v>
                </c:pt>
                <c:pt idx="1">
                  <c:v>77.400000000000006</c:v>
                </c:pt>
                <c:pt idx="2">
                  <c:v>66.849999999999994</c:v>
                </c:pt>
                <c:pt idx="3">
                  <c:v>40.64</c:v>
                </c:pt>
                <c:pt idx="4">
                  <c:v>39.26</c:v>
                </c:pt>
                <c:pt idx="5">
                  <c:v>38.18</c:v>
                </c:pt>
                <c:pt idx="6">
                  <c:v>36.82</c:v>
                </c:pt>
                <c:pt idx="7">
                  <c:v>35.07</c:v>
                </c:pt>
                <c:pt idx="8">
                  <c:v>33.81</c:v>
                </c:pt>
                <c:pt idx="9">
                  <c:v>32.659999999999997</c:v>
                </c:pt>
                <c:pt idx="10">
                  <c:v>30.94</c:v>
                </c:pt>
                <c:pt idx="11">
                  <c:v>29.16</c:v>
                </c:pt>
                <c:pt idx="12">
                  <c:v>28.01</c:v>
                </c:pt>
                <c:pt idx="13">
                  <c:v>26.54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5-4CBF-9B6C-28557191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49456"/>
        <c:axId val="551050112"/>
      </c:scatterChart>
      <c:valAx>
        <c:axId val="55104945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50112"/>
        <c:crosses val="autoZero"/>
        <c:crossBetween val="midCat"/>
      </c:valAx>
      <c:valAx>
        <c:axId val="55105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(483.86)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8001749781277344E-2"/>
                  <c:y val="0.200985345581802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16.545x</a:t>
                    </a:r>
                    <a:r>
                      <a:rPr lang="en-US" sz="1200" baseline="30000"/>
                      <a:t>0.1421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0.9684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992'!$N$6:$N$19</c:f>
              <c:numCache>
                <c:formatCode>General</c:formatCode>
                <c:ptCount val="14"/>
                <c:pt idx="0">
                  <c:v>280</c:v>
                </c:pt>
                <c:pt idx="1">
                  <c:v>260</c:v>
                </c:pt>
                <c:pt idx="2">
                  <c:v>240</c:v>
                </c:pt>
                <c:pt idx="3">
                  <c:v>220</c:v>
                </c:pt>
                <c:pt idx="4">
                  <c:v>200</c:v>
                </c:pt>
                <c:pt idx="5">
                  <c:v>180</c:v>
                </c:pt>
                <c:pt idx="6">
                  <c:v>160</c:v>
                </c:pt>
                <c:pt idx="7">
                  <c:v>140</c:v>
                </c:pt>
                <c:pt idx="8">
                  <c:v>120</c:v>
                </c:pt>
                <c:pt idx="9">
                  <c:v>100</c:v>
                </c:pt>
                <c:pt idx="10">
                  <c:v>80</c:v>
                </c:pt>
                <c:pt idx="11">
                  <c:v>60</c:v>
                </c:pt>
                <c:pt idx="12">
                  <c:v>40</c:v>
                </c:pt>
                <c:pt idx="13">
                  <c:v>20</c:v>
                </c:pt>
              </c:numCache>
            </c:numRef>
          </c:xVal>
          <c:yVal>
            <c:numRef>
              <c:f>'Collected Data Site 992'!$P$6:$P$19</c:f>
              <c:numCache>
                <c:formatCode>General</c:formatCode>
                <c:ptCount val="14"/>
                <c:pt idx="0">
                  <c:v>37.840000000000003</c:v>
                </c:pt>
                <c:pt idx="1">
                  <c:v>37.39</c:v>
                </c:pt>
                <c:pt idx="2">
                  <c:v>36.659999999999997</c:v>
                </c:pt>
                <c:pt idx="3">
                  <c:v>35.93</c:v>
                </c:pt>
                <c:pt idx="4">
                  <c:v>35.200000000000003</c:v>
                </c:pt>
                <c:pt idx="5">
                  <c:v>34.299999999999997</c:v>
                </c:pt>
                <c:pt idx="6">
                  <c:v>33.409999999999997</c:v>
                </c:pt>
                <c:pt idx="7">
                  <c:v>32.78</c:v>
                </c:pt>
                <c:pt idx="8">
                  <c:v>31.93</c:v>
                </c:pt>
                <c:pt idx="9">
                  <c:v>31.06</c:v>
                </c:pt>
                <c:pt idx="10">
                  <c:v>30.2</c:v>
                </c:pt>
                <c:pt idx="11">
                  <c:v>29.35</c:v>
                </c:pt>
                <c:pt idx="12">
                  <c:v>28.34</c:v>
                </c:pt>
                <c:pt idx="13">
                  <c:v>26.07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C6-4343-A9A4-2AEB5CAFA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95224"/>
        <c:axId val="491692928"/>
      </c:scatterChart>
      <c:valAx>
        <c:axId val="49169522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92928"/>
        <c:crosses val="autoZero"/>
        <c:crossBetween val="midCat"/>
      </c:valAx>
      <c:valAx>
        <c:axId val="49169292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9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</a:t>
            </a:r>
            <a:r>
              <a:rPr lang="en-US" baseline="0"/>
              <a:t> (842.61)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5171259842519685E-2"/>
                  <c:y val="0.191285724701079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21.052x</a:t>
                    </a:r>
                    <a:r>
                      <a:rPr lang="en-US" sz="1200" baseline="30000"/>
                      <a:t>0.1129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0.8187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992'!$T$6:$T$19</c:f>
              <c:numCache>
                <c:formatCode>General</c:formatCode>
                <c:ptCount val="14"/>
                <c:pt idx="0">
                  <c:v>250</c:v>
                </c:pt>
                <c:pt idx="1">
                  <c:v>230</c:v>
                </c:pt>
                <c:pt idx="2">
                  <c:v>210</c:v>
                </c:pt>
                <c:pt idx="3">
                  <c:v>190</c:v>
                </c:pt>
                <c:pt idx="4">
                  <c:v>170</c:v>
                </c:pt>
                <c:pt idx="5">
                  <c:v>150</c:v>
                </c:pt>
                <c:pt idx="6">
                  <c:v>130</c:v>
                </c:pt>
                <c:pt idx="7">
                  <c:v>110</c:v>
                </c:pt>
                <c:pt idx="8">
                  <c:v>90</c:v>
                </c:pt>
                <c:pt idx="9">
                  <c:v>70</c:v>
                </c:pt>
                <c:pt idx="10">
                  <c:v>50</c:v>
                </c:pt>
                <c:pt idx="11">
                  <c:v>30</c:v>
                </c:pt>
                <c:pt idx="12">
                  <c:v>10</c:v>
                </c:pt>
                <c:pt idx="13">
                  <c:v>5</c:v>
                </c:pt>
              </c:numCache>
            </c:numRef>
          </c:xVal>
          <c:yVal>
            <c:numRef>
              <c:f>'Collected Data Site 992'!$V$6:$V$19</c:f>
              <c:numCache>
                <c:formatCode>General</c:formatCode>
                <c:ptCount val="14"/>
                <c:pt idx="0">
                  <c:v>47.29</c:v>
                </c:pt>
                <c:pt idx="1">
                  <c:v>39.44</c:v>
                </c:pt>
                <c:pt idx="2">
                  <c:v>38.85</c:v>
                </c:pt>
                <c:pt idx="3">
                  <c:v>38.08</c:v>
                </c:pt>
                <c:pt idx="4">
                  <c:v>37.06</c:v>
                </c:pt>
                <c:pt idx="5">
                  <c:v>36.119999999999997</c:v>
                </c:pt>
                <c:pt idx="6">
                  <c:v>35.43</c:v>
                </c:pt>
                <c:pt idx="7">
                  <c:v>34.270000000000003</c:v>
                </c:pt>
                <c:pt idx="8">
                  <c:v>33.340000000000003</c:v>
                </c:pt>
                <c:pt idx="9">
                  <c:v>32.28</c:v>
                </c:pt>
                <c:pt idx="10">
                  <c:v>31.19</c:v>
                </c:pt>
                <c:pt idx="11">
                  <c:v>29.81</c:v>
                </c:pt>
                <c:pt idx="12">
                  <c:v>27.87</c:v>
                </c:pt>
                <c:pt idx="13">
                  <c:v>27.1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70-4793-8D3F-D84AA7B06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72168"/>
        <c:axId val="566672496"/>
      </c:scatterChart>
      <c:valAx>
        <c:axId val="566672168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72496"/>
        <c:crosses val="autoZero"/>
        <c:crossBetween val="midCat"/>
      </c:valAx>
      <c:valAx>
        <c:axId val="566672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7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(1149.52)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9923665791776031E-2"/>
                  <c:y val="0.202518591426071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22.561x</a:t>
                    </a:r>
                    <a:r>
                      <a:rPr lang="en-US" sz="1200" baseline="30000"/>
                      <a:t>0.1073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0.9694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992'!$B$27:$B$46</c:f>
              <c:numCache>
                <c:formatCode>General</c:formatCode>
                <c:ptCount val="20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  <c:pt idx="14">
                  <c:v>60</c:v>
                </c:pt>
                <c:pt idx="15">
                  <c:v>50</c:v>
                </c:pt>
                <c:pt idx="16">
                  <c:v>40</c:v>
                </c:pt>
                <c:pt idx="17">
                  <c:v>30</c:v>
                </c:pt>
                <c:pt idx="18">
                  <c:v>20</c:v>
                </c:pt>
                <c:pt idx="19">
                  <c:v>10</c:v>
                </c:pt>
              </c:numCache>
            </c:numRef>
          </c:xVal>
          <c:yVal>
            <c:numRef>
              <c:f>'Collected Data Site 992'!$D$27:$D$46</c:f>
              <c:numCache>
                <c:formatCode>General</c:formatCode>
                <c:ptCount val="20"/>
                <c:pt idx="0">
                  <c:v>41.24</c:v>
                </c:pt>
                <c:pt idx="1">
                  <c:v>40.340000000000003</c:v>
                </c:pt>
                <c:pt idx="2">
                  <c:v>39.799999999999997</c:v>
                </c:pt>
                <c:pt idx="3">
                  <c:v>39.450000000000003</c:v>
                </c:pt>
                <c:pt idx="4">
                  <c:v>39.14</c:v>
                </c:pt>
                <c:pt idx="5">
                  <c:v>38.71</c:v>
                </c:pt>
                <c:pt idx="6">
                  <c:v>38.32</c:v>
                </c:pt>
                <c:pt idx="7">
                  <c:v>37.950000000000003</c:v>
                </c:pt>
                <c:pt idx="8">
                  <c:v>37.479999999999997</c:v>
                </c:pt>
                <c:pt idx="9">
                  <c:v>37.04</c:v>
                </c:pt>
                <c:pt idx="10">
                  <c:v>36.6</c:v>
                </c:pt>
                <c:pt idx="11">
                  <c:v>36.119999999999997</c:v>
                </c:pt>
                <c:pt idx="12">
                  <c:v>35.53</c:v>
                </c:pt>
                <c:pt idx="13">
                  <c:v>35.04</c:v>
                </c:pt>
                <c:pt idx="14">
                  <c:v>34.450000000000003</c:v>
                </c:pt>
                <c:pt idx="15">
                  <c:v>33.840000000000003</c:v>
                </c:pt>
                <c:pt idx="16">
                  <c:v>33.119999999999997</c:v>
                </c:pt>
                <c:pt idx="17">
                  <c:v>32.35</c:v>
                </c:pt>
                <c:pt idx="18">
                  <c:v>31.3</c:v>
                </c:pt>
                <c:pt idx="19">
                  <c:v>29.94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EA-4A69-9BBB-014BB85D6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54672"/>
        <c:axId val="558355000"/>
      </c:scatterChart>
      <c:valAx>
        <c:axId val="558354672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55000"/>
        <c:crosses val="autoZero"/>
        <c:crossBetween val="midCat"/>
      </c:valAx>
      <c:valAx>
        <c:axId val="558355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5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(1320.11)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4385389326334207E-3"/>
                  <c:y val="-8.826224846894138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20.731x</a:t>
                    </a:r>
                    <a:r>
                      <a:rPr lang="en-US" sz="1200" baseline="30000"/>
                      <a:t>0.121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0.957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992'!$H$27:$H$41</c:f>
              <c:numCache>
                <c:formatCode>General</c:formatCode>
                <c:ptCount val="15"/>
                <c:pt idx="0">
                  <c:v>225</c:v>
                </c:pt>
                <c:pt idx="1">
                  <c:v>210</c:v>
                </c:pt>
                <c:pt idx="2">
                  <c:v>195</c:v>
                </c:pt>
                <c:pt idx="3">
                  <c:v>180</c:v>
                </c:pt>
                <c:pt idx="4">
                  <c:v>165</c:v>
                </c:pt>
                <c:pt idx="5">
                  <c:v>150</c:v>
                </c:pt>
                <c:pt idx="6">
                  <c:v>135</c:v>
                </c:pt>
                <c:pt idx="7">
                  <c:v>120</c:v>
                </c:pt>
                <c:pt idx="8">
                  <c:v>105</c:v>
                </c:pt>
                <c:pt idx="9">
                  <c:v>90</c:v>
                </c:pt>
                <c:pt idx="10">
                  <c:v>75</c:v>
                </c:pt>
                <c:pt idx="11">
                  <c:v>60</c:v>
                </c:pt>
                <c:pt idx="12">
                  <c:v>45</c:v>
                </c:pt>
                <c:pt idx="13">
                  <c:v>30</c:v>
                </c:pt>
                <c:pt idx="14">
                  <c:v>15</c:v>
                </c:pt>
              </c:numCache>
            </c:numRef>
          </c:xVal>
          <c:yVal>
            <c:numRef>
              <c:f>'Collected Data Site 992'!$J$27:$J$41</c:f>
              <c:numCache>
                <c:formatCode>General</c:formatCode>
                <c:ptCount val="15"/>
                <c:pt idx="0">
                  <c:v>41.58</c:v>
                </c:pt>
                <c:pt idx="1">
                  <c:v>40.590000000000003</c:v>
                </c:pt>
                <c:pt idx="2">
                  <c:v>39.450000000000003</c:v>
                </c:pt>
                <c:pt idx="3">
                  <c:v>39.08</c:v>
                </c:pt>
                <c:pt idx="4">
                  <c:v>38.380000000000003</c:v>
                </c:pt>
                <c:pt idx="5">
                  <c:v>37.770000000000003</c:v>
                </c:pt>
                <c:pt idx="6">
                  <c:v>37.11</c:v>
                </c:pt>
                <c:pt idx="7">
                  <c:v>36.44</c:v>
                </c:pt>
                <c:pt idx="8">
                  <c:v>35.78</c:v>
                </c:pt>
                <c:pt idx="9">
                  <c:v>35.049999999999997</c:v>
                </c:pt>
                <c:pt idx="10">
                  <c:v>34.4</c:v>
                </c:pt>
                <c:pt idx="11">
                  <c:v>33.4</c:v>
                </c:pt>
                <c:pt idx="12">
                  <c:v>32.479999999999997</c:v>
                </c:pt>
                <c:pt idx="13">
                  <c:v>31.29</c:v>
                </c:pt>
                <c:pt idx="14">
                  <c:v>29.9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02-4C0D-8BB0-A68B0AF9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78616"/>
        <c:axId val="558375336"/>
      </c:scatterChart>
      <c:valAx>
        <c:axId val="558378616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75336"/>
        <c:crosses val="autoZero"/>
        <c:crossBetween val="midCat"/>
      </c:valAx>
      <c:valAx>
        <c:axId val="55837533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7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(1482.76)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1901574803149602E-2"/>
                  <c:y val="0.141058982210557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13.967x</a:t>
                    </a:r>
                    <a:r>
                      <a:rPr lang="en-US" sz="1200" baseline="30000"/>
                      <a:t>0.2361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0.7184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992'!$N$27:$N$42</c:f>
              <c:numCache>
                <c:formatCode>General</c:formatCode>
                <c:ptCount val="16"/>
                <c:pt idx="0">
                  <c:v>235</c:v>
                </c:pt>
                <c:pt idx="1">
                  <c:v>225</c:v>
                </c:pt>
                <c:pt idx="2">
                  <c:v>210</c:v>
                </c:pt>
                <c:pt idx="3">
                  <c:v>195</c:v>
                </c:pt>
                <c:pt idx="4">
                  <c:v>180</c:v>
                </c:pt>
                <c:pt idx="5">
                  <c:v>165</c:v>
                </c:pt>
                <c:pt idx="6">
                  <c:v>150</c:v>
                </c:pt>
                <c:pt idx="7">
                  <c:v>135</c:v>
                </c:pt>
                <c:pt idx="8">
                  <c:v>120</c:v>
                </c:pt>
                <c:pt idx="9">
                  <c:v>105</c:v>
                </c:pt>
                <c:pt idx="10">
                  <c:v>90</c:v>
                </c:pt>
                <c:pt idx="11">
                  <c:v>75</c:v>
                </c:pt>
                <c:pt idx="12">
                  <c:v>60</c:v>
                </c:pt>
                <c:pt idx="13">
                  <c:v>45</c:v>
                </c:pt>
                <c:pt idx="14">
                  <c:v>30</c:v>
                </c:pt>
                <c:pt idx="15">
                  <c:v>15</c:v>
                </c:pt>
              </c:numCache>
            </c:numRef>
          </c:xVal>
          <c:yVal>
            <c:numRef>
              <c:f>'Collected Data Site 992'!$P$27:$P$42</c:f>
              <c:numCache>
                <c:formatCode>General</c:formatCode>
                <c:ptCount val="16"/>
                <c:pt idx="0">
                  <c:v>66.55</c:v>
                </c:pt>
                <c:pt idx="1">
                  <c:v>58.51</c:v>
                </c:pt>
                <c:pt idx="2">
                  <c:v>55.349999999999994</c:v>
                </c:pt>
                <c:pt idx="3">
                  <c:v>50.82</c:v>
                </c:pt>
                <c:pt idx="4">
                  <c:v>42.61</c:v>
                </c:pt>
                <c:pt idx="5">
                  <c:v>42</c:v>
                </c:pt>
                <c:pt idx="6">
                  <c:v>41.09</c:v>
                </c:pt>
                <c:pt idx="7">
                  <c:v>40.33</c:v>
                </c:pt>
                <c:pt idx="8">
                  <c:v>39.46</c:v>
                </c:pt>
                <c:pt idx="9">
                  <c:v>38.590000000000003</c:v>
                </c:pt>
                <c:pt idx="10">
                  <c:v>37.61</c:v>
                </c:pt>
                <c:pt idx="11">
                  <c:v>36.549999999999997</c:v>
                </c:pt>
                <c:pt idx="12">
                  <c:v>35.39</c:v>
                </c:pt>
                <c:pt idx="13">
                  <c:v>33.96</c:v>
                </c:pt>
                <c:pt idx="14">
                  <c:v>32.4</c:v>
                </c:pt>
                <c:pt idx="15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DC-49C1-993F-0C2CF9531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39000"/>
        <c:axId val="555141296"/>
      </c:scatterChart>
      <c:valAx>
        <c:axId val="5551390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1296"/>
        <c:crosses val="autoZero"/>
        <c:crossBetween val="midCat"/>
      </c:valAx>
      <c:valAx>
        <c:axId val="555141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3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</a:t>
            </a:r>
            <a:r>
              <a:rPr lang="en-US" baseline="0"/>
              <a:t> vs Depth (321.57)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8907480314960632E-2"/>
                  <c:y val="0.223994604841061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0.2795x</a:t>
                    </a:r>
                    <a:r>
                      <a:rPr lang="en-US" sz="1200" baseline="30000"/>
                      <a:t>0.5439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0.9958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992'!$H$6:$H$19</c:f>
              <c:numCache>
                <c:formatCode>General</c:formatCode>
                <c:ptCount val="14"/>
                <c:pt idx="0">
                  <c:v>350</c:v>
                </c:pt>
                <c:pt idx="1">
                  <c:v>325</c:v>
                </c:pt>
                <c:pt idx="2">
                  <c:v>300</c:v>
                </c:pt>
                <c:pt idx="3">
                  <c:v>275</c:v>
                </c:pt>
                <c:pt idx="4">
                  <c:v>250</c:v>
                </c:pt>
                <c:pt idx="5">
                  <c:v>225</c:v>
                </c:pt>
                <c:pt idx="6">
                  <c:v>200</c:v>
                </c:pt>
                <c:pt idx="7">
                  <c:v>175</c:v>
                </c:pt>
                <c:pt idx="8">
                  <c:v>150</c:v>
                </c:pt>
                <c:pt idx="9">
                  <c:v>125</c:v>
                </c:pt>
                <c:pt idx="10">
                  <c:v>100</c:v>
                </c:pt>
                <c:pt idx="11">
                  <c:v>75</c:v>
                </c:pt>
                <c:pt idx="12">
                  <c:v>50</c:v>
                </c:pt>
                <c:pt idx="13">
                  <c:v>25</c:v>
                </c:pt>
              </c:numCache>
            </c:numRef>
          </c:xVal>
          <c:yVal>
            <c:numRef>
              <c:f>'Collected Data Site 992'!$K$6:$K$19</c:f>
              <c:numCache>
                <c:formatCode>General</c:formatCode>
                <c:ptCount val="14"/>
                <c:pt idx="0">
                  <c:v>7.32</c:v>
                </c:pt>
                <c:pt idx="1">
                  <c:v>6.59</c:v>
                </c:pt>
                <c:pt idx="2">
                  <c:v>6.26</c:v>
                </c:pt>
                <c:pt idx="3">
                  <c:v>5.78</c:v>
                </c:pt>
                <c:pt idx="4">
                  <c:v>5.53</c:v>
                </c:pt>
                <c:pt idx="5">
                  <c:v>5.24</c:v>
                </c:pt>
                <c:pt idx="6">
                  <c:v>4.95</c:v>
                </c:pt>
                <c:pt idx="7">
                  <c:v>4.53</c:v>
                </c:pt>
                <c:pt idx="8">
                  <c:v>4.18</c:v>
                </c:pt>
                <c:pt idx="9">
                  <c:v>3.81</c:v>
                </c:pt>
                <c:pt idx="10">
                  <c:v>3.38</c:v>
                </c:pt>
                <c:pt idx="11">
                  <c:v>2.92</c:v>
                </c:pt>
                <c:pt idx="12">
                  <c:v>2.37</c:v>
                </c:pt>
                <c:pt idx="13">
                  <c:v>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B9-4933-A63A-5010CA42E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49456"/>
        <c:axId val="551050112"/>
      </c:scatterChart>
      <c:valAx>
        <c:axId val="55104945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50112"/>
        <c:crosses val="autoZero"/>
        <c:crossBetween val="midCat"/>
      </c:valAx>
      <c:valAx>
        <c:axId val="55105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(1724.7)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534186351706036"/>
                  <c:y val="0.131472003499562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22.306x</a:t>
                    </a:r>
                    <a:r>
                      <a:rPr lang="en-US" sz="1200" baseline="30000"/>
                      <a:t>0.0921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0.728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992'!$T$27:$T$45</c:f>
              <c:numCache>
                <c:formatCode>General</c:formatCode>
                <c:ptCount val="19"/>
                <c:pt idx="0">
                  <c:v>190</c:v>
                </c:pt>
                <c:pt idx="1">
                  <c:v>180</c:v>
                </c:pt>
                <c:pt idx="2">
                  <c:v>170</c:v>
                </c:pt>
                <c:pt idx="3">
                  <c:v>160</c:v>
                </c:pt>
                <c:pt idx="4">
                  <c:v>150</c:v>
                </c:pt>
                <c:pt idx="5">
                  <c:v>140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70</c:v>
                </c:pt>
                <c:pt idx="13">
                  <c:v>60</c:v>
                </c:pt>
                <c:pt idx="14">
                  <c:v>50</c:v>
                </c:pt>
                <c:pt idx="15">
                  <c:v>40</c:v>
                </c:pt>
                <c:pt idx="16">
                  <c:v>30</c:v>
                </c:pt>
                <c:pt idx="17">
                  <c:v>20</c:v>
                </c:pt>
                <c:pt idx="18">
                  <c:v>10</c:v>
                </c:pt>
              </c:numCache>
            </c:numRef>
          </c:xVal>
          <c:yVal>
            <c:numRef>
              <c:f>'Collected Data Site 992'!$V$27:$V$45</c:f>
              <c:numCache>
                <c:formatCode>General</c:formatCode>
                <c:ptCount val="19"/>
                <c:pt idx="0">
                  <c:v>41.33</c:v>
                </c:pt>
                <c:pt idx="1">
                  <c:v>39.119999999999997</c:v>
                </c:pt>
                <c:pt idx="2">
                  <c:v>36.840000000000003</c:v>
                </c:pt>
                <c:pt idx="3">
                  <c:v>34.75</c:v>
                </c:pt>
                <c:pt idx="4">
                  <c:v>34.659999999999997</c:v>
                </c:pt>
                <c:pt idx="5">
                  <c:v>34.25</c:v>
                </c:pt>
                <c:pt idx="6">
                  <c:v>33.840000000000003</c:v>
                </c:pt>
                <c:pt idx="7">
                  <c:v>33.67</c:v>
                </c:pt>
                <c:pt idx="8">
                  <c:v>33.479999999999997</c:v>
                </c:pt>
                <c:pt idx="9">
                  <c:v>33.21</c:v>
                </c:pt>
                <c:pt idx="10">
                  <c:v>32.869999999999997</c:v>
                </c:pt>
                <c:pt idx="11">
                  <c:v>32.47</c:v>
                </c:pt>
                <c:pt idx="12">
                  <c:v>32.01</c:v>
                </c:pt>
                <c:pt idx="13">
                  <c:v>31.79</c:v>
                </c:pt>
                <c:pt idx="14">
                  <c:v>31.46</c:v>
                </c:pt>
                <c:pt idx="15">
                  <c:v>31.06</c:v>
                </c:pt>
                <c:pt idx="16">
                  <c:v>30.49</c:v>
                </c:pt>
                <c:pt idx="17">
                  <c:v>29.96</c:v>
                </c:pt>
                <c:pt idx="18">
                  <c:v>29.13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E-4ED9-BC0F-52608AE95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82488"/>
        <c:axId val="566585112"/>
      </c:scatterChart>
      <c:valAx>
        <c:axId val="566582488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85112"/>
        <c:crosses val="autoZero"/>
        <c:crossBetween val="midCat"/>
      </c:valAx>
      <c:valAx>
        <c:axId val="566585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8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(1877.94)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4899387576552925E-3"/>
                  <c:y val="0.131320720326625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13.778x</a:t>
                    </a:r>
                    <a:r>
                      <a:rPr lang="en-US" sz="1200" baseline="30000"/>
                      <a:t>0.2304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0.6152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992'!$B$54:$B$74</c:f>
              <c:numCache>
                <c:formatCode>General</c:formatCode>
                <c:ptCount val="21"/>
                <c:pt idx="0">
                  <c:v>210</c:v>
                </c:pt>
                <c:pt idx="1">
                  <c:v>200</c:v>
                </c:pt>
                <c:pt idx="2">
                  <c:v>190</c:v>
                </c:pt>
                <c:pt idx="3">
                  <c:v>180</c:v>
                </c:pt>
                <c:pt idx="4">
                  <c:v>170</c:v>
                </c:pt>
                <c:pt idx="5">
                  <c:v>160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100</c:v>
                </c:pt>
                <c:pt idx="12">
                  <c:v>90</c:v>
                </c:pt>
                <c:pt idx="13">
                  <c:v>80</c:v>
                </c:pt>
                <c:pt idx="14">
                  <c:v>70</c:v>
                </c:pt>
                <c:pt idx="15">
                  <c:v>60</c:v>
                </c:pt>
                <c:pt idx="16">
                  <c:v>50</c:v>
                </c:pt>
                <c:pt idx="17">
                  <c:v>40</c:v>
                </c:pt>
                <c:pt idx="18">
                  <c:v>30</c:v>
                </c:pt>
                <c:pt idx="19">
                  <c:v>20</c:v>
                </c:pt>
                <c:pt idx="20">
                  <c:v>10</c:v>
                </c:pt>
              </c:numCache>
            </c:numRef>
          </c:xVal>
          <c:yVal>
            <c:numRef>
              <c:f>'Collected Data Site 992'!$D$54:$D$74</c:f>
              <c:numCache>
                <c:formatCode>General</c:formatCode>
                <c:ptCount val="21"/>
                <c:pt idx="0">
                  <c:v>73.59</c:v>
                </c:pt>
                <c:pt idx="1">
                  <c:v>67.31</c:v>
                </c:pt>
                <c:pt idx="2">
                  <c:v>48.46</c:v>
                </c:pt>
                <c:pt idx="3">
                  <c:v>41.3</c:v>
                </c:pt>
                <c:pt idx="4">
                  <c:v>40.619999999999997</c:v>
                </c:pt>
                <c:pt idx="5">
                  <c:v>39.99</c:v>
                </c:pt>
                <c:pt idx="6">
                  <c:v>39.33</c:v>
                </c:pt>
                <c:pt idx="7">
                  <c:v>38.770000000000003</c:v>
                </c:pt>
                <c:pt idx="8">
                  <c:v>38.380000000000003</c:v>
                </c:pt>
                <c:pt idx="9">
                  <c:v>37.94</c:v>
                </c:pt>
                <c:pt idx="10">
                  <c:v>37.5</c:v>
                </c:pt>
                <c:pt idx="11">
                  <c:v>36.96</c:v>
                </c:pt>
                <c:pt idx="12">
                  <c:v>36.51</c:v>
                </c:pt>
                <c:pt idx="13">
                  <c:v>35.74</c:v>
                </c:pt>
                <c:pt idx="14">
                  <c:v>35.15</c:v>
                </c:pt>
                <c:pt idx="15">
                  <c:v>34.520000000000003</c:v>
                </c:pt>
                <c:pt idx="16">
                  <c:v>33.729999999999997</c:v>
                </c:pt>
                <c:pt idx="17">
                  <c:v>32.85</c:v>
                </c:pt>
                <c:pt idx="18">
                  <c:v>31.27</c:v>
                </c:pt>
                <c:pt idx="19">
                  <c:v>27.64</c:v>
                </c:pt>
                <c:pt idx="20">
                  <c:v>26.75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37-425D-BCD1-9F3ABD80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83728"/>
        <c:axId val="558081104"/>
      </c:scatterChart>
      <c:valAx>
        <c:axId val="558083728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81104"/>
        <c:crosses val="autoZero"/>
        <c:crossBetween val="midCat"/>
      </c:valAx>
      <c:valAx>
        <c:axId val="558081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8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(2004.39)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978915135608049E-2"/>
                  <c:y val="0.160861038203557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19.919x</a:t>
                    </a:r>
                    <a:r>
                      <a:rPr lang="en-US" sz="1200" baseline="30000"/>
                      <a:t>0.1639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0.4499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992'!$H$54:$H$74</c:f>
              <c:numCache>
                <c:formatCode>General</c:formatCode>
                <c:ptCount val="21"/>
                <c:pt idx="0">
                  <c:v>210</c:v>
                </c:pt>
                <c:pt idx="1">
                  <c:v>200</c:v>
                </c:pt>
                <c:pt idx="2">
                  <c:v>190</c:v>
                </c:pt>
                <c:pt idx="3">
                  <c:v>180</c:v>
                </c:pt>
                <c:pt idx="4">
                  <c:v>170</c:v>
                </c:pt>
                <c:pt idx="5">
                  <c:v>160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100</c:v>
                </c:pt>
                <c:pt idx="12">
                  <c:v>90</c:v>
                </c:pt>
                <c:pt idx="13">
                  <c:v>80</c:v>
                </c:pt>
                <c:pt idx="14">
                  <c:v>70</c:v>
                </c:pt>
                <c:pt idx="15">
                  <c:v>60</c:v>
                </c:pt>
                <c:pt idx="16">
                  <c:v>50</c:v>
                </c:pt>
                <c:pt idx="17">
                  <c:v>40</c:v>
                </c:pt>
                <c:pt idx="18">
                  <c:v>30</c:v>
                </c:pt>
                <c:pt idx="19">
                  <c:v>20</c:v>
                </c:pt>
                <c:pt idx="20">
                  <c:v>10</c:v>
                </c:pt>
              </c:numCache>
            </c:numRef>
          </c:xVal>
          <c:yVal>
            <c:numRef>
              <c:f>'Collected Data Site 992'!$J$54:$J$74</c:f>
              <c:numCache>
                <c:formatCode>General</c:formatCode>
                <c:ptCount val="21"/>
                <c:pt idx="0">
                  <c:v>74.740000000000009</c:v>
                </c:pt>
                <c:pt idx="1">
                  <c:v>63.79</c:v>
                </c:pt>
                <c:pt idx="2">
                  <c:v>55.620000000000005</c:v>
                </c:pt>
                <c:pt idx="3">
                  <c:v>42.12</c:v>
                </c:pt>
                <c:pt idx="4">
                  <c:v>41.92</c:v>
                </c:pt>
                <c:pt idx="5">
                  <c:v>41.37</c:v>
                </c:pt>
                <c:pt idx="6">
                  <c:v>41.1</c:v>
                </c:pt>
                <c:pt idx="7">
                  <c:v>40.659999999999997</c:v>
                </c:pt>
                <c:pt idx="8">
                  <c:v>40.33</c:v>
                </c:pt>
                <c:pt idx="9">
                  <c:v>39.94</c:v>
                </c:pt>
                <c:pt idx="10">
                  <c:v>39.72</c:v>
                </c:pt>
                <c:pt idx="11">
                  <c:v>39.07</c:v>
                </c:pt>
                <c:pt idx="12">
                  <c:v>38.67</c:v>
                </c:pt>
                <c:pt idx="13">
                  <c:v>38.17</c:v>
                </c:pt>
                <c:pt idx="14">
                  <c:v>37.770000000000003</c:v>
                </c:pt>
                <c:pt idx="15">
                  <c:v>37.090000000000003</c:v>
                </c:pt>
                <c:pt idx="16">
                  <c:v>36.619999999999997</c:v>
                </c:pt>
                <c:pt idx="17">
                  <c:v>35.89</c:v>
                </c:pt>
                <c:pt idx="18">
                  <c:v>35.04</c:v>
                </c:pt>
                <c:pt idx="19">
                  <c:v>34.24</c:v>
                </c:pt>
                <c:pt idx="20">
                  <c:v>34.24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F6-47A7-8157-0938E8FF3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14896"/>
        <c:axId val="587813912"/>
      </c:scatterChart>
      <c:valAx>
        <c:axId val="58781489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13912"/>
        <c:crosses val="autoZero"/>
        <c:crossBetween val="midCat"/>
      </c:valAx>
      <c:valAx>
        <c:axId val="587813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(2125.59)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9728718285214351"/>
                  <c:y val="-6.71846748323126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11.801x</a:t>
                    </a:r>
                    <a:r>
                      <a:rPr lang="en-US" sz="1200" baseline="30000"/>
                      <a:t>0.2964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0.4402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992'!$N$54:$N$69</c:f>
              <c:numCache>
                <c:formatCode>General</c:formatCode>
                <c:ptCount val="16"/>
                <c:pt idx="0">
                  <c:v>230</c:v>
                </c:pt>
                <c:pt idx="1">
                  <c:v>215</c:v>
                </c:pt>
                <c:pt idx="2">
                  <c:v>200</c:v>
                </c:pt>
                <c:pt idx="3">
                  <c:v>185</c:v>
                </c:pt>
                <c:pt idx="4">
                  <c:v>170</c:v>
                </c:pt>
                <c:pt idx="5">
                  <c:v>155</c:v>
                </c:pt>
                <c:pt idx="6">
                  <c:v>140</c:v>
                </c:pt>
                <c:pt idx="7">
                  <c:v>125</c:v>
                </c:pt>
                <c:pt idx="8">
                  <c:v>110</c:v>
                </c:pt>
                <c:pt idx="9">
                  <c:v>95</c:v>
                </c:pt>
                <c:pt idx="10">
                  <c:v>80</c:v>
                </c:pt>
                <c:pt idx="11">
                  <c:v>65</c:v>
                </c:pt>
                <c:pt idx="12">
                  <c:v>50</c:v>
                </c:pt>
                <c:pt idx="13">
                  <c:v>35</c:v>
                </c:pt>
                <c:pt idx="14">
                  <c:v>20</c:v>
                </c:pt>
                <c:pt idx="15">
                  <c:v>5</c:v>
                </c:pt>
              </c:numCache>
            </c:numRef>
          </c:xVal>
          <c:yVal>
            <c:numRef>
              <c:f>'Collected Data Site 992'!$P$54:$P$69</c:f>
              <c:numCache>
                <c:formatCode>General</c:formatCode>
                <c:ptCount val="16"/>
                <c:pt idx="0">
                  <c:v>111.99000000000001</c:v>
                </c:pt>
                <c:pt idx="1">
                  <c:v>100.41</c:v>
                </c:pt>
                <c:pt idx="2">
                  <c:v>89.02000000000001</c:v>
                </c:pt>
                <c:pt idx="3">
                  <c:v>64.410000000000011</c:v>
                </c:pt>
                <c:pt idx="4">
                  <c:v>54.97</c:v>
                </c:pt>
                <c:pt idx="5">
                  <c:v>37.04</c:v>
                </c:pt>
                <c:pt idx="6">
                  <c:v>36.200000000000003</c:v>
                </c:pt>
                <c:pt idx="7">
                  <c:v>36.090000000000003</c:v>
                </c:pt>
                <c:pt idx="8">
                  <c:v>35.36</c:v>
                </c:pt>
                <c:pt idx="9">
                  <c:v>34.770000000000003</c:v>
                </c:pt>
                <c:pt idx="10">
                  <c:v>33.58</c:v>
                </c:pt>
                <c:pt idx="11">
                  <c:v>33.07</c:v>
                </c:pt>
                <c:pt idx="12">
                  <c:v>32.119999999999997</c:v>
                </c:pt>
                <c:pt idx="13">
                  <c:v>31.09</c:v>
                </c:pt>
                <c:pt idx="14">
                  <c:v>29.8</c:v>
                </c:pt>
                <c:pt idx="15">
                  <c:v>29.29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91-4B1C-8895-07AC83D1A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61888"/>
        <c:axId val="558357296"/>
      </c:scatterChart>
      <c:valAx>
        <c:axId val="558361888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57296"/>
        <c:crosses val="autoZero"/>
        <c:crossBetween val="midCat"/>
      </c:valAx>
      <c:valAx>
        <c:axId val="558357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(2257.55)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116841644794401"/>
                  <c:y val="-1.230643044619422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9.1819x</a:t>
                    </a:r>
                    <a:r>
                      <a:rPr lang="en-US" sz="1200" baseline="30000"/>
                      <a:t>0.5454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0.9273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992'!$T$54:$T$70</c:f>
              <c:numCache>
                <c:formatCode>General</c:formatCode>
                <c:ptCount val="17"/>
                <c:pt idx="0">
                  <c:v>250</c:v>
                </c:pt>
                <c:pt idx="1">
                  <c:v>235</c:v>
                </c:pt>
                <c:pt idx="2">
                  <c:v>220</c:v>
                </c:pt>
                <c:pt idx="3">
                  <c:v>205</c:v>
                </c:pt>
                <c:pt idx="4">
                  <c:v>190</c:v>
                </c:pt>
                <c:pt idx="5">
                  <c:v>175</c:v>
                </c:pt>
                <c:pt idx="6">
                  <c:v>160</c:v>
                </c:pt>
                <c:pt idx="7">
                  <c:v>145</c:v>
                </c:pt>
                <c:pt idx="8">
                  <c:v>130</c:v>
                </c:pt>
                <c:pt idx="9">
                  <c:v>115</c:v>
                </c:pt>
                <c:pt idx="10">
                  <c:v>100</c:v>
                </c:pt>
                <c:pt idx="11">
                  <c:v>85</c:v>
                </c:pt>
                <c:pt idx="12">
                  <c:v>70</c:v>
                </c:pt>
                <c:pt idx="13">
                  <c:v>55</c:v>
                </c:pt>
                <c:pt idx="14">
                  <c:v>40</c:v>
                </c:pt>
                <c:pt idx="15">
                  <c:v>25</c:v>
                </c:pt>
                <c:pt idx="16">
                  <c:v>10</c:v>
                </c:pt>
              </c:numCache>
            </c:numRef>
          </c:xVal>
          <c:yVal>
            <c:numRef>
              <c:f>'Collected Data Site 992'!$V$54:$V$70</c:f>
              <c:numCache>
                <c:formatCode>General</c:formatCode>
                <c:ptCount val="17"/>
                <c:pt idx="0">
                  <c:v>224.79</c:v>
                </c:pt>
                <c:pt idx="1">
                  <c:v>204.27999999999997</c:v>
                </c:pt>
                <c:pt idx="2">
                  <c:v>193.21</c:v>
                </c:pt>
                <c:pt idx="3">
                  <c:v>182.89000000000001</c:v>
                </c:pt>
                <c:pt idx="4">
                  <c:v>175.07</c:v>
                </c:pt>
                <c:pt idx="5">
                  <c:v>163.45000000000002</c:v>
                </c:pt>
                <c:pt idx="6">
                  <c:v>148.57999999999998</c:v>
                </c:pt>
                <c:pt idx="7">
                  <c:v>138.39999999999998</c:v>
                </c:pt>
                <c:pt idx="8">
                  <c:v>111.82000000000001</c:v>
                </c:pt>
                <c:pt idx="9">
                  <c:v>98.67</c:v>
                </c:pt>
                <c:pt idx="10">
                  <c:v>94.59</c:v>
                </c:pt>
                <c:pt idx="11">
                  <c:v>91.679999999999993</c:v>
                </c:pt>
                <c:pt idx="12">
                  <c:v>79.739999999999995</c:v>
                </c:pt>
                <c:pt idx="13">
                  <c:v>75.010000000000005</c:v>
                </c:pt>
                <c:pt idx="14">
                  <c:v>65.09</c:v>
                </c:pt>
                <c:pt idx="15">
                  <c:v>56.59</c:v>
                </c:pt>
                <c:pt idx="16">
                  <c:v>40.72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A7-40FE-B076-764502BB1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69192"/>
        <c:axId val="578667880"/>
      </c:scatterChart>
      <c:valAx>
        <c:axId val="578669192"/>
        <c:scaling>
          <c:logBase val="10"/>
          <c:orientation val="minMax"/>
          <c:max val="30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67880"/>
        <c:crosses val="autoZero"/>
        <c:crossBetween val="midCat"/>
      </c:valAx>
      <c:valAx>
        <c:axId val="578667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6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(78.22)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026968503937008E-2"/>
                  <c:y val="0.192289661708953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4.1368x</a:t>
                    </a:r>
                    <a:r>
                      <a:rPr lang="en-US" sz="1200" baseline="30000"/>
                      <a:t>0.6872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0.9995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992'!$B$6:$B$19</c:f>
              <c:numCache>
                <c:formatCode>General</c:formatCode>
                <c:ptCount val="14"/>
                <c:pt idx="0">
                  <c:v>280</c:v>
                </c:pt>
                <c:pt idx="1">
                  <c:v>260</c:v>
                </c:pt>
                <c:pt idx="2">
                  <c:v>240</c:v>
                </c:pt>
                <c:pt idx="3">
                  <c:v>220</c:v>
                </c:pt>
                <c:pt idx="4">
                  <c:v>200</c:v>
                </c:pt>
                <c:pt idx="5">
                  <c:v>180</c:v>
                </c:pt>
                <c:pt idx="6">
                  <c:v>160</c:v>
                </c:pt>
                <c:pt idx="7">
                  <c:v>140</c:v>
                </c:pt>
                <c:pt idx="8">
                  <c:v>120</c:v>
                </c:pt>
                <c:pt idx="9">
                  <c:v>100</c:v>
                </c:pt>
                <c:pt idx="10">
                  <c:v>80</c:v>
                </c:pt>
                <c:pt idx="11">
                  <c:v>60</c:v>
                </c:pt>
                <c:pt idx="12">
                  <c:v>40</c:v>
                </c:pt>
                <c:pt idx="13">
                  <c:v>20</c:v>
                </c:pt>
              </c:numCache>
            </c:numRef>
          </c:xVal>
          <c:yVal>
            <c:numRef>
              <c:f>'Collected Data Site 992'!$C$6:$C$19</c:f>
              <c:numCache>
                <c:formatCode>General</c:formatCode>
                <c:ptCount val="14"/>
                <c:pt idx="0">
                  <c:v>200.96</c:v>
                </c:pt>
                <c:pt idx="1">
                  <c:v>190.06</c:v>
                </c:pt>
                <c:pt idx="2">
                  <c:v>180.87</c:v>
                </c:pt>
                <c:pt idx="3">
                  <c:v>170.86</c:v>
                </c:pt>
                <c:pt idx="4">
                  <c:v>159.63999999999999</c:v>
                </c:pt>
                <c:pt idx="5">
                  <c:v>144.77000000000001</c:v>
                </c:pt>
                <c:pt idx="6">
                  <c:v>133.13</c:v>
                </c:pt>
                <c:pt idx="7">
                  <c:v>122.24</c:v>
                </c:pt>
                <c:pt idx="8">
                  <c:v>110.19</c:v>
                </c:pt>
                <c:pt idx="9">
                  <c:v>96.76</c:v>
                </c:pt>
                <c:pt idx="10">
                  <c:v>83.13</c:v>
                </c:pt>
                <c:pt idx="11">
                  <c:v>68.709999999999994</c:v>
                </c:pt>
                <c:pt idx="12">
                  <c:v>52.15</c:v>
                </c:pt>
                <c:pt idx="13">
                  <c:v>33.06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6E-47F3-A065-2A259150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20896"/>
        <c:axId val="498321224"/>
      </c:scatterChart>
      <c:valAx>
        <c:axId val="498320896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21224"/>
        <c:crosses val="autoZero"/>
        <c:crossBetween val="midCat"/>
      </c:valAx>
      <c:valAx>
        <c:axId val="49832122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2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</a:t>
            </a:r>
            <a:r>
              <a:rPr lang="en-US" baseline="0"/>
              <a:t> vs Area (321.57)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132020997375327"/>
                  <c:y val="3.09590988626421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3.7458x</a:t>
                    </a:r>
                    <a:r>
                      <a:rPr lang="en-US" sz="1200" baseline="30000"/>
                      <a:t>0.6934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0.9711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992'!$H$6:$H$19</c:f>
              <c:numCache>
                <c:formatCode>General</c:formatCode>
                <c:ptCount val="14"/>
                <c:pt idx="0">
                  <c:v>350</c:v>
                </c:pt>
                <c:pt idx="1">
                  <c:v>325</c:v>
                </c:pt>
                <c:pt idx="2">
                  <c:v>300</c:v>
                </c:pt>
                <c:pt idx="3">
                  <c:v>275</c:v>
                </c:pt>
                <c:pt idx="4">
                  <c:v>250</c:v>
                </c:pt>
                <c:pt idx="5">
                  <c:v>225</c:v>
                </c:pt>
                <c:pt idx="6">
                  <c:v>200</c:v>
                </c:pt>
                <c:pt idx="7">
                  <c:v>175</c:v>
                </c:pt>
                <c:pt idx="8">
                  <c:v>150</c:v>
                </c:pt>
                <c:pt idx="9">
                  <c:v>125</c:v>
                </c:pt>
                <c:pt idx="10">
                  <c:v>100</c:v>
                </c:pt>
                <c:pt idx="11">
                  <c:v>75</c:v>
                </c:pt>
                <c:pt idx="12">
                  <c:v>50</c:v>
                </c:pt>
                <c:pt idx="13">
                  <c:v>25</c:v>
                </c:pt>
              </c:numCache>
            </c:numRef>
          </c:xVal>
          <c:yVal>
            <c:numRef>
              <c:f>'Collected Data Site 992'!$I$6:$I$19</c:f>
              <c:numCache>
                <c:formatCode>General</c:formatCode>
                <c:ptCount val="14"/>
                <c:pt idx="0">
                  <c:v>285.31</c:v>
                </c:pt>
                <c:pt idx="1">
                  <c:v>218.93</c:v>
                </c:pt>
                <c:pt idx="2">
                  <c:v>195.84</c:v>
                </c:pt>
                <c:pt idx="3">
                  <c:v>173.75</c:v>
                </c:pt>
                <c:pt idx="4">
                  <c:v>162.93</c:v>
                </c:pt>
                <c:pt idx="5">
                  <c:v>151.51</c:v>
                </c:pt>
                <c:pt idx="6">
                  <c:v>140.56</c:v>
                </c:pt>
                <c:pt idx="7">
                  <c:v>125.63</c:v>
                </c:pt>
                <c:pt idx="8">
                  <c:v>113.69</c:v>
                </c:pt>
                <c:pt idx="9">
                  <c:v>101.1</c:v>
                </c:pt>
                <c:pt idx="10">
                  <c:v>87.82</c:v>
                </c:pt>
                <c:pt idx="11">
                  <c:v>73.53</c:v>
                </c:pt>
                <c:pt idx="12">
                  <c:v>58.09</c:v>
                </c:pt>
                <c:pt idx="13">
                  <c:v>38.380000000000003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FF-42F5-B4BD-7718D7552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49456"/>
        <c:axId val="551050112"/>
      </c:scatterChart>
      <c:valAx>
        <c:axId val="55104945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50112"/>
        <c:crosses val="autoZero"/>
        <c:crossBetween val="midCat"/>
      </c:valAx>
      <c:valAx>
        <c:axId val="55105011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(483.86)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1380796150481193E-2"/>
                  <c:y val="0.12835265383493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5.0184x</a:t>
                    </a:r>
                    <a:r>
                      <a:rPr lang="en-US" sz="1200" baseline="30000"/>
                      <a:t>0.6272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0.9992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992'!$N$6:$N$19</c:f>
              <c:numCache>
                <c:formatCode>General</c:formatCode>
                <c:ptCount val="14"/>
                <c:pt idx="0">
                  <c:v>280</c:v>
                </c:pt>
                <c:pt idx="1">
                  <c:v>260</c:v>
                </c:pt>
                <c:pt idx="2">
                  <c:v>240</c:v>
                </c:pt>
                <c:pt idx="3">
                  <c:v>220</c:v>
                </c:pt>
                <c:pt idx="4">
                  <c:v>200</c:v>
                </c:pt>
                <c:pt idx="5">
                  <c:v>180</c:v>
                </c:pt>
                <c:pt idx="6">
                  <c:v>160</c:v>
                </c:pt>
                <c:pt idx="7">
                  <c:v>140</c:v>
                </c:pt>
                <c:pt idx="8">
                  <c:v>120</c:v>
                </c:pt>
                <c:pt idx="9">
                  <c:v>100</c:v>
                </c:pt>
                <c:pt idx="10">
                  <c:v>80</c:v>
                </c:pt>
                <c:pt idx="11">
                  <c:v>60</c:v>
                </c:pt>
                <c:pt idx="12">
                  <c:v>40</c:v>
                </c:pt>
                <c:pt idx="13">
                  <c:v>20</c:v>
                </c:pt>
              </c:numCache>
            </c:numRef>
          </c:xVal>
          <c:yVal>
            <c:numRef>
              <c:f>'Collected Data Site 992'!$O$6:$O$19</c:f>
              <c:numCache>
                <c:formatCode>General</c:formatCode>
                <c:ptCount val="14"/>
                <c:pt idx="0">
                  <c:v>174.18</c:v>
                </c:pt>
                <c:pt idx="1">
                  <c:v>166.11</c:v>
                </c:pt>
                <c:pt idx="2">
                  <c:v>157.84</c:v>
                </c:pt>
                <c:pt idx="3">
                  <c:v>149.54</c:v>
                </c:pt>
                <c:pt idx="4">
                  <c:v>141.1</c:v>
                </c:pt>
                <c:pt idx="5">
                  <c:v>128.54</c:v>
                </c:pt>
                <c:pt idx="6">
                  <c:v>119.76</c:v>
                </c:pt>
                <c:pt idx="7">
                  <c:v>109.98</c:v>
                </c:pt>
                <c:pt idx="8">
                  <c:v>99.6</c:v>
                </c:pt>
                <c:pt idx="9">
                  <c:v>88.9</c:v>
                </c:pt>
                <c:pt idx="10">
                  <c:v>77.849999999999994</c:v>
                </c:pt>
                <c:pt idx="11">
                  <c:v>64.89</c:v>
                </c:pt>
                <c:pt idx="12">
                  <c:v>50.47</c:v>
                </c:pt>
                <c:pt idx="13">
                  <c:v>33.74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1-4111-BF24-4F6D6CAE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95224"/>
        <c:axId val="491692928"/>
      </c:scatterChart>
      <c:valAx>
        <c:axId val="49169522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92928"/>
        <c:crosses val="autoZero"/>
        <c:crossBetween val="midCat"/>
      </c:valAx>
      <c:valAx>
        <c:axId val="49169292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9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</a:t>
            </a:r>
            <a:r>
              <a:rPr lang="en-US" baseline="0"/>
              <a:t> (842.61)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3930446194225722E-2"/>
                  <c:y val="-6.888560804899387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7.3368x</a:t>
                    </a:r>
                    <a:r>
                      <a:rPr lang="en-US" sz="1200" baseline="30000"/>
                      <a:t>0.5749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992'!$T$6:$T$19</c:f>
              <c:numCache>
                <c:formatCode>General</c:formatCode>
                <c:ptCount val="14"/>
                <c:pt idx="0">
                  <c:v>250</c:v>
                </c:pt>
                <c:pt idx="1">
                  <c:v>230</c:v>
                </c:pt>
                <c:pt idx="2">
                  <c:v>210</c:v>
                </c:pt>
                <c:pt idx="3">
                  <c:v>190</c:v>
                </c:pt>
                <c:pt idx="4">
                  <c:v>170</c:v>
                </c:pt>
                <c:pt idx="5">
                  <c:v>150</c:v>
                </c:pt>
                <c:pt idx="6">
                  <c:v>130</c:v>
                </c:pt>
                <c:pt idx="7">
                  <c:v>110</c:v>
                </c:pt>
                <c:pt idx="8">
                  <c:v>90</c:v>
                </c:pt>
                <c:pt idx="9">
                  <c:v>70</c:v>
                </c:pt>
                <c:pt idx="10">
                  <c:v>50</c:v>
                </c:pt>
                <c:pt idx="11">
                  <c:v>30</c:v>
                </c:pt>
                <c:pt idx="12">
                  <c:v>10</c:v>
                </c:pt>
                <c:pt idx="13">
                  <c:v>5</c:v>
                </c:pt>
              </c:numCache>
            </c:numRef>
          </c:xVal>
          <c:yVal>
            <c:numRef>
              <c:f>'Collected Data Site 992'!$U$6:$U$19</c:f>
              <c:numCache>
                <c:formatCode>General</c:formatCode>
                <c:ptCount val="14"/>
                <c:pt idx="0">
                  <c:v>182.60000000000002</c:v>
                </c:pt>
                <c:pt idx="1">
                  <c:v>172.55</c:v>
                </c:pt>
                <c:pt idx="2">
                  <c:v>163.07</c:v>
                </c:pt>
                <c:pt idx="3">
                  <c:v>153.83000000000001</c:v>
                </c:pt>
                <c:pt idx="4">
                  <c:v>140.41</c:v>
                </c:pt>
                <c:pt idx="5">
                  <c:v>129.30000000000001</c:v>
                </c:pt>
                <c:pt idx="6">
                  <c:v>118.44</c:v>
                </c:pt>
                <c:pt idx="7">
                  <c:v>106.92</c:v>
                </c:pt>
                <c:pt idx="8">
                  <c:v>94.98</c:v>
                </c:pt>
                <c:pt idx="9">
                  <c:v>82.06</c:v>
                </c:pt>
                <c:pt idx="10">
                  <c:v>66.959999999999994</c:v>
                </c:pt>
                <c:pt idx="11">
                  <c:v>49.86</c:v>
                </c:pt>
                <c:pt idx="12">
                  <c:v>27.67</c:v>
                </c:pt>
                <c:pt idx="13">
                  <c:v>19.559999999999999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97-41E8-89BE-E21236401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72168"/>
        <c:axId val="566672496"/>
      </c:scatterChart>
      <c:valAx>
        <c:axId val="566672168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72496"/>
        <c:crosses val="autoZero"/>
        <c:crossBetween val="midCat"/>
      </c:valAx>
      <c:valAx>
        <c:axId val="566672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7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(1149.52)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7701443569553807E-2"/>
                  <c:y val="0.183442694663167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9.0296x</a:t>
                    </a:r>
                    <a:r>
                      <a:rPr lang="en-US" sz="1200" baseline="30000"/>
                      <a:t>0.5552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992'!$B$27:$B$46</c:f>
              <c:numCache>
                <c:formatCode>General</c:formatCode>
                <c:ptCount val="20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  <c:pt idx="14">
                  <c:v>60</c:v>
                </c:pt>
                <c:pt idx="15">
                  <c:v>50</c:v>
                </c:pt>
                <c:pt idx="16">
                  <c:v>40</c:v>
                </c:pt>
                <c:pt idx="17">
                  <c:v>30</c:v>
                </c:pt>
                <c:pt idx="18">
                  <c:v>20</c:v>
                </c:pt>
                <c:pt idx="19">
                  <c:v>10</c:v>
                </c:pt>
              </c:numCache>
            </c:numRef>
          </c:xVal>
          <c:yVal>
            <c:numRef>
              <c:f>'Collected Data Site 992'!$C$27:$C$46</c:f>
              <c:numCache>
                <c:formatCode>General</c:formatCode>
                <c:ptCount val="20"/>
                <c:pt idx="0">
                  <c:v>177.13</c:v>
                </c:pt>
                <c:pt idx="1">
                  <c:v>171.79</c:v>
                </c:pt>
                <c:pt idx="2">
                  <c:v>162.6</c:v>
                </c:pt>
                <c:pt idx="3">
                  <c:v>157.52000000000001</c:v>
                </c:pt>
                <c:pt idx="4">
                  <c:v>152.15</c:v>
                </c:pt>
                <c:pt idx="5">
                  <c:v>146.41999999999999</c:v>
                </c:pt>
                <c:pt idx="6">
                  <c:v>139.93</c:v>
                </c:pt>
                <c:pt idx="7">
                  <c:v>134.36000000000001</c:v>
                </c:pt>
                <c:pt idx="8">
                  <c:v>128.53</c:v>
                </c:pt>
                <c:pt idx="9">
                  <c:v>121.49</c:v>
                </c:pt>
                <c:pt idx="10">
                  <c:v>115.32</c:v>
                </c:pt>
                <c:pt idx="11">
                  <c:v>108.58</c:v>
                </c:pt>
                <c:pt idx="12">
                  <c:v>101.19</c:v>
                </c:pt>
                <c:pt idx="13">
                  <c:v>93.77</c:v>
                </c:pt>
                <c:pt idx="14">
                  <c:v>86.22</c:v>
                </c:pt>
                <c:pt idx="15">
                  <c:v>77.64</c:v>
                </c:pt>
                <c:pt idx="16">
                  <c:v>68.69</c:v>
                </c:pt>
                <c:pt idx="17">
                  <c:v>58.73</c:v>
                </c:pt>
                <c:pt idx="18">
                  <c:v>47.72</c:v>
                </c:pt>
                <c:pt idx="19">
                  <c:v>34.21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2F-4556-A11F-A04931A91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54672"/>
        <c:axId val="558355000"/>
      </c:scatterChart>
      <c:valAx>
        <c:axId val="558354672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55000"/>
        <c:crosses val="autoZero"/>
        <c:crossBetween val="midCat"/>
      </c:valAx>
      <c:valAx>
        <c:axId val="558355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5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(483.86)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3204418197725285"/>
                  <c:y val="6.55110819480898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0.3548x</a:t>
                    </a:r>
                    <a:r>
                      <a:rPr lang="en-US" sz="1200" baseline="30000"/>
                      <a:t>0.5015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0.9995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992'!$N$6:$N$19</c:f>
              <c:numCache>
                <c:formatCode>General</c:formatCode>
                <c:ptCount val="14"/>
                <c:pt idx="0">
                  <c:v>280</c:v>
                </c:pt>
                <c:pt idx="1">
                  <c:v>260</c:v>
                </c:pt>
                <c:pt idx="2">
                  <c:v>240</c:v>
                </c:pt>
                <c:pt idx="3">
                  <c:v>220</c:v>
                </c:pt>
                <c:pt idx="4">
                  <c:v>200</c:v>
                </c:pt>
                <c:pt idx="5">
                  <c:v>180</c:v>
                </c:pt>
                <c:pt idx="6">
                  <c:v>160</c:v>
                </c:pt>
                <c:pt idx="7">
                  <c:v>140</c:v>
                </c:pt>
                <c:pt idx="8">
                  <c:v>120</c:v>
                </c:pt>
                <c:pt idx="9">
                  <c:v>100</c:v>
                </c:pt>
                <c:pt idx="10">
                  <c:v>80</c:v>
                </c:pt>
                <c:pt idx="11">
                  <c:v>60</c:v>
                </c:pt>
                <c:pt idx="12">
                  <c:v>40</c:v>
                </c:pt>
                <c:pt idx="13">
                  <c:v>20</c:v>
                </c:pt>
              </c:numCache>
            </c:numRef>
          </c:xVal>
          <c:yVal>
            <c:numRef>
              <c:f>'Collected Data Site 992'!$Q$6:$Q$19</c:f>
              <c:numCache>
                <c:formatCode>General</c:formatCode>
                <c:ptCount val="14"/>
                <c:pt idx="0">
                  <c:v>6.03</c:v>
                </c:pt>
                <c:pt idx="1">
                  <c:v>5.79</c:v>
                </c:pt>
                <c:pt idx="2">
                  <c:v>5.59</c:v>
                </c:pt>
                <c:pt idx="3">
                  <c:v>5.37</c:v>
                </c:pt>
                <c:pt idx="4">
                  <c:v>5.09</c:v>
                </c:pt>
                <c:pt idx="5">
                  <c:v>4.76</c:v>
                </c:pt>
                <c:pt idx="6">
                  <c:v>4.4800000000000004</c:v>
                </c:pt>
                <c:pt idx="7">
                  <c:v>4.21</c:v>
                </c:pt>
                <c:pt idx="8">
                  <c:v>3.9</c:v>
                </c:pt>
                <c:pt idx="9">
                  <c:v>3.54</c:v>
                </c:pt>
                <c:pt idx="10">
                  <c:v>3.18</c:v>
                </c:pt>
                <c:pt idx="11">
                  <c:v>2.73</c:v>
                </c:pt>
                <c:pt idx="12">
                  <c:v>2.2599999999999998</c:v>
                </c:pt>
                <c:pt idx="13">
                  <c:v>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E-4E3F-A88A-6D43CF577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95224"/>
        <c:axId val="491692928"/>
      </c:scatterChart>
      <c:valAx>
        <c:axId val="49169522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92928"/>
        <c:crosses val="autoZero"/>
        <c:crossBetween val="midCat"/>
      </c:valAx>
      <c:valAx>
        <c:axId val="491692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9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(1320.11)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0152668416447944E-2"/>
                  <c:y val="-8.18525809273840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7.4768x</a:t>
                    </a:r>
                    <a:r>
                      <a:rPr lang="en-US" sz="1200" baseline="30000"/>
                      <a:t>0.5858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992'!$H$27:$H$41</c:f>
              <c:numCache>
                <c:formatCode>General</c:formatCode>
                <c:ptCount val="15"/>
                <c:pt idx="0">
                  <c:v>225</c:v>
                </c:pt>
                <c:pt idx="1">
                  <c:v>210</c:v>
                </c:pt>
                <c:pt idx="2">
                  <c:v>195</c:v>
                </c:pt>
                <c:pt idx="3">
                  <c:v>180</c:v>
                </c:pt>
                <c:pt idx="4">
                  <c:v>165</c:v>
                </c:pt>
                <c:pt idx="5">
                  <c:v>150</c:v>
                </c:pt>
                <c:pt idx="6">
                  <c:v>135</c:v>
                </c:pt>
                <c:pt idx="7">
                  <c:v>120</c:v>
                </c:pt>
                <c:pt idx="8">
                  <c:v>105</c:v>
                </c:pt>
                <c:pt idx="9">
                  <c:v>90</c:v>
                </c:pt>
                <c:pt idx="10">
                  <c:v>75</c:v>
                </c:pt>
                <c:pt idx="11">
                  <c:v>60</c:v>
                </c:pt>
                <c:pt idx="12">
                  <c:v>45</c:v>
                </c:pt>
                <c:pt idx="13">
                  <c:v>30</c:v>
                </c:pt>
                <c:pt idx="14">
                  <c:v>15</c:v>
                </c:pt>
              </c:numCache>
            </c:numRef>
          </c:xVal>
          <c:yVal>
            <c:numRef>
              <c:f>'Collected Data Site 992'!$I$27:$I$41</c:f>
              <c:numCache>
                <c:formatCode>General</c:formatCode>
                <c:ptCount val="15"/>
                <c:pt idx="0">
                  <c:v>182.5</c:v>
                </c:pt>
                <c:pt idx="1">
                  <c:v>175.2</c:v>
                </c:pt>
                <c:pt idx="2">
                  <c:v>167.43</c:v>
                </c:pt>
                <c:pt idx="3">
                  <c:v>156.94</c:v>
                </c:pt>
                <c:pt idx="4">
                  <c:v>148.38999999999999</c:v>
                </c:pt>
                <c:pt idx="5">
                  <c:v>139.75</c:v>
                </c:pt>
                <c:pt idx="6">
                  <c:v>131.11000000000001</c:v>
                </c:pt>
                <c:pt idx="7">
                  <c:v>121.92</c:v>
                </c:pt>
                <c:pt idx="8">
                  <c:v>112.95</c:v>
                </c:pt>
                <c:pt idx="9">
                  <c:v>102.63</c:v>
                </c:pt>
                <c:pt idx="10">
                  <c:v>92.53</c:v>
                </c:pt>
                <c:pt idx="11">
                  <c:v>81.16</c:v>
                </c:pt>
                <c:pt idx="12">
                  <c:v>68.77</c:v>
                </c:pt>
                <c:pt idx="13">
                  <c:v>54.71</c:v>
                </c:pt>
                <c:pt idx="14">
                  <c:v>37.76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53-4DFF-AA02-D71901C3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78616"/>
        <c:axId val="558375336"/>
      </c:scatterChart>
      <c:valAx>
        <c:axId val="558378616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75336"/>
        <c:crosses val="autoZero"/>
        <c:crossBetween val="midCat"/>
      </c:valAx>
      <c:valAx>
        <c:axId val="55837533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7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(1482.76)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4030730533683289"/>
                  <c:y val="0.170124671916010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7.6944x</a:t>
                    </a:r>
                    <a:r>
                      <a:rPr lang="en-US" sz="1200" baseline="30000"/>
                      <a:t>0.5969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0.9957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992'!$N$27:$N$42</c:f>
              <c:numCache>
                <c:formatCode>General</c:formatCode>
                <c:ptCount val="16"/>
                <c:pt idx="0">
                  <c:v>235</c:v>
                </c:pt>
                <c:pt idx="1">
                  <c:v>225</c:v>
                </c:pt>
                <c:pt idx="2">
                  <c:v>210</c:v>
                </c:pt>
                <c:pt idx="3">
                  <c:v>195</c:v>
                </c:pt>
                <c:pt idx="4">
                  <c:v>180</c:v>
                </c:pt>
                <c:pt idx="5">
                  <c:v>165</c:v>
                </c:pt>
                <c:pt idx="6">
                  <c:v>150</c:v>
                </c:pt>
                <c:pt idx="7">
                  <c:v>135</c:v>
                </c:pt>
                <c:pt idx="8">
                  <c:v>120</c:v>
                </c:pt>
                <c:pt idx="9">
                  <c:v>105</c:v>
                </c:pt>
                <c:pt idx="10">
                  <c:v>90</c:v>
                </c:pt>
                <c:pt idx="11">
                  <c:v>75</c:v>
                </c:pt>
                <c:pt idx="12">
                  <c:v>60</c:v>
                </c:pt>
                <c:pt idx="13">
                  <c:v>45</c:v>
                </c:pt>
                <c:pt idx="14">
                  <c:v>30</c:v>
                </c:pt>
                <c:pt idx="15">
                  <c:v>15</c:v>
                </c:pt>
              </c:numCache>
            </c:numRef>
          </c:xVal>
          <c:yVal>
            <c:numRef>
              <c:f>'Collected Data Site 992'!$O$27:$O$42</c:f>
              <c:numCache>
                <c:formatCode>General</c:formatCode>
                <c:ptCount val="16"/>
                <c:pt idx="0">
                  <c:v>212.43</c:v>
                </c:pt>
                <c:pt idx="1">
                  <c:v>203.44</c:v>
                </c:pt>
                <c:pt idx="2">
                  <c:v>192.5</c:v>
                </c:pt>
                <c:pt idx="3">
                  <c:v>182.22000000000003</c:v>
                </c:pt>
                <c:pt idx="4">
                  <c:v>168.5</c:v>
                </c:pt>
                <c:pt idx="5">
                  <c:v>159.97</c:v>
                </c:pt>
                <c:pt idx="6">
                  <c:v>149.75</c:v>
                </c:pt>
                <c:pt idx="7">
                  <c:v>140.43</c:v>
                </c:pt>
                <c:pt idx="8">
                  <c:v>130.72999999999999</c:v>
                </c:pt>
                <c:pt idx="9">
                  <c:v>120.84</c:v>
                </c:pt>
                <c:pt idx="10">
                  <c:v>110.02</c:v>
                </c:pt>
                <c:pt idx="11">
                  <c:v>98.84</c:v>
                </c:pt>
                <c:pt idx="12">
                  <c:v>86.9</c:v>
                </c:pt>
                <c:pt idx="13">
                  <c:v>73.56</c:v>
                </c:pt>
                <c:pt idx="14">
                  <c:v>58.57</c:v>
                </c:pt>
                <c:pt idx="15">
                  <c:v>41.11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4F-4CCC-9B60-1032B9DB6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39000"/>
        <c:axId val="555141296"/>
      </c:scatterChart>
      <c:valAx>
        <c:axId val="5551390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1296"/>
        <c:crosses val="autoZero"/>
        <c:crossBetween val="midCat"/>
      </c:valAx>
      <c:valAx>
        <c:axId val="555141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3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(1724.7)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4941163604549433E-2"/>
                  <c:y val="-2.79392680081656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9.4329x</a:t>
                    </a:r>
                    <a:r>
                      <a:rPr lang="en-US" sz="1200" baseline="30000"/>
                      <a:t>0.5364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992'!$T$27:$T$45</c:f>
              <c:numCache>
                <c:formatCode>General</c:formatCode>
                <c:ptCount val="19"/>
                <c:pt idx="0">
                  <c:v>190</c:v>
                </c:pt>
                <c:pt idx="1">
                  <c:v>180</c:v>
                </c:pt>
                <c:pt idx="2">
                  <c:v>170</c:v>
                </c:pt>
                <c:pt idx="3">
                  <c:v>160</c:v>
                </c:pt>
                <c:pt idx="4">
                  <c:v>150</c:v>
                </c:pt>
                <c:pt idx="5">
                  <c:v>140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70</c:v>
                </c:pt>
                <c:pt idx="13">
                  <c:v>60</c:v>
                </c:pt>
                <c:pt idx="14">
                  <c:v>50</c:v>
                </c:pt>
                <c:pt idx="15">
                  <c:v>40</c:v>
                </c:pt>
                <c:pt idx="16">
                  <c:v>30</c:v>
                </c:pt>
                <c:pt idx="17">
                  <c:v>20</c:v>
                </c:pt>
                <c:pt idx="18">
                  <c:v>10</c:v>
                </c:pt>
              </c:numCache>
            </c:numRef>
          </c:xVal>
          <c:yVal>
            <c:numRef>
              <c:f>'Collected Data Site 992'!$U$27:$U$45</c:f>
              <c:numCache>
                <c:formatCode>General</c:formatCode>
                <c:ptCount val="19"/>
                <c:pt idx="0">
                  <c:v>163.39999999999998</c:v>
                </c:pt>
                <c:pt idx="1">
                  <c:v>154.98999999999998</c:v>
                </c:pt>
                <c:pt idx="2">
                  <c:v>149.30000000000001</c:v>
                </c:pt>
                <c:pt idx="3">
                  <c:v>144.36000000000001</c:v>
                </c:pt>
                <c:pt idx="4">
                  <c:v>138.82</c:v>
                </c:pt>
                <c:pt idx="5">
                  <c:v>134.18</c:v>
                </c:pt>
                <c:pt idx="6">
                  <c:v>127.91</c:v>
                </c:pt>
                <c:pt idx="7">
                  <c:v>122.19</c:v>
                </c:pt>
                <c:pt idx="8">
                  <c:v>116.84</c:v>
                </c:pt>
                <c:pt idx="9">
                  <c:v>110.61</c:v>
                </c:pt>
                <c:pt idx="10">
                  <c:v>104.43</c:v>
                </c:pt>
                <c:pt idx="11">
                  <c:v>97.93</c:v>
                </c:pt>
                <c:pt idx="12">
                  <c:v>90.66</c:v>
                </c:pt>
                <c:pt idx="13">
                  <c:v>83.76</c:v>
                </c:pt>
                <c:pt idx="14">
                  <c:v>75.989999999999995</c:v>
                </c:pt>
                <c:pt idx="15">
                  <c:v>67.650000000000006</c:v>
                </c:pt>
                <c:pt idx="16">
                  <c:v>57.9</c:v>
                </c:pt>
                <c:pt idx="17">
                  <c:v>47.2</c:v>
                </c:pt>
                <c:pt idx="18">
                  <c:v>33.53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E7-488E-BB72-16D0924CC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82488"/>
        <c:axId val="566585112"/>
      </c:scatterChart>
      <c:valAx>
        <c:axId val="566582488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85112"/>
        <c:crosses val="autoZero"/>
        <c:crossBetween val="midCat"/>
      </c:valAx>
      <c:valAx>
        <c:axId val="566585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8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(1877.94)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2335520559930012E-2"/>
                  <c:y val="0.176126057159521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10.645x</a:t>
                    </a:r>
                    <a:r>
                      <a:rPr lang="en-US" sz="1200" baseline="30000"/>
                      <a:t>0.5327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0.9924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992'!$B$54:$B$74</c:f>
              <c:numCache>
                <c:formatCode>General</c:formatCode>
                <c:ptCount val="21"/>
                <c:pt idx="0">
                  <c:v>210</c:v>
                </c:pt>
                <c:pt idx="1">
                  <c:v>200</c:v>
                </c:pt>
                <c:pt idx="2">
                  <c:v>190</c:v>
                </c:pt>
                <c:pt idx="3">
                  <c:v>180</c:v>
                </c:pt>
                <c:pt idx="4">
                  <c:v>170</c:v>
                </c:pt>
                <c:pt idx="5">
                  <c:v>160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100</c:v>
                </c:pt>
                <c:pt idx="12">
                  <c:v>90</c:v>
                </c:pt>
                <c:pt idx="13">
                  <c:v>80</c:v>
                </c:pt>
                <c:pt idx="14">
                  <c:v>70</c:v>
                </c:pt>
                <c:pt idx="15">
                  <c:v>60</c:v>
                </c:pt>
                <c:pt idx="16">
                  <c:v>50</c:v>
                </c:pt>
                <c:pt idx="17">
                  <c:v>40</c:v>
                </c:pt>
                <c:pt idx="18">
                  <c:v>30</c:v>
                </c:pt>
                <c:pt idx="19">
                  <c:v>20</c:v>
                </c:pt>
                <c:pt idx="20">
                  <c:v>10</c:v>
                </c:pt>
              </c:numCache>
            </c:numRef>
          </c:xVal>
          <c:yVal>
            <c:numRef>
              <c:f>'Collected Data Site 992'!$C$54:$C$74</c:f>
              <c:numCache>
                <c:formatCode>General</c:formatCode>
                <c:ptCount val="21"/>
                <c:pt idx="0">
                  <c:v>199.5</c:v>
                </c:pt>
                <c:pt idx="1">
                  <c:v>188.89</c:v>
                </c:pt>
                <c:pt idx="2">
                  <c:v>179.78</c:v>
                </c:pt>
                <c:pt idx="3">
                  <c:v>170.52</c:v>
                </c:pt>
                <c:pt idx="4">
                  <c:v>165.96</c:v>
                </c:pt>
                <c:pt idx="5">
                  <c:v>158.91</c:v>
                </c:pt>
                <c:pt idx="6">
                  <c:v>152.93</c:v>
                </c:pt>
                <c:pt idx="7">
                  <c:v>146.87</c:v>
                </c:pt>
                <c:pt idx="8">
                  <c:v>140.80000000000001</c:v>
                </c:pt>
                <c:pt idx="9">
                  <c:v>134.56</c:v>
                </c:pt>
                <c:pt idx="10">
                  <c:v>127.88</c:v>
                </c:pt>
                <c:pt idx="11">
                  <c:v>121.34</c:v>
                </c:pt>
                <c:pt idx="12">
                  <c:v>113.98</c:v>
                </c:pt>
                <c:pt idx="13">
                  <c:v>106.44</c:v>
                </c:pt>
                <c:pt idx="14">
                  <c:v>99.1</c:v>
                </c:pt>
                <c:pt idx="15">
                  <c:v>91.3</c:v>
                </c:pt>
                <c:pt idx="16">
                  <c:v>82.81</c:v>
                </c:pt>
                <c:pt idx="17">
                  <c:v>73.61</c:v>
                </c:pt>
                <c:pt idx="18">
                  <c:v>63.42</c:v>
                </c:pt>
                <c:pt idx="19">
                  <c:v>52.6</c:v>
                </c:pt>
                <c:pt idx="20">
                  <c:v>40.21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0F-4BF1-9474-E78BF38A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83728"/>
        <c:axId val="558081104"/>
      </c:scatterChart>
      <c:valAx>
        <c:axId val="558083728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81104"/>
        <c:crosses val="autoZero"/>
        <c:crossBetween val="midCat"/>
      </c:valAx>
      <c:valAx>
        <c:axId val="558081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8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(2004.39)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8485564304461941E-2"/>
                  <c:y val="0.190580708661417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19.407x</a:t>
                    </a:r>
                    <a:r>
                      <a:rPr lang="en-US" sz="1200" baseline="30000"/>
                      <a:t>0.4404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0.9609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992'!$H$54:$H$74</c:f>
              <c:numCache>
                <c:formatCode>General</c:formatCode>
                <c:ptCount val="21"/>
                <c:pt idx="0">
                  <c:v>210</c:v>
                </c:pt>
                <c:pt idx="1">
                  <c:v>200</c:v>
                </c:pt>
                <c:pt idx="2">
                  <c:v>190</c:v>
                </c:pt>
                <c:pt idx="3">
                  <c:v>180</c:v>
                </c:pt>
                <c:pt idx="4">
                  <c:v>170</c:v>
                </c:pt>
                <c:pt idx="5">
                  <c:v>160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100</c:v>
                </c:pt>
                <c:pt idx="12">
                  <c:v>90</c:v>
                </c:pt>
                <c:pt idx="13">
                  <c:v>80</c:v>
                </c:pt>
                <c:pt idx="14">
                  <c:v>70</c:v>
                </c:pt>
                <c:pt idx="15">
                  <c:v>60</c:v>
                </c:pt>
                <c:pt idx="16">
                  <c:v>50</c:v>
                </c:pt>
                <c:pt idx="17">
                  <c:v>40</c:v>
                </c:pt>
                <c:pt idx="18">
                  <c:v>30</c:v>
                </c:pt>
                <c:pt idx="19">
                  <c:v>20</c:v>
                </c:pt>
                <c:pt idx="20">
                  <c:v>10</c:v>
                </c:pt>
              </c:numCache>
            </c:numRef>
          </c:xVal>
          <c:yVal>
            <c:numRef>
              <c:f>'Collected Data Site 992'!$I$54:$I$74</c:f>
              <c:numCache>
                <c:formatCode>General</c:formatCode>
                <c:ptCount val="21"/>
                <c:pt idx="0">
                  <c:v>225.81</c:v>
                </c:pt>
                <c:pt idx="1">
                  <c:v>215.23</c:v>
                </c:pt>
                <c:pt idx="2">
                  <c:v>206.45999999999998</c:v>
                </c:pt>
                <c:pt idx="3">
                  <c:v>196.33</c:v>
                </c:pt>
                <c:pt idx="4">
                  <c:v>190.51</c:v>
                </c:pt>
                <c:pt idx="5">
                  <c:v>183.84</c:v>
                </c:pt>
                <c:pt idx="6">
                  <c:v>177.3</c:v>
                </c:pt>
                <c:pt idx="7">
                  <c:v>170.31</c:v>
                </c:pt>
                <c:pt idx="8">
                  <c:v>163.9</c:v>
                </c:pt>
                <c:pt idx="9">
                  <c:v>157.43</c:v>
                </c:pt>
                <c:pt idx="10">
                  <c:v>151.06</c:v>
                </c:pt>
                <c:pt idx="11">
                  <c:v>143.43</c:v>
                </c:pt>
                <c:pt idx="12">
                  <c:v>135.94999999999999</c:v>
                </c:pt>
                <c:pt idx="13">
                  <c:v>128.1</c:v>
                </c:pt>
                <c:pt idx="14">
                  <c:v>119.8</c:v>
                </c:pt>
                <c:pt idx="15">
                  <c:v>111.26</c:v>
                </c:pt>
                <c:pt idx="16">
                  <c:v>101.87</c:v>
                </c:pt>
                <c:pt idx="17">
                  <c:v>91.71</c:v>
                </c:pt>
                <c:pt idx="18">
                  <c:v>80.599999999999994</c:v>
                </c:pt>
                <c:pt idx="19">
                  <c:v>68.09</c:v>
                </c:pt>
                <c:pt idx="20">
                  <c:v>67.92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E7-441F-BE2B-E1E96CE8C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14896"/>
        <c:axId val="587813912"/>
      </c:scatterChart>
      <c:valAx>
        <c:axId val="58781489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13912"/>
        <c:crosses val="autoZero"/>
        <c:crossBetween val="midCat"/>
      </c:valAx>
      <c:valAx>
        <c:axId val="587813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(2125.59)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6205161854768152E-3"/>
                  <c:y val="0.150006926217556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14.889x</a:t>
                    </a:r>
                    <a:r>
                      <a:rPr lang="en-US" sz="1200" baseline="30000"/>
                      <a:t>0.4654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0.9041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992'!$N$54:$N$69</c:f>
              <c:numCache>
                <c:formatCode>General</c:formatCode>
                <c:ptCount val="16"/>
                <c:pt idx="0">
                  <c:v>230</c:v>
                </c:pt>
                <c:pt idx="1">
                  <c:v>215</c:v>
                </c:pt>
                <c:pt idx="2">
                  <c:v>200</c:v>
                </c:pt>
                <c:pt idx="3">
                  <c:v>185</c:v>
                </c:pt>
                <c:pt idx="4">
                  <c:v>170</c:v>
                </c:pt>
                <c:pt idx="5">
                  <c:v>155</c:v>
                </c:pt>
                <c:pt idx="6">
                  <c:v>140</c:v>
                </c:pt>
                <c:pt idx="7">
                  <c:v>125</c:v>
                </c:pt>
                <c:pt idx="8">
                  <c:v>110</c:v>
                </c:pt>
                <c:pt idx="9">
                  <c:v>95</c:v>
                </c:pt>
                <c:pt idx="10">
                  <c:v>80</c:v>
                </c:pt>
                <c:pt idx="11">
                  <c:v>65</c:v>
                </c:pt>
                <c:pt idx="12">
                  <c:v>50</c:v>
                </c:pt>
                <c:pt idx="13">
                  <c:v>35</c:v>
                </c:pt>
                <c:pt idx="14">
                  <c:v>20</c:v>
                </c:pt>
                <c:pt idx="15">
                  <c:v>5</c:v>
                </c:pt>
              </c:numCache>
            </c:numRef>
          </c:xVal>
          <c:yVal>
            <c:numRef>
              <c:f>'Collected Data Site 992'!$O$54:$O$69</c:f>
              <c:numCache>
                <c:formatCode>General</c:formatCode>
                <c:ptCount val="16"/>
                <c:pt idx="0">
                  <c:v>244.17000000000002</c:v>
                </c:pt>
                <c:pt idx="1">
                  <c:v>220.21</c:v>
                </c:pt>
                <c:pt idx="2">
                  <c:v>199.48000000000002</c:v>
                </c:pt>
                <c:pt idx="3">
                  <c:v>175.53000000000003</c:v>
                </c:pt>
                <c:pt idx="4">
                  <c:v>162.38999999999999</c:v>
                </c:pt>
                <c:pt idx="5">
                  <c:v>151.37</c:v>
                </c:pt>
                <c:pt idx="6">
                  <c:v>141.43</c:v>
                </c:pt>
                <c:pt idx="7">
                  <c:v>132.62</c:v>
                </c:pt>
                <c:pt idx="8">
                  <c:v>123.23</c:v>
                </c:pt>
                <c:pt idx="9">
                  <c:v>113.92</c:v>
                </c:pt>
                <c:pt idx="10">
                  <c:v>103.47</c:v>
                </c:pt>
                <c:pt idx="11">
                  <c:v>92.5</c:v>
                </c:pt>
                <c:pt idx="12">
                  <c:v>80.5</c:v>
                </c:pt>
                <c:pt idx="13">
                  <c:v>66.709999999999994</c:v>
                </c:pt>
                <c:pt idx="14">
                  <c:v>50.53</c:v>
                </c:pt>
                <c:pt idx="15">
                  <c:v>44.6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A1-4423-858E-4FBA79F4A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61888"/>
        <c:axId val="558357296"/>
      </c:scatterChart>
      <c:valAx>
        <c:axId val="558361888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57296"/>
        <c:crosses val="autoZero"/>
        <c:crossBetween val="midCat"/>
      </c:valAx>
      <c:valAx>
        <c:axId val="558357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(2257.55)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9501749781277336E-2"/>
                  <c:y val="0.221759259259259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7.3095x</a:t>
                    </a:r>
                    <a:r>
                      <a:rPr lang="en-US" sz="1200" baseline="30000"/>
                      <a:t>0.7695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0.9765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992'!$T$54:$T$70</c:f>
              <c:numCache>
                <c:formatCode>General</c:formatCode>
                <c:ptCount val="17"/>
                <c:pt idx="0">
                  <c:v>250</c:v>
                </c:pt>
                <c:pt idx="1">
                  <c:v>235</c:v>
                </c:pt>
                <c:pt idx="2">
                  <c:v>220</c:v>
                </c:pt>
                <c:pt idx="3">
                  <c:v>205</c:v>
                </c:pt>
                <c:pt idx="4">
                  <c:v>190</c:v>
                </c:pt>
                <c:pt idx="5">
                  <c:v>175</c:v>
                </c:pt>
                <c:pt idx="6">
                  <c:v>160</c:v>
                </c:pt>
                <c:pt idx="7">
                  <c:v>145</c:v>
                </c:pt>
                <c:pt idx="8">
                  <c:v>130</c:v>
                </c:pt>
                <c:pt idx="9">
                  <c:v>115</c:v>
                </c:pt>
                <c:pt idx="10">
                  <c:v>100</c:v>
                </c:pt>
                <c:pt idx="11">
                  <c:v>85</c:v>
                </c:pt>
                <c:pt idx="12">
                  <c:v>70</c:v>
                </c:pt>
                <c:pt idx="13">
                  <c:v>55</c:v>
                </c:pt>
                <c:pt idx="14">
                  <c:v>40</c:v>
                </c:pt>
                <c:pt idx="15">
                  <c:v>25</c:v>
                </c:pt>
                <c:pt idx="16">
                  <c:v>10</c:v>
                </c:pt>
              </c:numCache>
            </c:numRef>
          </c:xVal>
          <c:yVal>
            <c:numRef>
              <c:f>'Collected Data Site 992'!$U$54:$U$70</c:f>
              <c:numCache>
                <c:formatCode>General</c:formatCode>
                <c:ptCount val="17"/>
                <c:pt idx="0">
                  <c:v>602.80999999999995</c:v>
                </c:pt>
                <c:pt idx="1">
                  <c:v>557.79999999999995</c:v>
                </c:pt>
                <c:pt idx="2">
                  <c:v>514.30999999999995</c:v>
                </c:pt>
                <c:pt idx="3">
                  <c:v>473.32</c:v>
                </c:pt>
                <c:pt idx="4">
                  <c:v>434.53000000000003</c:v>
                </c:pt>
                <c:pt idx="5">
                  <c:v>386.19</c:v>
                </c:pt>
                <c:pt idx="6">
                  <c:v>349.70000000000005</c:v>
                </c:pt>
                <c:pt idx="7">
                  <c:v>316.54000000000002</c:v>
                </c:pt>
                <c:pt idx="8">
                  <c:v>284.52</c:v>
                </c:pt>
                <c:pt idx="9">
                  <c:v>255.81</c:v>
                </c:pt>
                <c:pt idx="10">
                  <c:v>229.45999999999998</c:v>
                </c:pt>
                <c:pt idx="11">
                  <c:v>201.57000000000002</c:v>
                </c:pt>
                <c:pt idx="12">
                  <c:v>173.2</c:v>
                </c:pt>
                <c:pt idx="13">
                  <c:v>145.62</c:v>
                </c:pt>
                <c:pt idx="14">
                  <c:v>117.07</c:v>
                </c:pt>
                <c:pt idx="15">
                  <c:v>87.289999999999992</c:v>
                </c:pt>
                <c:pt idx="16">
                  <c:v>53.72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60-442D-A455-0D18A83C4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69192"/>
        <c:axId val="578667880"/>
      </c:scatterChart>
      <c:valAx>
        <c:axId val="578669192"/>
        <c:scaling>
          <c:logBase val="10"/>
          <c:orientation val="minMax"/>
          <c:max val="30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67880"/>
        <c:crosses val="autoZero"/>
        <c:crossBetween val="midCat"/>
      </c:valAx>
      <c:valAx>
        <c:axId val="578667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6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(78.22)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0526465441819772E-2"/>
                  <c:y val="-0.137687372411781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0.2417x</a:t>
                    </a:r>
                    <a:r>
                      <a:rPr lang="en-US" sz="1200" baseline="30000"/>
                      <a:t>0.3128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0.9975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992'!$B$6:$B$19</c:f>
              <c:numCache>
                <c:formatCode>General</c:formatCode>
                <c:ptCount val="14"/>
                <c:pt idx="0">
                  <c:v>280</c:v>
                </c:pt>
                <c:pt idx="1">
                  <c:v>260</c:v>
                </c:pt>
                <c:pt idx="2">
                  <c:v>240</c:v>
                </c:pt>
                <c:pt idx="3">
                  <c:v>220</c:v>
                </c:pt>
                <c:pt idx="4">
                  <c:v>200</c:v>
                </c:pt>
                <c:pt idx="5">
                  <c:v>180</c:v>
                </c:pt>
                <c:pt idx="6">
                  <c:v>160</c:v>
                </c:pt>
                <c:pt idx="7">
                  <c:v>140</c:v>
                </c:pt>
                <c:pt idx="8">
                  <c:v>120</c:v>
                </c:pt>
                <c:pt idx="9">
                  <c:v>100</c:v>
                </c:pt>
                <c:pt idx="10">
                  <c:v>80</c:v>
                </c:pt>
                <c:pt idx="11">
                  <c:v>60</c:v>
                </c:pt>
                <c:pt idx="12">
                  <c:v>40</c:v>
                </c:pt>
                <c:pt idx="13">
                  <c:v>20</c:v>
                </c:pt>
              </c:numCache>
            </c:numRef>
          </c:xVal>
          <c:yVal>
            <c:numRef>
              <c:f>'Collected Data Site 992'!$F$6:$F$19</c:f>
              <c:numCache>
                <c:formatCode>General</c:formatCode>
                <c:ptCount val="14"/>
                <c:pt idx="0">
                  <c:v>1.3933121019108279</c:v>
                </c:pt>
                <c:pt idx="1">
                  <c:v>1.3679890560875514</c:v>
                </c:pt>
                <c:pt idx="2">
                  <c:v>1.3269198872118095</c:v>
                </c:pt>
                <c:pt idx="3">
                  <c:v>1.2876038862226382</c:v>
                </c:pt>
                <c:pt idx="4">
                  <c:v>1.2528188423953897</c:v>
                </c:pt>
                <c:pt idx="5">
                  <c:v>1.2433515231056158</c:v>
                </c:pt>
                <c:pt idx="6">
                  <c:v>1.2018327950123939</c:v>
                </c:pt>
                <c:pt idx="7">
                  <c:v>1.1452879581151834</c:v>
                </c:pt>
                <c:pt idx="8">
                  <c:v>1.0890280424720937</c:v>
                </c:pt>
                <c:pt idx="9">
                  <c:v>1.0334849111202975</c:v>
                </c:pt>
                <c:pt idx="10">
                  <c:v>0.96234812943582348</c:v>
                </c:pt>
                <c:pt idx="11">
                  <c:v>0.87323533692330091</c:v>
                </c:pt>
                <c:pt idx="12">
                  <c:v>0.76701821668264625</c:v>
                </c:pt>
                <c:pt idx="13">
                  <c:v>0.60496067755595884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97-494A-89E4-260390216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20896"/>
        <c:axId val="498321224"/>
      </c:scatterChart>
      <c:valAx>
        <c:axId val="498320896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21224"/>
        <c:crosses val="autoZero"/>
        <c:crossBetween val="midCat"/>
      </c:valAx>
      <c:valAx>
        <c:axId val="498321224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2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</a:t>
            </a:r>
            <a:r>
              <a:rPr lang="en-US" baseline="0"/>
              <a:t> vs Velocity (321.57)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2474628171478565E-2"/>
                  <c:y val="-8.228856809565471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0.267x</a:t>
                    </a:r>
                    <a:r>
                      <a:rPr lang="en-US" sz="1200" baseline="30000"/>
                      <a:t>0.3066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0.8678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992'!$H$6:$H$19</c:f>
              <c:numCache>
                <c:formatCode>General</c:formatCode>
                <c:ptCount val="14"/>
                <c:pt idx="0">
                  <c:v>350</c:v>
                </c:pt>
                <c:pt idx="1">
                  <c:v>325</c:v>
                </c:pt>
                <c:pt idx="2">
                  <c:v>300</c:v>
                </c:pt>
                <c:pt idx="3">
                  <c:v>275</c:v>
                </c:pt>
                <c:pt idx="4">
                  <c:v>250</c:v>
                </c:pt>
                <c:pt idx="5">
                  <c:v>225</c:v>
                </c:pt>
                <c:pt idx="6">
                  <c:v>200</c:v>
                </c:pt>
                <c:pt idx="7">
                  <c:v>175</c:v>
                </c:pt>
                <c:pt idx="8">
                  <c:v>150</c:v>
                </c:pt>
                <c:pt idx="9">
                  <c:v>125</c:v>
                </c:pt>
                <c:pt idx="10">
                  <c:v>100</c:v>
                </c:pt>
                <c:pt idx="11">
                  <c:v>75</c:v>
                </c:pt>
                <c:pt idx="12">
                  <c:v>50</c:v>
                </c:pt>
                <c:pt idx="13">
                  <c:v>25</c:v>
                </c:pt>
              </c:numCache>
            </c:numRef>
          </c:xVal>
          <c:yVal>
            <c:numRef>
              <c:f>'Collected Data Site 992'!$L$6:$L$19</c:f>
              <c:numCache>
                <c:formatCode>General</c:formatCode>
                <c:ptCount val="14"/>
                <c:pt idx="0">
                  <c:v>1.2267358312011496</c:v>
                </c:pt>
                <c:pt idx="1">
                  <c:v>1.484492760243</c:v>
                </c:pt>
                <c:pt idx="2">
                  <c:v>1.5318627450980391</c:v>
                </c:pt>
                <c:pt idx="3">
                  <c:v>1.5827338129496402</c:v>
                </c:pt>
                <c:pt idx="4">
                  <c:v>1.534401276621862</c:v>
                </c:pt>
                <c:pt idx="5">
                  <c:v>1.4850504917167184</c:v>
                </c:pt>
                <c:pt idx="6">
                  <c:v>1.4228799089356858</c:v>
                </c:pt>
                <c:pt idx="7">
                  <c:v>1.3929793839051183</c:v>
                </c:pt>
                <c:pt idx="8">
                  <c:v>1.3193772539361421</c:v>
                </c:pt>
                <c:pt idx="9">
                  <c:v>1.2363996043521266</c:v>
                </c:pt>
                <c:pt idx="10">
                  <c:v>1.1386927806877705</c:v>
                </c:pt>
                <c:pt idx="11">
                  <c:v>1.0199918400652794</c:v>
                </c:pt>
                <c:pt idx="12">
                  <c:v>0.86073334480977792</c:v>
                </c:pt>
                <c:pt idx="13">
                  <c:v>0.65138092756644084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29-46AA-AC00-3A262A634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49456"/>
        <c:axId val="551050112"/>
      </c:scatterChart>
      <c:valAx>
        <c:axId val="55104945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50112"/>
        <c:crosses val="autoZero"/>
        <c:crossBetween val="midCat"/>
      </c:valAx>
      <c:valAx>
        <c:axId val="55105011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(483.86)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3859798775153109E-2"/>
                  <c:y val="-0.113053732866724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0.1993x</a:t>
                    </a:r>
                    <a:r>
                      <a:rPr lang="en-US" sz="1200" baseline="30000"/>
                      <a:t>0.3728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0.9977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992'!$N$6:$N$19</c:f>
              <c:numCache>
                <c:formatCode>General</c:formatCode>
                <c:ptCount val="14"/>
                <c:pt idx="0">
                  <c:v>280</c:v>
                </c:pt>
                <c:pt idx="1">
                  <c:v>260</c:v>
                </c:pt>
                <c:pt idx="2">
                  <c:v>240</c:v>
                </c:pt>
                <c:pt idx="3">
                  <c:v>220</c:v>
                </c:pt>
                <c:pt idx="4">
                  <c:v>200</c:v>
                </c:pt>
                <c:pt idx="5">
                  <c:v>180</c:v>
                </c:pt>
                <c:pt idx="6">
                  <c:v>160</c:v>
                </c:pt>
                <c:pt idx="7">
                  <c:v>140</c:v>
                </c:pt>
                <c:pt idx="8">
                  <c:v>120</c:v>
                </c:pt>
                <c:pt idx="9">
                  <c:v>100</c:v>
                </c:pt>
                <c:pt idx="10">
                  <c:v>80</c:v>
                </c:pt>
                <c:pt idx="11">
                  <c:v>60</c:v>
                </c:pt>
                <c:pt idx="12">
                  <c:v>40</c:v>
                </c:pt>
                <c:pt idx="13">
                  <c:v>20</c:v>
                </c:pt>
              </c:numCache>
            </c:numRef>
          </c:xVal>
          <c:yVal>
            <c:numRef>
              <c:f>'Collected Data Site 992'!$R$6:$R$19</c:f>
              <c:numCache>
                <c:formatCode>General</c:formatCode>
                <c:ptCount val="14"/>
                <c:pt idx="0">
                  <c:v>1.6075324377081179</c:v>
                </c:pt>
                <c:pt idx="1">
                  <c:v>1.5652278610559267</c:v>
                </c:pt>
                <c:pt idx="2">
                  <c:v>1.5205271160669032</c:v>
                </c:pt>
                <c:pt idx="3">
                  <c:v>1.4711782800588471</c:v>
                </c:pt>
                <c:pt idx="4">
                  <c:v>1.417434443656981</c:v>
                </c:pt>
                <c:pt idx="5">
                  <c:v>1.400342305896997</c:v>
                </c:pt>
                <c:pt idx="6">
                  <c:v>1.3360053440213759</c:v>
                </c:pt>
                <c:pt idx="7">
                  <c:v>1.2729587197672303</c:v>
                </c:pt>
                <c:pt idx="8">
                  <c:v>1.2048192771084338</c:v>
                </c:pt>
                <c:pt idx="9">
                  <c:v>1.124859392575928</c:v>
                </c:pt>
                <c:pt idx="10">
                  <c:v>1.027617212588311</c:v>
                </c:pt>
                <c:pt idx="11">
                  <c:v>0.92464170134073043</c:v>
                </c:pt>
                <c:pt idx="12">
                  <c:v>0.79255002972062616</c:v>
                </c:pt>
                <c:pt idx="13">
                  <c:v>0.59276822762299941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CE-40F6-9978-D9B7358E8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95224"/>
        <c:axId val="491692928"/>
      </c:scatterChart>
      <c:valAx>
        <c:axId val="49169522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92928"/>
        <c:crosses val="autoZero"/>
        <c:crossBetween val="midCat"/>
      </c:valAx>
      <c:valAx>
        <c:axId val="491692928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(m/s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9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</a:t>
            </a:r>
            <a:r>
              <a:rPr lang="en-US" baseline="0"/>
              <a:t> (842.61)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1785870516185475E-2"/>
                  <c:y val="0.190273403324584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0.457x</a:t>
                    </a:r>
                    <a:r>
                      <a:rPr lang="en-US" sz="1200" baseline="30000"/>
                      <a:t>0.4581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0.9974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992'!$T$6:$T$19</c:f>
              <c:numCache>
                <c:formatCode>General</c:formatCode>
                <c:ptCount val="14"/>
                <c:pt idx="0">
                  <c:v>250</c:v>
                </c:pt>
                <c:pt idx="1">
                  <c:v>230</c:v>
                </c:pt>
                <c:pt idx="2">
                  <c:v>210</c:v>
                </c:pt>
                <c:pt idx="3">
                  <c:v>190</c:v>
                </c:pt>
                <c:pt idx="4">
                  <c:v>170</c:v>
                </c:pt>
                <c:pt idx="5">
                  <c:v>150</c:v>
                </c:pt>
                <c:pt idx="6">
                  <c:v>130</c:v>
                </c:pt>
                <c:pt idx="7">
                  <c:v>110</c:v>
                </c:pt>
                <c:pt idx="8">
                  <c:v>90</c:v>
                </c:pt>
                <c:pt idx="9">
                  <c:v>70</c:v>
                </c:pt>
                <c:pt idx="10">
                  <c:v>50</c:v>
                </c:pt>
                <c:pt idx="11">
                  <c:v>30</c:v>
                </c:pt>
                <c:pt idx="12">
                  <c:v>10</c:v>
                </c:pt>
                <c:pt idx="13">
                  <c:v>5</c:v>
                </c:pt>
              </c:numCache>
            </c:numRef>
          </c:xVal>
          <c:yVal>
            <c:numRef>
              <c:f>'Collected Data Site 992'!$W$6:$W$19</c:f>
              <c:numCache>
                <c:formatCode>General</c:formatCode>
                <c:ptCount val="14"/>
                <c:pt idx="0">
                  <c:v>5.88</c:v>
                </c:pt>
                <c:pt idx="1">
                  <c:v>5.66</c:v>
                </c:pt>
                <c:pt idx="2">
                  <c:v>5.42</c:v>
                </c:pt>
                <c:pt idx="3">
                  <c:v>5.17</c:v>
                </c:pt>
                <c:pt idx="4">
                  <c:v>4.84</c:v>
                </c:pt>
                <c:pt idx="5">
                  <c:v>4.5199999999999996</c:v>
                </c:pt>
                <c:pt idx="6">
                  <c:v>4.22</c:v>
                </c:pt>
                <c:pt idx="7">
                  <c:v>3.87</c:v>
                </c:pt>
                <c:pt idx="8">
                  <c:v>3.51</c:v>
                </c:pt>
                <c:pt idx="9">
                  <c:v>3.11</c:v>
                </c:pt>
                <c:pt idx="10">
                  <c:v>2.65</c:v>
                </c:pt>
                <c:pt idx="11">
                  <c:v>2.08</c:v>
                </c:pt>
                <c:pt idx="12">
                  <c:v>1.31</c:v>
                </c:pt>
                <c:pt idx="13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00-4936-9A65-938778009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72168"/>
        <c:axId val="566672496"/>
      </c:scatterChart>
      <c:valAx>
        <c:axId val="566672168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72496"/>
        <c:crosses val="autoZero"/>
        <c:crossBetween val="midCat"/>
      </c:valAx>
      <c:valAx>
        <c:axId val="566672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7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</a:t>
            </a:r>
            <a:r>
              <a:rPr lang="en-US" baseline="0"/>
              <a:t> (842.61)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1054243219597548E-3"/>
                  <c:y val="-8.51676873724117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0.1363x</a:t>
                    </a:r>
                    <a:r>
                      <a:rPr lang="en-US" sz="1200" baseline="30000"/>
                      <a:t>0.4251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0.9963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992'!$T$6:$T$19</c:f>
              <c:numCache>
                <c:formatCode>General</c:formatCode>
                <c:ptCount val="14"/>
                <c:pt idx="0">
                  <c:v>250</c:v>
                </c:pt>
                <c:pt idx="1">
                  <c:v>230</c:v>
                </c:pt>
                <c:pt idx="2">
                  <c:v>210</c:v>
                </c:pt>
                <c:pt idx="3">
                  <c:v>190</c:v>
                </c:pt>
                <c:pt idx="4">
                  <c:v>170</c:v>
                </c:pt>
                <c:pt idx="5">
                  <c:v>150</c:v>
                </c:pt>
                <c:pt idx="6">
                  <c:v>130</c:v>
                </c:pt>
                <c:pt idx="7">
                  <c:v>110</c:v>
                </c:pt>
                <c:pt idx="8">
                  <c:v>90</c:v>
                </c:pt>
                <c:pt idx="9">
                  <c:v>70</c:v>
                </c:pt>
                <c:pt idx="10">
                  <c:v>50</c:v>
                </c:pt>
                <c:pt idx="11">
                  <c:v>30</c:v>
                </c:pt>
                <c:pt idx="12">
                  <c:v>10</c:v>
                </c:pt>
                <c:pt idx="13">
                  <c:v>5</c:v>
                </c:pt>
              </c:numCache>
            </c:numRef>
          </c:xVal>
          <c:yVal>
            <c:numRef>
              <c:f>'Collected Data Site 992'!$X$6:$X$19</c:f>
              <c:numCache>
                <c:formatCode>General</c:formatCode>
                <c:ptCount val="14"/>
                <c:pt idx="0">
                  <c:v>1.3691128148959473</c:v>
                </c:pt>
                <c:pt idx="1">
                  <c:v>1.3329469718922051</c:v>
                </c:pt>
                <c:pt idx="2">
                  <c:v>1.2877905194088428</c:v>
                </c:pt>
                <c:pt idx="3">
                  <c:v>1.2351296886173047</c:v>
                </c:pt>
                <c:pt idx="4">
                  <c:v>1.2107399757852004</c:v>
                </c:pt>
                <c:pt idx="5">
                  <c:v>1.160092807424594</c:v>
                </c:pt>
                <c:pt idx="6">
                  <c:v>1.0976021614319487</c:v>
                </c:pt>
                <c:pt idx="7">
                  <c:v>1.0288065843621399</c:v>
                </c:pt>
                <c:pt idx="8">
                  <c:v>0.94756790903348065</c:v>
                </c:pt>
                <c:pt idx="9">
                  <c:v>0.85303436509870822</c:v>
                </c:pt>
                <c:pt idx="10">
                  <c:v>0.74671445639187584</c:v>
                </c:pt>
                <c:pt idx="11">
                  <c:v>0.60168471720818295</c:v>
                </c:pt>
                <c:pt idx="12">
                  <c:v>0.36140224069389226</c:v>
                </c:pt>
                <c:pt idx="13">
                  <c:v>0.2556237218813906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00-4FB3-943B-B0FBACB7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72168"/>
        <c:axId val="566672496"/>
      </c:scatterChart>
      <c:valAx>
        <c:axId val="566672168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72496"/>
        <c:crosses val="autoZero"/>
        <c:crossBetween val="midCat"/>
      </c:valAx>
      <c:valAx>
        <c:axId val="566672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7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(1149.52)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9368110236220475E-2"/>
                  <c:y val="-7.550561388159812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0.1107x</a:t>
                    </a:r>
                    <a:r>
                      <a:rPr lang="en-US" sz="1200" baseline="30000"/>
                      <a:t>0.4448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992'!$B$27:$B$46</c:f>
              <c:numCache>
                <c:formatCode>General</c:formatCode>
                <c:ptCount val="20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  <c:pt idx="14">
                  <c:v>60</c:v>
                </c:pt>
                <c:pt idx="15">
                  <c:v>50</c:v>
                </c:pt>
                <c:pt idx="16">
                  <c:v>40</c:v>
                </c:pt>
                <c:pt idx="17">
                  <c:v>30</c:v>
                </c:pt>
                <c:pt idx="18">
                  <c:v>20</c:v>
                </c:pt>
                <c:pt idx="19">
                  <c:v>10</c:v>
                </c:pt>
              </c:numCache>
            </c:numRef>
          </c:xVal>
          <c:yVal>
            <c:numRef>
              <c:f>'Collected Data Site 992'!$F$27:$F$46</c:f>
              <c:numCache>
                <c:formatCode>General</c:formatCode>
                <c:ptCount val="20"/>
                <c:pt idx="0">
                  <c:v>1.1291142099023317</c:v>
                </c:pt>
                <c:pt idx="1">
                  <c:v>1.1060015134757553</c:v>
                </c:pt>
                <c:pt idx="2">
                  <c:v>1.1070110701107012</c:v>
                </c:pt>
                <c:pt idx="3">
                  <c:v>1.0792280345352971</c:v>
                </c:pt>
                <c:pt idx="4">
                  <c:v>1.0515938218862964</c:v>
                </c:pt>
                <c:pt idx="5">
                  <c:v>1.0244502117197105</c:v>
                </c:pt>
                <c:pt idx="6">
                  <c:v>1.0005002501250624</c:v>
                </c:pt>
                <c:pt idx="7">
                  <c:v>0.9675498660315569</c:v>
                </c:pt>
                <c:pt idx="8">
                  <c:v>0.93363417101065893</c:v>
                </c:pt>
                <c:pt idx="9">
                  <c:v>0.90542431475841634</c:v>
                </c:pt>
                <c:pt idx="10">
                  <c:v>0.8671522719389525</c:v>
                </c:pt>
                <c:pt idx="11">
                  <c:v>0.82888193037391789</c:v>
                </c:pt>
                <c:pt idx="12">
                  <c:v>0.79059195572685048</c:v>
                </c:pt>
                <c:pt idx="13">
                  <c:v>0.74650741175215962</c:v>
                </c:pt>
                <c:pt idx="14">
                  <c:v>0.69589422407794022</c:v>
                </c:pt>
                <c:pt idx="15">
                  <c:v>0.64399793920659454</c:v>
                </c:pt>
                <c:pt idx="16">
                  <c:v>0.58232639394380548</c:v>
                </c:pt>
                <c:pt idx="17">
                  <c:v>0.51081219138430112</c:v>
                </c:pt>
                <c:pt idx="18">
                  <c:v>0.41911148365465217</c:v>
                </c:pt>
                <c:pt idx="19">
                  <c:v>0.29231218941829873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1B-4C8F-AC79-23195CB6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54672"/>
        <c:axId val="558355000"/>
      </c:scatterChart>
      <c:valAx>
        <c:axId val="558354672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55000"/>
        <c:crosses val="autoZero"/>
        <c:crossBetween val="midCat"/>
      </c:valAx>
      <c:valAx>
        <c:axId val="558355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5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(1320.11)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1723753280839895E-2"/>
                  <c:y val="-9.746026538349372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0.1337x</a:t>
                    </a:r>
                    <a:r>
                      <a:rPr lang="en-US" sz="1200" baseline="30000"/>
                      <a:t>0.4142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0.9975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992'!$H$27:$H$41</c:f>
              <c:numCache>
                <c:formatCode>General</c:formatCode>
                <c:ptCount val="15"/>
                <c:pt idx="0">
                  <c:v>225</c:v>
                </c:pt>
                <c:pt idx="1">
                  <c:v>210</c:v>
                </c:pt>
                <c:pt idx="2">
                  <c:v>195</c:v>
                </c:pt>
                <c:pt idx="3">
                  <c:v>180</c:v>
                </c:pt>
                <c:pt idx="4">
                  <c:v>165</c:v>
                </c:pt>
                <c:pt idx="5">
                  <c:v>150</c:v>
                </c:pt>
                <c:pt idx="6">
                  <c:v>135</c:v>
                </c:pt>
                <c:pt idx="7">
                  <c:v>120</c:v>
                </c:pt>
                <c:pt idx="8">
                  <c:v>105</c:v>
                </c:pt>
                <c:pt idx="9">
                  <c:v>90</c:v>
                </c:pt>
                <c:pt idx="10">
                  <c:v>75</c:v>
                </c:pt>
                <c:pt idx="11">
                  <c:v>60</c:v>
                </c:pt>
                <c:pt idx="12">
                  <c:v>45</c:v>
                </c:pt>
                <c:pt idx="13">
                  <c:v>30</c:v>
                </c:pt>
                <c:pt idx="14">
                  <c:v>15</c:v>
                </c:pt>
              </c:numCache>
            </c:numRef>
          </c:xVal>
          <c:yVal>
            <c:numRef>
              <c:f>'Collected Data Site 992'!$L$27:$L$41</c:f>
              <c:numCache>
                <c:formatCode>General</c:formatCode>
                <c:ptCount val="15"/>
                <c:pt idx="0">
                  <c:v>1.2328767123287672</c:v>
                </c:pt>
                <c:pt idx="1">
                  <c:v>1.1986301369863015</c:v>
                </c:pt>
                <c:pt idx="2">
                  <c:v>1.1646658304963269</c:v>
                </c:pt>
                <c:pt idx="3">
                  <c:v>1.1469351344462853</c:v>
                </c:pt>
                <c:pt idx="4">
                  <c:v>1.1119347664936992</c:v>
                </c:pt>
                <c:pt idx="5">
                  <c:v>1.0733452593917709</c:v>
                </c:pt>
                <c:pt idx="6">
                  <c:v>1.0296697429639232</c:v>
                </c:pt>
                <c:pt idx="7">
                  <c:v>0.98425196850393704</c:v>
                </c:pt>
                <c:pt idx="8">
                  <c:v>0.92961487383798136</c:v>
                </c:pt>
                <c:pt idx="9">
                  <c:v>0.8769365682548963</c:v>
                </c:pt>
                <c:pt idx="10">
                  <c:v>0.81054793040095108</c:v>
                </c:pt>
                <c:pt idx="11">
                  <c:v>0.73928043371118779</c:v>
                </c:pt>
                <c:pt idx="12">
                  <c:v>0.65435509669914216</c:v>
                </c:pt>
                <c:pt idx="13">
                  <c:v>0.54834582343264482</c:v>
                </c:pt>
                <c:pt idx="14">
                  <c:v>0.3972457627118644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4D-4355-B129-6050C571B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78616"/>
        <c:axId val="558375336"/>
      </c:scatterChart>
      <c:valAx>
        <c:axId val="558378616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75336"/>
        <c:crosses val="autoZero"/>
        <c:crossBetween val="midCat"/>
      </c:valAx>
      <c:valAx>
        <c:axId val="558375336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7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</a:t>
            </a:r>
            <a:r>
              <a:rPr lang="en-US" baseline="0"/>
              <a:t> Velocity </a:t>
            </a:r>
            <a:r>
              <a:rPr lang="en-US"/>
              <a:t>(1482.76)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7467847769028866E-2"/>
                  <c:y val="-0.111953557888597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0.13x</a:t>
                    </a:r>
                    <a:r>
                      <a:rPr lang="en-US" sz="1200" baseline="30000"/>
                      <a:t>0.4031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0.9906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992'!$N$27:$N$42</c:f>
              <c:numCache>
                <c:formatCode>General</c:formatCode>
                <c:ptCount val="16"/>
                <c:pt idx="0">
                  <c:v>235</c:v>
                </c:pt>
                <c:pt idx="1">
                  <c:v>225</c:v>
                </c:pt>
                <c:pt idx="2">
                  <c:v>210</c:v>
                </c:pt>
                <c:pt idx="3">
                  <c:v>195</c:v>
                </c:pt>
                <c:pt idx="4">
                  <c:v>180</c:v>
                </c:pt>
                <c:pt idx="5">
                  <c:v>165</c:v>
                </c:pt>
                <c:pt idx="6">
                  <c:v>150</c:v>
                </c:pt>
                <c:pt idx="7">
                  <c:v>135</c:v>
                </c:pt>
                <c:pt idx="8">
                  <c:v>120</c:v>
                </c:pt>
                <c:pt idx="9">
                  <c:v>105</c:v>
                </c:pt>
                <c:pt idx="10">
                  <c:v>90</c:v>
                </c:pt>
                <c:pt idx="11">
                  <c:v>75</c:v>
                </c:pt>
                <c:pt idx="12">
                  <c:v>60</c:v>
                </c:pt>
                <c:pt idx="13">
                  <c:v>45</c:v>
                </c:pt>
                <c:pt idx="14">
                  <c:v>30</c:v>
                </c:pt>
                <c:pt idx="15">
                  <c:v>15</c:v>
                </c:pt>
              </c:numCache>
            </c:numRef>
          </c:xVal>
          <c:yVal>
            <c:numRef>
              <c:f>'Collected Data Site 992'!$R$27:$R$42</c:f>
              <c:numCache>
                <c:formatCode>General</c:formatCode>
                <c:ptCount val="16"/>
                <c:pt idx="0">
                  <c:v>1.1062467636397872</c:v>
                </c:pt>
                <c:pt idx="1">
                  <c:v>1.1059771922925679</c:v>
                </c:pt>
                <c:pt idx="2">
                  <c:v>1.0909090909090908</c:v>
                </c:pt>
                <c:pt idx="3">
                  <c:v>1.0701350016463613</c:v>
                </c:pt>
                <c:pt idx="4">
                  <c:v>1.0682492581602374</c:v>
                </c:pt>
                <c:pt idx="5">
                  <c:v>1.031443395636682</c:v>
                </c:pt>
                <c:pt idx="6">
                  <c:v>1.001669449081803</c:v>
                </c:pt>
                <c:pt idx="7">
                  <c:v>0.96133304849391155</c:v>
                </c:pt>
                <c:pt idx="8">
                  <c:v>0.91792243555419573</c:v>
                </c:pt>
                <c:pt idx="9">
                  <c:v>0.86891757696127103</c:v>
                </c:pt>
                <c:pt idx="10">
                  <c:v>0.81803308489365578</c:v>
                </c:pt>
                <c:pt idx="11">
                  <c:v>0.75880210441116958</c:v>
                </c:pt>
                <c:pt idx="12">
                  <c:v>0.69044879171461448</c:v>
                </c:pt>
                <c:pt idx="13">
                  <c:v>0.61174551386623166</c:v>
                </c:pt>
                <c:pt idx="14">
                  <c:v>0.51220761481987365</c:v>
                </c:pt>
                <c:pt idx="15">
                  <c:v>0.36487472634395524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95-4573-A308-C51D230AF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39000"/>
        <c:axId val="555141296"/>
      </c:scatterChart>
      <c:valAx>
        <c:axId val="5551390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1296"/>
        <c:crosses val="autoZero"/>
        <c:crossBetween val="midCat"/>
      </c:valAx>
      <c:valAx>
        <c:axId val="555141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3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(1724.7)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376640419947505"/>
                  <c:y val="-6.18150335374745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0.106x</a:t>
                    </a:r>
                    <a:r>
                      <a:rPr lang="en-US" sz="1200" baseline="30000"/>
                      <a:t>0.4636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992'!$T$27:$T$45</c:f>
              <c:numCache>
                <c:formatCode>General</c:formatCode>
                <c:ptCount val="19"/>
                <c:pt idx="0">
                  <c:v>190</c:v>
                </c:pt>
                <c:pt idx="1">
                  <c:v>180</c:v>
                </c:pt>
                <c:pt idx="2">
                  <c:v>170</c:v>
                </c:pt>
                <c:pt idx="3">
                  <c:v>160</c:v>
                </c:pt>
                <c:pt idx="4">
                  <c:v>150</c:v>
                </c:pt>
                <c:pt idx="5">
                  <c:v>140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70</c:v>
                </c:pt>
                <c:pt idx="13">
                  <c:v>60</c:v>
                </c:pt>
                <c:pt idx="14">
                  <c:v>50</c:v>
                </c:pt>
                <c:pt idx="15">
                  <c:v>40</c:v>
                </c:pt>
                <c:pt idx="16">
                  <c:v>30</c:v>
                </c:pt>
                <c:pt idx="17">
                  <c:v>20</c:v>
                </c:pt>
                <c:pt idx="18">
                  <c:v>10</c:v>
                </c:pt>
              </c:numCache>
            </c:numRef>
          </c:xVal>
          <c:yVal>
            <c:numRef>
              <c:f>'Collected Data Site 992'!$X$27:$X$45</c:f>
              <c:numCache>
                <c:formatCode>General</c:formatCode>
                <c:ptCount val="19"/>
                <c:pt idx="0">
                  <c:v>1.1627906976744187</c:v>
                </c:pt>
                <c:pt idx="1">
                  <c:v>1.1613652493709272</c:v>
                </c:pt>
                <c:pt idx="2">
                  <c:v>1.1386470194239784</c:v>
                </c:pt>
                <c:pt idx="3">
                  <c:v>1.108340260459961</c:v>
                </c:pt>
                <c:pt idx="4">
                  <c:v>1.0805359458291313</c:v>
                </c:pt>
                <c:pt idx="5">
                  <c:v>1.0433745714711582</c:v>
                </c:pt>
                <c:pt idx="6">
                  <c:v>1.0163396137909468</c:v>
                </c:pt>
                <c:pt idx="7">
                  <c:v>0.98207709305180457</c:v>
                </c:pt>
                <c:pt idx="8">
                  <c:v>0.94145840465593977</c:v>
                </c:pt>
                <c:pt idx="9">
                  <c:v>0.90407738902450052</c:v>
                </c:pt>
                <c:pt idx="10">
                  <c:v>0.86182131571387521</c:v>
                </c:pt>
                <c:pt idx="11">
                  <c:v>0.81691003778208915</c:v>
                </c:pt>
                <c:pt idx="12">
                  <c:v>0.77211559673505403</c:v>
                </c:pt>
                <c:pt idx="13">
                  <c:v>0.7163323782234956</c:v>
                </c:pt>
                <c:pt idx="14">
                  <c:v>0.65798131333070142</c:v>
                </c:pt>
                <c:pt idx="15">
                  <c:v>0.59127864005912778</c:v>
                </c:pt>
                <c:pt idx="16">
                  <c:v>0.5181347150259068</c:v>
                </c:pt>
                <c:pt idx="17">
                  <c:v>0.42372881355932202</c:v>
                </c:pt>
                <c:pt idx="18">
                  <c:v>0.29824038174768863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BF-4F4B-8E0F-52DCAC93A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82488"/>
        <c:axId val="566585112"/>
      </c:scatterChart>
      <c:valAx>
        <c:axId val="566582488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85112"/>
        <c:crosses val="autoZero"/>
        <c:crossBetween val="midCat"/>
      </c:valAx>
      <c:valAx>
        <c:axId val="566585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(m/s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8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(1877.94)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5868547681539808E-2"/>
                  <c:y val="-0.111030912802566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0.0939x</a:t>
                    </a:r>
                    <a:r>
                      <a:rPr lang="en-US" sz="1200" baseline="30000"/>
                      <a:t>0.4673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0.9902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992'!$B$54:$B$74</c:f>
              <c:numCache>
                <c:formatCode>General</c:formatCode>
                <c:ptCount val="21"/>
                <c:pt idx="0">
                  <c:v>210</c:v>
                </c:pt>
                <c:pt idx="1">
                  <c:v>200</c:v>
                </c:pt>
                <c:pt idx="2">
                  <c:v>190</c:v>
                </c:pt>
                <c:pt idx="3">
                  <c:v>180</c:v>
                </c:pt>
                <c:pt idx="4">
                  <c:v>170</c:v>
                </c:pt>
                <c:pt idx="5">
                  <c:v>160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100</c:v>
                </c:pt>
                <c:pt idx="12">
                  <c:v>90</c:v>
                </c:pt>
                <c:pt idx="13">
                  <c:v>80</c:v>
                </c:pt>
                <c:pt idx="14">
                  <c:v>70</c:v>
                </c:pt>
                <c:pt idx="15">
                  <c:v>60</c:v>
                </c:pt>
                <c:pt idx="16">
                  <c:v>50</c:v>
                </c:pt>
                <c:pt idx="17">
                  <c:v>40</c:v>
                </c:pt>
                <c:pt idx="18">
                  <c:v>30</c:v>
                </c:pt>
                <c:pt idx="19">
                  <c:v>20</c:v>
                </c:pt>
                <c:pt idx="20">
                  <c:v>10</c:v>
                </c:pt>
              </c:numCache>
            </c:numRef>
          </c:xVal>
          <c:yVal>
            <c:numRef>
              <c:f>'Collected Data Site 992'!$F$54:$F$74</c:f>
              <c:numCache>
                <c:formatCode>General</c:formatCode>
                <c:ptCount val="21"/>
                <c:pt idx="0">
                  <c:v>1.0526315789473684</c:v>
                </c:pt>
                <c:pt idx="1">
                  <c:v>1.0588173010746997</c:v>
                </c:pt>
                <c:pt idx="2">
                  <c:v>1.0568472577594838</c:v>
                </c:pt>
                <c:pt idx="3">
                  <c:v>1.0555946516537649</c:v>
                </c:pt>
                <c:pt idx="4">
                  <c:v>1.0243432152325862</c:v>
                </c:pt>
                <c:pt idx="5">
                  <c:v>1.0068592284941162</c:v>
                </c:pt>
                <c:pt idx="6">
                  <c:v>0.98084090760478648</c:v>
                </c:pt>
                <c:pt idx="7">
                  <c:v>0.95322393953836726</c:v>
                </c:pt>
                <c:pt idx="8">
                  <c:v>0.92329545454545447</c:v>
                </c:pt>
                <c:pt idx="9">
                  <c:v>0.89179548156956001</c:v>
                </c:pt>
                <c:pt idx="10">
                  <c:v>0.86018142008132625</c:v>
                </c:pt>
                <c:pt idx="11">
                  <c:v>0.82413054227789684</c:v>
                </c:pt>
                <c:pt idx="12">
                  <c:v>0.78961221266888926</c:v>
                </c:pt>
                <c:pt idx="13">
                  <c:v>0.75159714393085308</c:v>
                </c:pt>
                <c:pt idx="14">
                  <c:v>0.70635721493440973</c:v>
                </c:pt>
                <c:pt idx="15">
                  <c:v>0.65717415115005473</c:v>
                </c:pt>
                <c:pt idx="16">
                  <c:v>0.60379181258302139</c:v>
                </c:pt>
                <c:pt idx="17">
                  <c:v>0.54340442874609429</c:v>
                </c:pt>
                <c:pt idx="18">
                  <c:v>0.47303689687795647</c:v>
                </c:pt>
                <c:pt idx="19">
                  <c:v>0.38022813688212925</c:v>
                </c:pt>
                <c:pt idx="20">
                  <c:v>0.24869435463814971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7-461D-99DA-14E0FAA29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83728"/>
        <c:axId val="558081104"/>
      </c:scatterChart>
      <c:valAx>
        <c:axId val="558083728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81104"/>
        <c:crosses val="autoZero"/>
        <c:crossBetween val="midCat"/>
      </c:valAx>
      <c:valAx>
        <c:axId val="558081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8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(2004.39)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5802493438320208E-2"/>
                  <c:y val="-0.107250291630212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0.0515x</a:t>
                    </a:r>
                    <a:r>
                      <a:rPr lang="en-US" sz="1200" baseline="30000"/>
                      <a:t>0.5596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0.9754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992'!$H$54:$H$74</c:f>
              <c:numCache>
                <c:formatCode>General</c:formatCode>
                <c:ptCount val="21"/>
                <c:pt idx="0">
                  <c:v>210</c:v>
                </c:pt>
                <c:pt idx="1">
                  <c:v>200</c:v>
                </c:pt>
                <c:pt idx="2">
                  <c:v>190</c:v>
                </c:pt>
                <c:pt idx="3">
                  <c:v>180</c:v>
                </c:pt>
                <c:pt idx="4">
                  <c:v>170</c:v>
                </c:pt>
                <c:pt idx="5">
                  <c:v>160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100</c:v>
                </c:pt>
                <c:pt idx="12">
                  <c:v>90</c:v>
                </c:pt>
                <c:pt idx="13">
                  <c:v>80</c:v>
                </c:pt>
                <c:pt idx="14">
                  <c:v>70</c:v>
                </c:pt>
                <c:pt idx="15">
                  <c:v>60</c:v>
                </c:pt>
                <c:pt idx="16">
                  <c:v>50</c:v>
                </c:pt>
                <c:pt idx="17">
                  <c:v>40</c:v>
                </c:pt>
                <c:pt idx="18">
                  <c:v>30</c:v>
                </c:pt>
                <c:pt idx="19">
                  <c:v>20</c:v>
                </c:pt>
                <c:pt idx="20">
                  <c:v>10</c:v>
                </c:pt>
              </c:numCache>
            </c:numRef>
          </c:xVal>
          <c:yVal>
            <c:numRef>
              <c:f>'Collected Data Site 992'!$L$54:$L$74</c:f>
              <c:numCache>
                <c:formatCode>General</c:formatCode>
                <c:ptCount val="21"/>
                <c:pt idx="0">
                  <c:v>0.92998538594393521</c:v>
                </c:pt>
                <c:pt idx="1">
                  <c:v>0.92923848905821682</c:v>
                </c:pt>
                <c:pt idx="2">
                  <c:v>0.92027511382350102</c:v>
                </c:pt>
                <c:pt idx="3">
                  <c:v>0.91682371517343242</c:v>
                </c:pt>
                <c:pt idx="4">
                  <c:v>0.89234160936433782</c:v>
                </c:pt>
                <c:pt idx="5">
                  <c:v>0.8703220191470844</c:v>
                </c:pt>
                <c:pt idx="6">
                  <c:v>0.84602368866328248</c:v>
                </c:pt>
                <c:pt idx="7">
                  <c:v>0.82203041512535968</c:v>
                </c:pt>
                <c:pt idx="8">
                  <c:v>0.79316656497864546</c:v>
                </c:pt>
                <c:pt idx="9">
                  <c:v>0.76224353681001078</c:v>
                </c:pt>
                <c:pt idx="10">
                  <c:v>0.72818747517542692</c:v>
                </c:pt>
                <c:pt idx="11">
                  <c:v>0.69720421111343511</c:v>
                </c:pt>
                <c:pt idx="12">
                  <c:v>0.6620080912100037</c:v>
                </c:pt>
                <c:pt idx="13">
                  <c:v>0.62451209992193601</c:v>
                </c:pt>
                <c:pt idx="14">
                  <c:v>0.58430717863105175</c:v>
                </c:pt>
                <c:pt idx="15">
                  <c:v>0.53927736832644257</c:v>
                </c:pt>
                <c:pt idx="16">
                  <c:v>0.49082163541768919</c:v>
                </c:pt>
                <c:pt idx="17">
                  <c:v>0.43615745284047547</c:v>
                </c:pt>
                <c:pt idx="18">
                  <c:v>0.37220843672456577</c:v>
                </c:pt>
                <c:pt idx="19">
                  <c:v>0.293728888236158</c:v>
                </c:pt>
                <c:pt idx="20">
                  <c:v>0.14723203769140164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C1-43AF-9385-953080255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14896"/>
        <c:axId val="587813912"/>
      </c:scatterChart>
      <c:valAx>
        <c:axId val="58781489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13912"/>
        <c:crosses val="autoZero"/>
        <c:crossBetween val="midCat"/>
      </c:valAx>
      <c:valAx>
        <c:axId val="587813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(m/s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(2125.59)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6638232720909888E-3"/>
                  <c:y val="-9.632181393992417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0.0672x</a:t>
                    </a:r>
                    <a:r>
                      <a:rPr lang="en-US" sz="1200" baseline="30000"/>
                      <a:t>0.5346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0.9256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992'!$N$54:$N$69</c:f>
              <c:numCache>
                <c:formatCode>General</c:formatCode>
                <c:ptCount val="16"/>
                <c:pt idx="0">
                  <c:v>230</c:v>
                </c:pt>
                <c:pt idx="1">
                  <c:v>215</c:v>
                </c:pt>
                <c:pt idx="2">
                  <c:v>200</c:v>
                </c:pt>
                <c:pt idx="3">
                  <c:v>185</c:v>
                </c:pt>
                <c:pt idx="4">
                  <c:v>170</c:v>
                </c:pt>
                <c:pt idx="5">
                  <c:v>155</c:v>
                </c:pt>
                <c:pt idx="6">
                  <c:v>140</c:v>
                </c:pt>
                <c:pt idx="7">
                  <c:v>125</c:v>
                </c:pt>
                <c:pt idx="8">
                  <c:v>110</c:v>
                </c:pt>
                <c:pt idx="9">
                  <c:v>95</c:v>
                </c:pt>
                <c:pt idx="10">
                  <c:v>80</c:v>
                </c:pt>
                <c:pt idx="11">
                  <c:v>65</c:v>
                </c:pt>
                <c:pt idx="12">
                  <c:v>50</c:v>
                </c:pt>
                <c:pt idx="13">
                  <c:v>35</c:v>
                </c:pt>
                <c:pt idx="14">
                  <c:v>20</c:v>
                </c:pt>
                <c:pt idx="15">
                  <c:v>5</c:v>
                </c:pt>
              </c:numCache>
            </c:numRef>
          </c:xVal>
          <c:yVal>
            <c:numRef>
              <c:f>'Collected Data Site 992'!$R$54:$R$69</c:f>
              <c:numCache>
                <c:formatCode>General</c:formatCode>
                <c:ptCount val="16"/>
                <c:pt idx="0">
                  <c:v>0.94196666257115935</c:v>
                </c:pt>
                <c:pt idx="1">
                  <c:v>0.97634076563280503</c:v>
                </c:pt>
                <c:pt idx="2">
                  <c:v>1.0026067776218166</c:v>
                </c:pt>
                <c:pt idx="3">
                  <c:v>1.0539508915854838</c:v>
                </c:pt>
                <c:pt idx="4">
                  <c:v>1.04686249153273</c:v>
                </c:pt>
                <c:pt idx="5">
                  <c:v>1.0239809737728744</c:v>
                </c:pt>
                <c:pt idx="6">
                  <c:v>0.98988899102029271</c:v>
                </c:pt>
                <c:pt idx="7">
                  <c:v>0.94254260292565217</c:v>
                </c:pt>
                <c:pt idx="8">
                  <c:v>0.89263977927452731</c:v>
                </c:pt>
                <c:pt idx="9">
                  <c:v>0.8339185393258427</c:v>
                </c:pt>
                <c:pt idx="10">
                  <c:v>0.773170967430173</c:v>
                </c:pt>
                <c:pt idx="11">
                  <c:v>0.70270270270270274</c:v>
                </c:pt>
                <c:pt idx="12">
                  <c:v>0.6211180124223602</c:v>
                </c:pt>
                <c:pt idx="13">
                  <c:v>0.52465897166841557</c:v>
                </c:pt>
                <c:pt idx="14">
                  <c:v>0.39580447259054025</c:v>
                </c:pt>
                <c:pt idx="15">
                  <c:v>0.11210762331838564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AE-45BC-9EAB-B73800BD5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61888"/>
        <c:axId val="558357296"/>
      </c:scatterChart>
      <c:valAx>
        <c:axId val="558361888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57296"/>
        <c:crosses val="autoZero"/>
        <c:crossBetween val="midCat"/>
      </c:valAx>
      <c:valAx>
        <c:axId val="558357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(2257.55)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5892825896762906E-2"/>
                  <c:y val="0.240609142607174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0.1368x</a:t>
                    </a:r>
                    <a:r>
                      <a:rPr lang="en-US" sz="1200" baseline="30000"/>
                      <a:t>0.2305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0.7885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992'!$T$54:$T$70</c:f>
              <c:numCache>
                <c:formatCode>General</c:formatCode>
                <c:ptCount val="17"/>
                <c:pt idx="0">
                  <c:v>250</c:v>
                </c:pt>
                <c:pt idx="1">
                  <c:v>235</c:v>
                </c:pt>
                <c:pt idx="2">
                  <c:v>220</c:v>
                </c:pt>
                <c:pt idx="3">
                  <c:v>205</c:v>
                </c:pt>
                <c:pt idx="4">
                  <c:v>190</c:v>
                </c:pt>
                <c:pt idx="5">
                  <c:v>175</c:v>
                </c:pt>
                <c:pt idx="6">
                  <c:v>160</c:v>
                </c:pt>
                <c:pt idx="7">
                  <c:v>145</c:v>
                </c:pt>
                <c:pt idx="8">
                  <c:v>130</c:v>
                </c:pt>
                <c:pt idx="9">
                  <c:v>115</c:v>
                </c:pt>
                <c:pt idx="10">
                  <c:v>100</c:v>
                </c:pt>
                <c:pt idx="11">
                  <c:v>85</c:v>
                </c:pt>
                <c:pt idx="12">
                  <c:v>70</c:v>
                </c:pt>
                <c:pt idx="13">
                  <c:v>55</c:v>
                </c:pt>
                <c:pt idx="14">
                  <c:v>40</c:v>
                </c:pt>
                <c:pt idx="15">
                  <c:v>25</c:v>
                </c:pt>
                <c:pt idx="16">
                  <c:v>10</c:v>
                </c:pt>
              </c:numCache>
            </c:numRef>
          </c:xVal>
          <c:yVal>
            <c:numRef>
              <c:f>'Collected Data Site 992'!$X$54:$X$70</c:f>
              <c:numCache>
                <c:formatCode>General</c:formatCode>
                <c:ptCount val="17"/>
                <c:pt idx="0">
                  <c:v>0.4147243741809194</c:v>
                </c:pt>
                <c:pt idx="1">
                  <c:v>0.42129795625672289</c:v>
                </c:pt>
                <c:pt idx="2">
                  <c:v>0.42775757811436688</c:v>
                </c:pt>
                <c:pt idx="3">
                  <c:v>0.43311079185329165</c:v>
                </c:pt>
                <c:pt idx="4">
                  <c:v>0.43725404459991252</c:v>
                </c:pt>
                <c:pt idx="5">
                  <c:v>0.45314482508609755</c:v>
                </c:pt>
                <c:pt idx="6">
                  <c:v>0.45753503002573631</c:v>
                </c:pt>
                <c:pt idx="7">
                  <c:v>0.45807796802931694</c:v>
                </c:pt>
                <c:pt idx="8">
                  <c:v>0.45690988331224519</c:v>
                </c:pt>
                <c:pt idx="9">
                  <c:v>0.44955240217348813</c:v>
                </c:pt>
                <c:pt idx="10">
                  <c:v>0.43580580493332177</c:v>
                </c:pt>
                <c:pt idx="11">
                  <c:v>0.42168973557573047</c:v>
                </c:pt>
                <c:pt idx="12">
                  <c:v>0.40415704387990764</c:v>
                </c:pt>
                <c:pt idx="13">
                  <c:v>0.37769537151490179</c:v>
                </c:pt>
                <c:pt idx="14">
                  <c:v>0.34167592038951056</c:v>
                </c:pt>
                <c:pt idx="15">
                  <c:v>0.28640164967350212</c:v>
                </c:pt>
                <c:pt idx="16">
                  <c:v>0.18615040953090098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6-45F3-898E-7A5D98660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69192"/>
        <c:axId val="578667880"/>
      </c:scatterChart>
      <c:valAx>
        <c:axId val="578669192"/>
        <c:scaling>
          <c:logBase val="10"/>
          <c:orientation val="minMax"/>
          <c:max val="30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67880"/>
        <c:crosses val="autoZero"/>
        <c:crossBetween val="midCat"/>
      </c:valAx>
      <c:valAx>
        <c:axId val="578667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6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(1149.52)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974321959755031"/>
                  <c:y val="5.2639253426655002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0.4138x</a:t>
                    </a:r>
                    <a:r>
                      <a:rPr lang="en-US" sz="1200" baseline="30000"/>
                      <a:t>0.479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992'!$B$27:$B$46</c:f>
              <c:numCache>
                <c:formatCode>General</c:formatCode>
                <c:ptCount val="20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  <c:pt idx="14">
                  <c:v>60</c:v>
                </c:pt>
                <c:pt idx="15">
                  <c:v>50</c:v>
                </c:pt>
                <c:pt idx="16">
                  <c:v>40</c:v>
                </c:pt>
                <c:pt idx="17">
                  <c:v>30</c:v>
                </c:pt>
                <c:pt idx="18">
                  <c:v>20</c:v>
                </c:pt>
                <c:pt idx="19">
                  <c:v>10</c:v>
                </c:pt>
              </c:numCache>
            </c:numRef>
          </c:xVal>
          <c:yVal>
            <c:numRef>
              <c:f>'Collected Data Site 992'!$E$27:$E$46</c:f>
              <c:numCache>
                <c:formatCode>General</c:formatCode>
                <c:ptCount val="20"/>
                <c:pt idx="0">
                  <c:v>5.33</c:v>
                </c:pt>
                <c:pt idx="1">
                  <c:v>5.2</c:v>
                </c:pt>
                <c:pt idx="2">
                  <c:v>4.97</c:v>
                </c:pt>
                <c:pt idx="3">
                  <c:v>4.8600000000000003</c:v>
                </c:pt>
                <c:pt idx="4">
                  <c:v>4.6900000000000004</c:v>
                </c:pt>
                <c:pt idx="5">
                  <c:v>4.57</c:v>
                </c:pt>
                <c:pt idx="6">
                  <c:v>4.5599999999999996</c:v>
                </c:pt>
                <c:pt idx="7">
                  <c:v>4.25</c:v>
                </c:pt>
                <c:pt idx="8">
                  <c:v>4.0599999999999996</c:v>
                </c:pt>
                <c:pt idx="9">
                  <c:v>3.91</c:v>
                </c:pt>
                <c:pt idx="10">
                  <c:v>3.77</c:v>
                </c:pt>
                <c:pt idx="11">
                  <c:v>3.52</c:v>
                </c:pt>
                <c:pt idx="12">
                  <c:v>3.35</c:v>
                </c:pt>
                <c:pt idx="13">
                  <c:v>3.11</c:v>
                </c:pt>
                <c:pt idx="14">
                  <c:v>2.9</c:v>
                </c:pt>
                <c:pt idx="15">
                  <c:v>2.68</c:v>
                </c:pt>
                <c:pt idx="16">
                  <c:v>2.38</c:v>
                </c:pt>
                <c:pt idx="17">
                  <c:v>2.09</c:v>
                </c:pt>
                <c:pt idx="18">
                  <c:v>1.74</c:v>
                </c:pt>
                <c:pt idx="19">
                  <c:v>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B-4959-89C1-64281E1B1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54672"/>
        <c:axId val="558355000"/>
      </c:scatterChart>
      <c:valAx>
        <c:axId val="558354672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55000"/>
        <c:crosses val="autoZero"/>
        <c:crossBetween val="midCat"/>
      </c:valAx>
      <c:valAx>
        <c:axId val="558355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5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(1320.11)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8678258967629046E-2"/>
                  <c:y val="-4.810987168270632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0.394x</a:t>
                    </a:r>
                    <a:r>
                      <a:rPr lang="en-US" sz="1200" baseline="30000"/>
                      <a:t>0.4884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992'!$H$27:$H$41</c:f>
              <c:numCache>
                <c:formatCode>General</c:formatCode>
                <c:ptCount val="15"/>
                <c:pt idx="0">
                  <c:v>225</c:v>
                </c:pt>
                <c:pt idx="1">
                  <c:v>210</c:v>
                </c:pt>
                <c:pt idx="2">
                  <c:v>195</c:v>
                </c:pt>
                <c:pt idx="3">
                  <c:v>180</c:v>
                </c:pt>
                <c:pt idx="4">
                  <c:v>165</c:v>
                </c:pt>
                <c:pt idx="5">
                  <c:v>150</c:v>
                </c:pt>
                <c:pt idx="6">
                  <c:v>135</c:v>
                </c:pt>
                <c:pt idx="7">
                  <c:v>120</c:v>
                </c:pt>
                <c:pt idx="8">
                  <c:v>105</c:v>
                </c:pt>
                <c:pt idx="9">
                  <c:v>90</c:v>
                </c:pt>
                <c:pt idx="10">
                  <c:v>75</c:v>
                </c:pt>
                <c:pt idx="11">
                  <c:v>60</c:v>
                </c:pt>
                <c:pt idx="12">
                  <c:v>45</c:v>
                </c:pt>
                <c:pt idx="13">
                  <c:v>30</c:v>
                </c:pt>
                <c:pt idx="14">
                  <c:v>15</c:v>
                </c:pt>
              </c:numCache>
            </c:numRef>
          </c:xVal>
          <c:yVal>
            <c:numRef>
              <c:f>'Collected Data Site 992'!$K$27:$K$41</c:f>
              <c:numCache>
                <c:formatCode>General</c:formatCode>
                <c:ptCount val="15"/>
                <c:pt idx="0">
                  <c:v>5.63</c:v>
                </c:pt>
                <c:pt idx="1">
                  <c:v>5.45</c:v>
                </c:pt>
                <c:pt idx="2">
                  <c:v>5.24</c:v>
                </c:pt>
                <c:pt idx="3">
                  <c:v>4.96</c:v>
                </c:pt>
                <c:pt idx="4">
                  <c:v>4.76</c:v>
                </c:pt>
                <c:pt idx="5">
                  <c:v>4.54</c:v>
                </c:pt>
                <c:pt idx="6">
                  <c:v>4.32</c:v>
                </c:pt>
                <c:pt idx="7">
                  <c:v>4.07</c:v>
                </c:pt>
                <c:pt idx="8">
                  <c:v>3.8</c:v>
                </c:pt>
                <c:pt idx="9">
                  <c:v>3.52</c:v>
                </c:pt>
                <c:pt idx="10">
                  <c:v>3.2</c:v>
                </c:pt>
                <c:pt idx="11">
                  <c:v>2.87</c:v>
                </c:pt>
                <c:pt idx="12">
                  <c:v>2.5099999999999998</c:v>
                </c:pt>
                <c:pt idx="13">
                  <c:v>2.06</c:v>
                </c:pt>
                <c:pt idx="14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00-4C36-8A33-05D5C41B7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78616"/>
        <c:axId val="558375336"/>
      </c:scatterChart>
      <c:valAx>
        <c:axId val="558378616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75336"/>
        <c:crosses val="autoZero"/>
        <c:crossBetween val="midCat"/>
      </c:valAx>
      <c:valAx>
        <c:axId val="558375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7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(1482.76)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1016251093613298"/>
                  <c:y val="0.176562408865558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0.4273x</a:t>
                    </a:r>
                    <a:r>
                      <a:rPr lang="en-US" sz="1200" baseline="30000"/>
                      <a:t>0.4774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0.9991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992'!$N$27:$N$42</c:f>
              <c:numCache>
                <c:formatCode>General</c:formatCode>
                <c:ptCount val="16"/>
                <c:pt idx="0">
                  <c:v>235</c:v>
                </c:pt>
                <c:pt idx="1">
                  <c:v>225</c:v>
                </c:pt>
                <c:pt idx="2">
                  <c:v>210</c:v>
                </c:pt>
                <c:pt idx="3">
                  <c:v>195</c:v>
                </c:pt>
                <c:pt idx="4">
                  <c:v>180</c:v>
                </c:pt>
                <c:pt idx="5">
                  <c:v>165</c:v>
                </c:pt>
                <c:pt idx="6">
                  <c:v>150</c:v>
                </c:pt>
                <c:pt idx="7">
                  <c:v>135</c:v>
                </c:pt>
                <c:pt idx="8">
                  <c:v>120</c:v>
                </c:pt>
                <c:pt idx="9">
                  <c:v>105</c:v>
                </c:pt>
                <c:pt idx="10">
                  <c:v>90</c:v>
                </c:pt>
                <c:pt idx="11">
                  <c:v>75</c:v>
                </c:pt>
                <c:pt idx="12">
                  <c:v>60</c:v>
                </c:pt>
                <c:pt idx="13">
                  <c:v>45</c:v>
                </c:pt>
                <c:pt idx="14">
                  <c:v>30</c:v>
                </c:pt>
                <c:pt idx="15">
                  <c:v>15</c:v>
                </c:pt>
              </c:numCache>
            </c:numRef>
          </c:xVal>
          <c:yVal>
            <c:numRef>
              <c:f>'Collected Data Site 992'!$Q$27:$Q$42</c:f>
              <c:numCache>
                <c:formatCode>General</c:formatCode>
                <c:ptCount val="16"/>
                <c:pt idx="0">
                  <c:v>5.89</c:v>
                </c:pt>
                <c:pt idx="1">
                  <c:v>5.75</c:v>
                </c:pt>
                <c:pt idx="2">
                  <c:v>5.57</c:v>
                </c:pt>
                <c:pt idx="3">
                  <c:v>5.36</c:v>
                </c:pt>
                <c:pt idx="4">
                  <c:v>5.07</c:v>
                </c:pt>
                <c:pt idx="5">
                  <c:v>4.8600000000000003</c:v>
                </c:pt>
                <c:pt idx="6">
                  <c:v>4.6399999999999997</c:v>
                </c:pt>
                <c:pt idx="7">
                  <c:v>4.4000000000000004</c:v>
                </c:pt>
                <c:pt idx="8">
                  <c:v>4.16</c:v>
                </c:pt>
                <c:pt idx="9">
                  <c:v>3.91</c:v>
                </c:pt>
                <c:pt idx="10">
                  <c:v>3.62</c:v>
                </c:pt>
                <c:pt idx="11">
                  <c:v>3.33</c:v>
                </c:pt>
                <c:pt idx="12">
                  <c:v>2.99</c:v>
                </c:pt>
                <c:pt idx="13">
                  <c:v>2.62</c:v>
                </c:pt>
                <c:pt idx="14">
                  <c:v>2.17</c:v>
                </c:pt>
                <c:pt idx="15">
                  <c:v>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96-429D-926E-4DAB37E80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39000"/>
        <c:axId val="555141296"/>
      </c:scatterChart>
      <c:valAx>
        <c:axId val="5551390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1296"/>
        <c:crosses val="autoZero"/>
        <c:crossBetween val="midCat"/>
      </c:valAx>
      <c:valAx>
        <c:axId val="555141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3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(1724.7)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852034120734907"/>
                  <c:y val="-3.003791192767570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0.4868x</a:t>
                    </a:r>
                    <a:r>
                      <a:rPr lang="en-US" sz="1200" baseline="30000"/>
                      <a:t>0.4534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992'!$T$27:$T$45</c:f>
              <c:numCache>
                <c:formatCode>General</c:formatCode>
                <c:ptCount val="19"/>
                <c:pt idx="0">
                  <c:v>190</c:v>
                </c:pt>
                <c:pt idx="1">
                  <c:v>180</c:v>
                </c:pt>
                <c:pt idx="2">
                  <c:v>170</c:v>
                </c:pt>
                <c:pt idx="3">
                  <c:v>160</c:v>
                </c:pt>
                <c:pt idx="4">
                  <c:v>150</c:v>
                </c:pt>
                <c:pt idx="5">
                  <c:v>140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70</c:v>
                </c:pt>
                <c:pt idx="13">
                  <c:v>60</c:v>
                </c:pt>
                <c:pt idx="14">
                  <c:v>50</c:v>
                </c:pt>
                <c:pt idx="15">
                  <c:v>40</c:v>
                </c:pt>
                <c:pt idx="16">
                  <c:v>30</c:v>
                </c:pt>
                <c:pt idx="17">
                  <c:v>20</c:v>
                </c:pt>
                <c:pt idx="18">
                  <c:v>10</c:v>
                </c:pt>
              </c:numCache>
            </c:numRef>
          </c:xVal>
          <c:yVal>
            <c:numRef>
              <c:f>'Collected Data Site 992'!$W$27:$W$45</c:f>
              <c:numCache>
                <c:formatCode>General</c:formatCode>
                <c:ptCount val="19"/>
                <c:pt idx="0">
                  <c:v>5.38</c:v>
                </c:pt>
                <c:pt idx="1">
                  <c:v>5.19</c:v>
                </c:pt>
                <c:pt idx="2">
                  <c:v>5.03</c:v>
                </c:pt>
                <c:pt idx="3">
                  <c:v>4.8899999999999997</c:v>
                </c:pt>
                <c:pt idx="4">
                  <c:v>4.74</c:v>
                </c:pt>
                <c:pt idx="5">
                  <c:v>4.58</c:v>
                </c:pt>
                <c:pt idx="6">
                  <c:v>4.4400000000000004</c:v>
                </c:pt>
                <c:pt idx="7">
                  <c:v>4.24</c:v>
                </c:pt>
                <c:pt idx="8">
                  <c:v>4.0999999999999996</c:v>
                </c:pt>
                <c:pt idx="9">
                  <c:v>3.91</c:v>
                </c:pt>
                <c:pt idx="10">
                  <c:v>3.72</c:v>
                </c:pt>
                <c:pt idx="11">
                  <c:v>3.52</c:v>
                </c:pt>
                <c:pt idx="12">
                  <c:v>3.29</c:v>
                </c:pt>
                <c:pt idx="13">
                  <c:v>3.09</c:v>
                </c:pt>
                <c:pt idx="14">
                  <c:v>2.83</c:v>
                </c:pt>
                <c:pt idx="15">
                  <c:v>2.56</c:v>
                </c:pt>
                <c:pt idx="16">
                  <c:v>2.2400000000000002</c:v>
                </c:pt>
                <c:pt idx="17">
                  <c:v>1.9</c:v>
                </c:pt>
                <c:pt idx="18">
                  <c:v>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63-4164-B0DA-6FFC6378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82488"/>
        <c:axId val="566585112"/>
      </c:scatterChart>
      <c:valAx>
        <c:axId val="566582488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85112"/>
        <c:crosses val="autoZero"/>
        <c:crossBetween val="midCat"/>
      </c:valAx>
      <c:valAx>
        <c:axId val="566585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8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(1877.94)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701793525809274E-2"/>
                  <c:y val="0.239654053659959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0.6377x</a:t>
                    </a:r>
                    <a:r>
                      <a:rPr lang="en-US" sz="1200" baseline="30000"/>
                      <a:t>0.4145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0.9962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992'!$B$54:$B$74</c:f>
              <c:numCache>
                <c:formatCode>General</c:formatCode>
                <c:ptCount val="21"/>
                <c:pt idx="0">
                  <c:v>210</c:v>
                </c:pt>
                <c:pt idx="1">
                  <c:v>200</c:v>
                </c:pt>
                <c:pt idx="2">
                  <c:v>190</c:v>
                </c:pt>
                <c:pt idx="3">
                  <c:v>180</c:v>
                </c:pt>
                <c:pt idx="4">
                  <c:v>170</c:v>
                </c:pt>
                <c:pt idx="5">
                  <c:v>160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100</c:v>
                </c:pt>
                <c:pt idx="12">
                  <c:v>90</c:v>
                </c:pt>
                <c:pt idx="13">
                  <c:v>80</c:v>
                </c:pt>
                <c:pt idx="14">
                  <c:v>70</c:v>
                </c:pt>
                <c:pt idx="15">
                  <c:v>60</c:v>
                </c:pt>
                <c:pt idx="16">
                  <c:v>50</c:v>
                </c:pt>
                <c:pt idx="17">
                  <c:v>40</c:v>
                </c:pt>
                <c:pt idx="18">
                  <c:v>30</c:v>
                </c:pt>
                <c:pt idx="19">
                  <c:v>20</c:v>
                </c:pt>
                <c:pt idx="20">
                  <c:v>10</c:v>
                </c:pt>
              </c:numCache>
            </c:numRef>
          </c:xVal>
          <c:yVal>
            <c:numRef>
              <c:f>'Collected Data Site 992'!$E$54:$E$74</c:f>
              <c:numCache>
                <c:formatCode>General</c:formatCode>
                <c:ptCount val="21"/>
                <c:pt idx="0">
                  <c:v>6.06</c:v>
                </c:pt>
                <c:pt idx="1">
                  <c:v>5.89</c:v>
                </c:pt>
                <c:pt idx="2">
                  <c:v>5.74</c:v>
                </c:pt>
                <c:pt idx="3">
                  <c:v>5.52</c:v>
                </c:pt>
                <c:pt idx="4">
                  <c:v>5.39</c:v>
                </c:pt>
                <c:pt idx="5">
                  <c:v>5.24</c:v>
                </c:pt>
                <c:pt idx="6">
                  <c:v>5.08</c:v>
                </c:pt>
                <c:pt idx="7">
                  <c:v>4.95</c:v>
                </c:pt>
                <c:pt idx="8">
                  <c:v>4.78</c:v>
                </c:pt>
                <c:pt idx="9">
                  <c:v>4.62</c:v>
                </c:pt>
                <c:pt idx="10">
                  <c:v>4.42</c:v>
                </c:pt>
                <c:pt idx="11">
                  <c:v>4.2699999999999996</c:v>
                </c:pt>
                <c:pt idx="12">
                  <c:v>4.04</c:v>
                </c:pt>
                <c:pt idx="13">
                  <c:v>3.86</c:v>
                </c:pt>
                <c:pt idx="14">
                  <c:v>3.64</c:v>
                </c:pt>
                <c:pt idx="15">
                  <c:v>3.44</c:v>
                </c:pt>
                <c:pt idx="16">
                  <c:v>3.15</c:v>
                </c:pt>
                <c:pt idx="17">
                  <c:v>2.89</c:v>
                </c:pt>
                <c:pt idx="18">
                  <c:v>2.57</c:v>
                </c:pt>
                <c:pt idx="19">
                  <c:v>2.2000000000000002</c:v>
                </c:pt>
                <c:pt idx="20">
                  <c:v>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2E-41B9-9891-A96AA54D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83728"/>
        <c:axId val="558081104"/>
      </c:scatterChart>
      <c:valAx>
        <c:axId val="558083728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81104"/>
        <c:crosses val="autoZero"/>
        <c:crossBetween val="midCat"/>
      </c:valAx>
      <c:valAx>
        <c:axId val="558081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8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609600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EB70-E53A-4C39-BFBC-E5165611E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0</xdr:row>
      <xdr:rowOff>0</xdr:rowOff>
    </xdr:from>
    <xdr:to>
      <xdr:col>9</xdr:col>
      <xdr:colOff>228600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4F6B58-147F-4060-BCCE-9EC3200D5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0</xdr:row>
      <xdr:rowOff>0</xdr:rowOff>
    </xdr:from>
    <xdr:to>
      <xdr:col>13</xdr:col>
      <xdr:colOff>838200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625595-5D1A-4E3D-8EA2-9D6D6DBC0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845820</xdr:colOff>
      <xdr:row>0</xdr:row>
      <xdr:rowOff>0</xdr:rowOff>
    </xdr:from>
    <xdr:to>
      <xdr:col>18</xdr:col>
      <xdr:colOff>464820</xdr:colOff>
      <xdr:row>13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001598-54B8-45B7-961F-5F83925A5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4</xdr:col>
      <xdr:colOff>609600</xdr:colOff>
      <xdr:row>27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92B179-8247-4C2E-AD32-0FDDA8DD4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601980</xdr:colOff>
      <xdr:row>14</xdr:row>
      <xdr:rowOff>7620</xdr:rowOff>
    </xdr:from>
    <xdr:to>
      <xdr:col>9</xdr:col>
      <xdr:colOff>220980</xdr:colOff>
      <xdr:row>27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9D6616-A163-4B20-9ACE-983D3E816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220980</xdr:colOff>
      <xdr:row>14</xdr:row>
      <xdr:rowOff>7620</xdr:rowOff>
    </xdr:from>
    <xdr:to>
      <xdr:col>13</xdr:col>
      <xdr:colOff>830580</xdr:colOff>
      <xdr:row>27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C49C89-4943-41EE-A760-C5308539C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822960</xdr:colOff>
      <xdr:row>14</xdr:row>
      <xdr:rowOff>7620</xdr:rowOff>
    </xdr:from>
    <xdr:to>
      <xdr:col>18</xdr:col>
      <xdr:colOff>441960</xdr:colOff>
      <xdr:row>27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FEC69C-3343-49DF-94CC-A690520E5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609600</xdr:colOff>
      <xdr:row>41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53DE4A-9DD9-4912-8F32-8317C6C9F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609600</xdr:colOff>
      <xdr:row>28</xdr:row>
      <xdr:rowOff>0</xdr:rowOff>
    </xdr:from>
    <xdr:to>
      <xdr:col>9</xdr:col>
      <xdr:colOff>228600</xdr:colOff>
      <xdr:row>41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8FE306-BD89-4402-9DD3-6F5AD433F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228600</xdr:colOff>
      <xdr:row>28</xdr:row>
      <xdr:rowOff>15240</xdr:rowOff>
    </xdr:from>
    <xdr:to>
      <xdr:col>13</xdr:col>
      <xdr:colOff>838200</xdr:colOff>
      <xdr:row>41</xdr:row>
      <xdr:rowOff>182880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FA3507-E9C2-467F-BC90-404DDE4EB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830580</xdr:colOff>
      <xdr:row>28</xdr:row>
      <xdr:rowOff>7620</xdr:rowOff>
    </xdr:from>
    <xdr:to>
      <xdr:col>18</xdr:col>
      <xdr:colOff>449580</xdr:colOff>
      <xdr:row>41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781A3D-F8EC-4E0B-B13C-5EC1D0074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609600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02988-892A-4E05-BA21-22DF6E097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617220</xdr:colOff>
      <xdr:row>0</xdr:row>
      <xdr:rowOff>0</xdr:rowOff>
    </xdr:from>
    <xdr:to>
      <xdr:col>9</xdr:col>
      <xdr:colOff>236220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A86562-22D7-4710-953B-1B0720892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0</xdr:row>
      <xdr:rowOff>0</xdr:rowOff>
    </xdr:from>
    <xdr:to>
      <xdr:col>13</xdr:col>
      <xdr:colOff>838200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D0CAD0-48B5-44BF-BA43-B8A9CDCE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845820</xdr:colOff>
      <xdr:row>0</xdr:row>
      <xdr:rowOff>0</xdr:rowOff>
    </xdr:from>
    <xdr:to>
      <xdr:col>18</xdr:col>
      <xdr:colOff>464820</xdr:colOff>
      <xdr:row>13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A30C9-C9DD-4554-9A7D-E9E8816E9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</xdr:row>
      <xdr:rowOff>15240</xdr:rowOff>
    </xdr:from>
    <xdr:to>
      <xdr:col>4</xdr:col>
      <xdr:colOff>609600</xdr:colOff>
      <xdr:row>27</xdr:row>
      <xdr:rowOff>182880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F69F8E-E757-4982-A156-596E6728E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601980</xdr:colOff>
      <xdr:row>13</xdr:row>
      <xdr:rowOff>190500</xdr:rowOff>
    </xdr:from>
    <xdr:to>
      <xdr:col>9</xdr:col>
      <xdr:colOff>220980</xdr:colOff>
      <xdr:row>27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8C1301-5FF8-4381-8029-66D55D326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220980</xdr:colOff>
      <xdr:row>14</xdr:row>
      <xdr:rowOff>7620</xdr:rowOff>
    </xdr:from>
    <xdr:to>
      <xdr:col>13</xdr:col>
      <xdr:colOff>830580</xdr:colOff>
      <xdr:row>27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B5BD6E-5225-4F6F-A5EC-C98F502A1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830580</xdr:colOff>
      <xdr:row>13</xdr:row>
      <xdr:rowOff>182880</xdr:rowOff>
    </xdr:from>
    <xdr:to>
      <xdr:col>18</xdr:col>
      <xdr:colOff>449580</xdr:colOff>
      <xdr:row>27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1183AE-6FDF-4C43-9003-554FF4144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609600</xdr:colOff>
      <xdr:row>41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2D574A-752B-47CC-BB8B-C7ADFDDCE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617220</xdr:colOff>
      <xdr:row>28</xdr:row>
      <xdr:rowOff>0</xdr:rowOff>
    </xdr:from>
    <xdr:to>
      <xdr:col>9</xdr:col>
      <xdr:colOff>236220</xdr:colOff>
      <xdr:row>41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E2DC7B-6A8C-40B5-95B1-AD197BACE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205740</xdr:colOff>
      <xdr:row>28</xdr:row>
      <xdr:rowOff>7620</xdr:rowOff>
    </xdr:from>
    <xdr:to>
      <xdr:col>13</xdr:col>
      <xdr:colOff>815340</xdr:colOff>
      <xdr:row>41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11FF55-3BEA-4787-AF86-8C7B819E3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830580</xdr:colOff>
      <xdr:row>28</xdr:row>
      <xdr:rowOff>7620</xdr:rowOff>
    </xdr:from>
    <xdr:to>
      <xdr:col>18</xdr:col>
      <xdr:colOff>449580</xdr:colOff>
      <xdr:row>41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742A428-34CE-482C-9554-50F48A193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609600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8B86C-538A-4AE5-9D0A-399EF8625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0</xdr:row>
      <xdr:rowOff>0</xdr:rowOff>
    </xdr:from>
    <xdr:to>
      <xdr:col>9</xdr:col>
      <xdr:colOff>220980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3A6F3E-6608-45E5-A2AF-B7DA3B616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0</xdr:row>
      <xdr:rowOff>0</xdr:rowOff>
    </xdr:from>
    <xdr:to>
      <xdr:col>13</xdr:col>
      <xdr:colOff>838200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979390-0033-43CC-81DF-7298A3040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815340</xdr:colOff>
      <xdr:row>0</xdr:row>
      <xdr:rowOff>0</xdr:rowOff>
    </xdr:from>
    <xdr:to>
      <xdr:col>18</xdr:col>
      <xdr:colOff>434340</xdr:colOff>
      <xdr:row>13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6CA2AE-8891-442D-A3D6-864F92ADC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4</xdr:col>
      <xdr:colOff>609600</xdr:colOff>
      <xdr:row>27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CA8715-5C32-49D0-B232-6930C769B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609600</xdr:colOff>
      <xdr:row>13</xdr:row>
      <xdr:rowOff>182880</xdr:rowOff>
    </xdr:from>
    <xdr:to>
      <xdr:col>9</xdr:col>
      <xdr:colOff>228600</xdr:colOff>
      <xdr:row>27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972726-C1EB-4F2C-BE28-4610EEE07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220980</xdr:colOff>
      <xdr:row>13</xdr:row>
      <xdr:rowOff>182880</xdr:rowOff>
    </xdr:from>
    <xdr:to>
      <xdr:col>13</xdr:col>
      <xdr:colOff>830580</xdr:colOff>
      <xdr:row>27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8725F6-D737-4E59-BB50-D87AF868B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822960</xdr:colOff>
      <xdr:row>13</xdr:row>
      <xdr:rowOff>175260</xdr:rowOff>
    </xdr:from>
    <xdr:to>
      <xdr:col>18</xdr:col>
      <xdr:colOff>441960</xdr:colOff>
      <xdr:row>27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7D440E-2266-41CC-9EC7-FF74B6580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609600</xdr:colOff>
      <xdr:row>41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259CDC-57CE-4B06-B30B-1CC8DCEBD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601980</xdr:colOff>
      <xdr:row>28</xdr:row>
      <xdr:rowOff>0</xdr:rowOff>
    </xdr:from>
    <xdr:to>
      <xdr:col>9</xdr:col>
      <xdr:colOff>220980</xdr:colOff>
      <xdr:row>41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D53725-1CE8-4D5F-AC64-F41C44B27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198120</xdr:colOff>
      <xdr:row>28</xdr:row>
      <xdr:rowOff>0</xdr:rowOff>
    </xdr:from>
    <xdr:to>
      <xdr:col>13</xdr:col>
      <xdr:colOff>807720</xdr:colOff>
      <xdr:row>41</xdr:row>
      <xdr:rowOff>167640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5858D62-E3E9-4CA1-B578-67F7C9F96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807720</xdr:colOff>
      <xdr:row>27</xdr:row>
      <xdr:rowOff>167640</xdr:rowOff>
    </xdr:from>
    <xdr:to>
      <xdr:col>18</xdr:col>
      <xdr:colOff>426720</xdr:colOff>
      <xdr:row>41</xdr:row>
      <xdr:rowOff>137160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18F43C1-EF63-43A3-9B95-45EF97968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609600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98C71D-9354-4781-AF87-5BB83A235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617220</xdr:colOff>
      <xdr:row>0</xdr:row>
      <xdr:rowOff>0</xdr:rowOff>
    </xdr:from>
    <xdr:to>
      <xdr:col>9</xdr:col>
      <xdr:colOff>236220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96C3A9-B99D-408D-8F80-E1A5890C9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0</xdr:row>
      <xdr:rowOff>0</xdr:rowOff>
    </xdr:from>
    <xdr:to>
      <xdr:col>13</xdr:col>
      <xdr:colOff>838200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1ACAF-E708-4799-93F0-6B0854222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822960</xdr:colOff>
      <xdr:row>0</xdr:row>
      <xdr:rowOff>0</xdr:rowOff>
    </xdr:from>
    <xdr:to>
      <xdr:col>18</xdr:col>
      <xdr:colOff>441960</xdr:colOff>
      <xdr:row>13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1D8FE9-D2EE-425A-AB89-6E4D796E1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4</xdr:col>
      <xdr:colOff>609600</xdr:colOff>
      <xdr:row>27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D7CA90-F15F-49EC-8A58-7355D7BE6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579120</xdr:colOff>
      <xdr:row>13</xdr:row>
      <xdr:rowOff>190500</xdr:rowOff>
    </xdr:from>
    <xdr:to>
      <xdr:col>9</xdr:col>
      <xdr:colOff>198120</xdr:colOff>
      <xdr:row>27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45F206-A2FC-4905-B6DD-49737301F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205740</xdr:colOff>
      <xdr:row>13</xdr:row>
      <xdr:rowOff>182880</xdr:rowOff>
    </xdr:from>
    <xdr:to>
      <xdr:col>13</xdr:col>
      <xdr:colOff>815340</xdr:colOff>
      <xdr:row>27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200132-ED01-482E-8F11-802D5F3DE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822960</xdr:colOff>
      <xdr:row>13</xdr:row>
      <xdr:rowOff>182880</xdr:rowOff>
    </xdr:from>
    <xdr:to>
      <xdr:col>18</xdr:col>
      <xdr:colOff>441960</xdr:colOff>
      <xdr:row>27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530D2B-73CC-47F4-B135-D347E509E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609600</xdr:colOff>
      <xdr:row>41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A6B566-F24B-433F-BBF1-1E552B37C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609600</xdr:colOff>
      <xdr:row>28</xdr:row>
      <xdr:rowOff>7620</xdr:rowOff>
    </xdr:from>
    <xdr:to>
      <xdr:col>9</xdr:col>
      <xdr:colOff>228600</xdr:colOff>
      <xdr:row>41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5A5C19-C46A-4BFC-98ED-2D217A9F8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198120</xdr:colOff>
      <xdr:row>28</xdr:row>
      <xdr:rowOff>7620</xdr:rowOff>
    </xdr:from>
    <xdr:to>
      <xdr:col>13</xdr:col>
      <xdr:colOff>807720</xdr:colOff>
      <xdr:row>41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F3CB63F-B947-4242-A783-46A09B43A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822960</xdr:colOff>
      <xdr:row>27</xdr:row>
      <xdr:rowOff>182880</xdr:rowOff>
    </xdr:from>
    <xdr:to>
      <xdr:col>18</xdr:col>
      <xdr:colOff>441960</xdr:colOff>
      <xdr:row>41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3523503-1005-42F5-9C68-DDF6AA0AF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X75"/>
  <sheetViews>
    <sheetView workbookViewId="0">
      <selection activeCell="C27" sqref="C27"/>
    </sheetView>
  </sheetViews>
  <sheetFormatPr defaultColWidth="14.44140625" defaultRowHeight="15.75" customHeight="1" x14ac:dyDescent="0.25"/>
  <cols>
    <col min="2" max="2" width="22.6640625" customWidth="1"/>
    <col min="8" max="8" width="22.6640625" customWidth="1"/>
    <col min="14" max="14" width="22.6640625" customWidth="1"/>
    <col min="20" max="20" width="22.6640625" customWidth="1"/>
  </cols>
  <sheetData>
    <row r="2" spans="2:24" x14ac:dyDescent="0.25">
      <c r="B2" s="1" t="s">
        <v>0</v>
      </c>
      <c r="C2" s="2">
        <v>992</v>
      </c>
      <c r="D2" s="3"/>
      <c r="E2" s="3"/>
      <c r="F2" s="3"/>
      <c r="H2" s="1" t="s">
        <v>0</v>
      </c>
      <c r="I2" s="2">
        <v>992</v>
      </c>
      <c r="J2" s="3"/>
      <c r="K2" s="3"/>
      <c r="L2" s="3"/>
      <c r="N2" s="1" t="s">
        <v>0</v>
      </c>
      <c r="O2" s="2">
        <v>992</v>
      </c>
      <c r="P2" s="3"/>
      <c r="Q2" s="3"/>
      <c r="R2" s="3"/>
      <c r="T2" s="1" t="s">
        <v>0</v>
      </c>
      <c r="U2" s="2">
        <v>992</v>
      </c>
      <c r="V2" s="3"/>
      <c r="W2" s="3"/>
      <c r="X2" s="3"/>
    </row>
    <row r="3" spans="2:24" x14ac:dyDescent="0.25">
      <c r="B3" s="1" t="s">
        <v>1</v>
      </c>
      <c r="C3" s="4">
        <v>78.22</v>
      </c>
      <c r="D3" s="3"/>
      <c r="E3" s="3"/>
      <c r="F3" s="3"/>
      <c r="H3" s="1" t="s">
        <v>1</v>
      </c>
      <c r="I3" s="4">
        <v>321.57</v>
      </c>
      <c r="J3" s="3"/>
      <c r="K3" s="3"/>
      <c r="L3" s="3"/>
      <c r="N3" s="1" t="s">
        <v>1</v>
      </c>
      <c r="O3" s="4">
        <v>483.86</v>
      </c>
      <c r="P3" s="3"/>
      <c r="Q3" s="3"/>
      <c r="R3" s="3"/>
      <c r="T3" s="1" t="s">
        <v>1</v>
      </c>
      <c r="U3" s="4">
        <v>842.61</v>
      </c>
      <c r="V3" s="3"/>
      <c r="W3" s="3"/>
      <c r="X3" s="3"/>
    </row>
    <row r="4" spans="2:24" x14ac:dyDescent="0.25">
      <c r="B4" s="3"/>
      <c r="C4" s="3"/>
      <c r="D4" s="3"/>
      <c r="E4" s="3"/>
      <c r="F4" s="3"/>
      <c r="H4" s="3"/>
      <c r="I4" s="3"/>
      <c r="J4" s="3"/>
      <c r="K4" s="3"/>
      <c r="L4" s="3"/>
      <c r="N4" s="3"/>
      <c r="O4" s="3"/>
      <c r="P4" s="3"/>
      <c r="Q4" s="3"/>
      <c r="R4" s="3"/>
      <c r="T4" s="3"/>
      <c r="U4" s="3"/>
      <c r="V4" s="3"/>
      <c r="W4" s="3"/>
      <c r="X4" s="3"/>
    </row>
    <row r="5" spans="2:24" x14ac:dyDescent="0.25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H5" s="1" t="s">
        <v>2</v>
      </c>
      <c r="I5" s="1" t="s">
        <v>3</v>
      </c>
      <c r="J5" s="1" t="s">
        <v>4</v>
      </c>
      <c r="K5" s="1" t="s">
        <v>5</v>
      </c>
      <c r="L5" s="1" t="s">
        <v>6</v>
      </c>
      <c r="N5" s="1" t="s">
        <v>2</v>
      </c>
      <c r="O5" s="1" t="s">
        <v>3</v>
      </c>
      <c r="P5" s="1" t="s">
        <v>4</v>
      </c>
      <c r="Q5" s="1" t="s">
        <v>5</v>
      </c>
      <c r="R5" s="1" t="s">
        <v>6</v>
      </c>
      <c r="T5" s="1" t="s">
        <v>2</v>
      </c>
      <c r="U5" s="1" t="s">
        <v>3</v>
      </c>
      <c r="V5" s="1" t="s">
        <v>4</v>
      </c>
      <c r="W5" s="1" t="s">
        <v>5</v>
      </c>
      <c r="X5" s="1" t="s">
        <v>6</v>
      </c>
    </row>
    <row r="6" spans="2:24" x14ac:dyDescent="0.25">
      <c r="B6" s="5">
        <v>280</v>
      </c>
      <c r="C6" s="5">
        <v>200.96</v>
      </c>
      <c r="D6" s="5">
        <v>46.66</v>
      </c>
      <c r="E6" s="5">
        <v>5.69</v>
      </c>
      <c r="F6" s="6">
        <f t="shared" ref="F6:F19" si="0">B6/C6</f>
        <v>1.3933121019108279</v>
      </c>
      <c r="H6" s="5">
        <v>350</v>
      </c>
      <c r="I6" s="6">
        <f>239.54+45.77</f>
        <v>285.31</v>
      </c>
      <c r="J6" s="6">
        <f>47.41+52.67</f>
        <v>100.08</v>
      </c>
      <c r="K6" s="5">
        <v>7.32</v>
      </c>
      <c r="L6" s="6">
        <f t="shared" ref="L6:L19" si="1">H6/I6</f>
        <v>1.2267358312011496</v>
      </c>
      <c r="N6" s="5">
        <v>280</v>
      </c>
      <c r="O6" s="5">
        <v>174.18</v>
      </c>
      <c r="P6" s="5">
        <v>37.840000000000003</v>
      </c>
      <c r="Q6" s="5">
        <v>6.03</v>
      </c>
      <c r="R6" s="6">
        <f t="shared" ref="R6:R19" si="2">N6/O6</f>
        <v>1.6075324377081179</v>
      </c>
      <c r="T6" s="5">
        <v>250</v>
      </c>
      <c r="U6" s="6">
        <f>181.77+0.83</f>
        <v>182.60000000000002</v>
      </c>
      <c r="V6" s="6">
        <f>39.96+7.33</f>
        <v>47.29</v>
      </c>
      <c r="W6" s="5">
        <v>5.88</v>
      </c>
      <c r="X6" s="6">
        <f t="shared" ref="X6:X19" si="3">T6/U6</f>
        <v>1.3691128148959473</v>
      </c>
    </row>
    <row r="7" spans="2:24" x14ac:dyDescent="0.25">
      <c r="B7" s="5">
        <v>260</v>
      </c>
      <c r="C7" s="5">
        <v>190.06</v>
      </c>
      <c r="D7" s="5">
        <v>45.32</v>
      </c>
      <c r="E7" s="5">
        <v>5.49</v>
      </c>
      <c r="F7" s="6">
        <f t="shared" si="0"/>
        <v>1.3679890560875514</v>
      </c>
      <c r="H7" s="5">
        <v>325</v>
      </c>
      <c r="I7" s="6">
        <f>206.13+12.8</f>
        <v>218.93</v>
      </c>
      <c r="J7" s="6">
        <f>43.72+33.68</f>
        <v>77.400000000000006</v>
      </c>
      <c r="K7" s="5">
        <v>6.59</v>
      </c>
      <c r="L7" s="6">
        <f t="shared" si="1"/>
        <v>1.484492760243</v>
      </c>
      <c r="N7" s="5">
        <v>260</v>
      </c>
      <c r="O7" s="5">
        <v>166.11</v>
      </c>
      <c r="P7" s="5">
        <v>37.39</v>
      </c>
      <c r="Q7" s="5">
        <v>5.79</v>
      </c>
      <c r="R7" s="6">
        <f t="shared" si="2"/>
        <v>1.5652278610559267</v>
      </c>
      <c r="T7" s="5">
        <v>230</v>
      </c>
      <c r="U7" s="5">
        <v>172.55</v>
      </c>
      <c r="V7" s="5">
        <v>39.44</v>
      </c>
      <c r="W7" s="5">
        <v>5.66</v>
      </c>
      <c r="X7" s="6">
        <f t="shared" si="3"/>
        <v>1.3329469718922051</v>
      </c>
    </row>
    <row r="8" spans="2:24" x14ac:dyDescent="0.25">
      <c r="B8" s="5">
        <v>240</v>
      </c>
      <c r="C8" s="5">
        <v>180.87</v>
      </c>
      <c r="D8" s="5">
        <v>45.01</v>
      </c>
      <c r="E8" s="5">
        <v>5.25</v>
      </c>
      <c r="F8" s="6">
        <f t="shared" si="0"/>
        <v>1.3269198872118095</v>
      </c>
      <c r="H8" s="5">
        <v>300</v>
      </c>
      <c r="I8" s="6">
        <f>191.9+3.94</f>
        <v>195.84</v>
      </c>
      <c r="J8" s="6">
        <f>42.56+24.29</f>
        <v>66.849999999999994</v>
      </c>
      <c r="K8" s="5">
        <v>6.26</v>
      </c>
      <c r="L8" s="6">
        <f t="shared" si="1"/>
        <v>1.5318627450980391</v>
      </c>
      <c r="N8" s="5">
        <v>240</v>
      </c>
      <c r="O8" s="5">
        <v>157.84</v>
      </c>
      <c r="P8" s="5">
        <v>36.659999999999997</v>
      </c>
      <c r="Q8" s="5">
        <v>5.59</v>
      </c>
      <c r="R8" s="6">
        <f t="shared" si="2"/>
        <v>1.5205271160669032</v>
      </c>
      <c r="T8" s="5">
        <v>210</v>
      </c>
      <c r="U8" s="5">
        <v>163.07</v>
      </c>
      <c r="V8" s="5">
        <v>38.85</v>
      </c>
      <c r="W8" s="5">
        <v>5.42</v>
      </c>
      <c r="X8" s="6">
        <f t="shared" si="3"/>
        <v>1.2877905194088428</v>
      </c>
    </row>
    <row r="9" spans="2:24" x14ac:dyDescent="0.25">
      <c r="B9" s="5">
        <v>220</v>
      </c>
      <c r="C9" s="5">
        <v>170.86</v>
      </c>
      <c r="D9" s="5">
        <v>44.02</v>
      </c>
      <c r="E9" s="5">
        <v>5.01</v>
      </c>
      <c r="F9" s="6">
        <f t="shared" si="0"/>
        <v>1.2876038862226382</v>
      </c>
      <c r="H9" s="5">
        <v>275</v>
      </c>
      <c r="I9" s="5">
        <v>173.75</v>
      </c>
      <c r="J9" s="5">
        <v>40.64</v>
      </c>
      <c r="K9" s="5">
        <v>5.78</v>
      </c>
      <c r="L9" s="6">
        <f t="shared" si="1"/>
        <v>1.5827338129496402</v>
      </c>
      <c r="N9" s="5">
        <v>220</v>
      </c>
      <c r="O9" s="5">
        <v>149.54</v>
      </c>
      <c r="P9" s="5">
        <v>35.93</v>
      </c>
      <c r="Q9" s="5">
        <v>5.37</v>
      </c>
      <c r="R9" s="6">
        <f t="shared" si="2"/>
        <v>1.4711782800588471</v>
      </c>
      <c r="T9" s="5">
        <v>190</v>
      </c>
      <c r="U9" s="5">
        <v>153.83000000000001</v>
      </c>
      <c r="V9" s="5">
        <v>38.08</v>
      </c>
      <c r="W9" s="5">
        <v>5.17</v>
      </c>
      <c r="X9" s="6">
        <f t="shared" si="3"/>
        <v>1.2351296886173047</v>
      </c>
    </row>
    <row r="10" spans="2:24" x14ac:dyDescent="0.25">
      <c r="B10" s="5">
        <v>200</v>
      </c>
      <c r="C10" s="5">
        <v>159.63999999999999</v>
      </c>
      <c r="D10" s="5">
        <v>42.94</v>
      </c>
      <c r="E10" s="5">
        <v>4.7699999999999996</v>
      </c>
      <c r="F10" s="6">
        <f t="shared" si="0"/>
        <v>1.2528188423953897</v>
      </c>
      <c r="H10" s="5">
        <v>250</v>
      </c>
      <c r="I10" s="5">
        <v>162.93</v>
      </c>
      <c r="J10" s="5">
        <v>39.26</v>
      </c>
      <c r="K10" s="5">
        <v>5.53</v>
      </c>
      <c r="L10" s="6">
        <f t="shared" si="1"/>
        <v>1.534401276621862</v>
      </c>
      <c r="N10" s="5">
        <v>200</v>
      </c>
      <c r="O10" s="5">
        <v>141.1</v>
      </c>
      <c r="P10" s="5">
        <v>35.200000000000003</v>
      </c>
      <c r="Q10" s="5">
        <v>5.09</v>
      </c>
      <c r="R10" s="6">
        <f t="shared" si="2"/>
        <v>1.417434443656981</v>
      </c>
      <c r="T10" s="5">
        <v>170</v>
      </c>
      <c r="U10" s="5">
        <v>140.41</v>
      </c>
      <c r="V10" s="5">
        <v>37.06</v>
      </c>
      <c r="W10" s="5">
        <v>4.84</v>
      </c>
      <c r="X10" s="6">
        <f t="shared" si="3"/>
        <v>1.2107399757852004</v>
      </c>
    </row>
    <row r="11" spans="2:24" x14ac:dyDescent="0.25">
      <c r="B11" s="5">
        <v>180</v>
      </c>
      <c r="C11" s="5">
        <v>144.77000000000001</v>
      </c>
      <c r="D11" s="5">
        <v>41.82</v>
      </c>
      <c r="E11" s="5">
        <v>4.42</v>
      </c>
      <c r="F11" s="6">
        <f t="shared" si="0"/>
        <v>1.2433515231056158</v>
      </c>
      <c r="H11" s="5">
        <v>225</v>
      </c>
      <c r="I11" s="5">
        <v>151.51</v>
      </c>
      <c r="J11" s="5">
        <v>38.18</v>
      </c>
      <c r="K11" s="5">
        <v>5.24</v>
      </c>
      <c r="L11" s="6">
        <f t="shared" si="1"/>
        <v>1.4850504917167184</v>
      </c>
      <c r="N11" s="5">
        <v>180</v>
      </c>
      <c r="O11" s="5">
        <v>128.54</v>
      </c>
      <c r="P11" s="5">
        <v>34.299999999999997</v>
      </c>
      <c r="Q11" s="5">
        <v>4.76</v>
      </c>
      <c r="R11" s="6">
        <f t="shared" si="2"/>
        <v>1.400342305896997</v>
      </c>
      <c r="T11" s="5">
        <v>150</v>
      </c>
      <c r="U11" s="5">
        <v>129.30000000000001</v>
      </c>
      <c r="V11" s="5">
        <v>36.119999999999997</v>
      </c>
      <c r="W11" s="5">
        <v>4.5199999999999996</v>
      </c>
      <c r="X11" s="6">
        <f t="shared" si="3"/>
        <v>1.160092807424594</v>
      </c>
    </row>
    <row r="12" spans="2:24" x14ac:dyDescent="0.25">
      <c r="B12" s="5">
        <v>160</v>
      </c>
      <c r="C12" s="5">
        <v>133.13</v>
      </c>
      <c r="D12" s="5">
        <v>40.799999999999997</v>
      </c>
      <c r="E12" s="5">
        <v>4.1500000000000004</v>
      </c>
      <c r="F12" s="6">
        <f t="shared" si="0"/>
        <v>1.2018327950123939</v>
      </c>
      <c r="H12" s="5">
        <v>200</v>
      </c>
      <c r="I12" s="5">
        <v>140.56</v>
      </c>
      <c r="J12" s="5">
        <v>36.82</v>
      </c>
      <c r="K12" s="5">
        <v>4.95</v>
      </c>
      <c r="L12" s="6">
        <f t="shared" si="1"/>
        <v>1.4228799089356858</v>
      </c>
      <c r="N12" s="5">
        <v>160</v>
      </c>
      <c r="O12" s="5">
        <v>119.76</v>
      </c>
      <c r="P12" s="5">
        <v>33.409999999999997</v>
      </c>
      <c r="Q12" s="5">
        <v>4.4800000000000004</v>
      </c>
      <c r="R12" s="6">
        <f t="shared" si="2"/>
        <v>1.3360053440213759</v>
      </c>
      <c r="T12" s="5">
        <v>130</v>
      </c>
      <c r="U12" s="5">
        <v>118.44</v>
      </c>
      <c r="V12" s="5">
        <v>35.43</v>
      </c>
      <c r="W12" s="5">
        <v>4.22</v>
      </c>
      <c r="X12" s="6">
        <f t="shared" si="3"/>
        <v>1.0976021614319487</v>
      </c>
    </row>
    <row r="13" spans="2:24" x14ac:dyDescent="0.25">
      <c r="B13" s="5">
        <v>140</v>
      </c>
      <c r="C13" s="5">
        <v>122.24</v>
      </c>
      <c r="D13" s="5">
        <v>39.71</v>
      </c>
      <c r="E13" s="5">
        <v>3.85</v>
      </c>
      <c r="F13" s="6">
        <f t="shared" si="0"/>
        <v>1.1452879581151834</v>
      </c>
      <c r="H13" s="5">
        <v>175</v>
      </c>
      <c r="I13" s="5">
        <v>125.63</v>
      </c>
      <c r="J13" s="5">
        <v>35.07</v>
      </c>
      <c r="K13" s="5">
        <v>4.53</v>
      </c>
      <c r="L13" s="6">
        <f t="shared" si="1"/>
        <v>1.3929793839051183</v>
      </c>
      <c r="N13" s="5">
        <v>140</v>
      </c>
      <c r="O13" s="5">
        <v>109.98</v>
      </c>
      <c r="P13" s="5">
        <v>32.78</v>
      </c>
      <c r="Q13" s="5">
        <v>4.21</v>
      </c>
      <c r="R13" s="6">
        <f t="shared" si="2"/>
        <v>1.2729587197672303</v>
      </c>
      <c r="T13" s="5">
        <v>110</v>
      </c>
      <c r="U13" s="5">
        <v>106.92</v>
      </c>
      <c r="V13" s="5">
        <v>34.270000000000003</v>
      </c>
      <c r="W13" s="5">
        <v>3.87</v>
      </c>
      <c r="X13" s="6">
        <f t="shared" si="3"/>
        <v>1.0288065843621399</v>
      </c>
    </row>
    <row r="14" spans="2:24" x14ac:dyDescent="0.25">
      <c r="B14" s="5">
        <v>120</v>
      </c>
      <c r="C14" s="5">
        <v>110.19</v>
      </c>
      <c r="D14" s="5">
        <v>38.56</v>
      </c>
      <c r="E14" s="5">
        <v>3.55</v>
      </c>
      <c r="F14" s="6">
        <f t="shared" si="0"/>
        <v>1.0890280424720937</v>
      </c>
      <c r="H14" s="5">
        <v>150</v>
      </c>
      <c r="I14" s="5">
        <v>113.69</v>
      </c>
      <c r="J14" s="5">
        <v>33.81</v>
      </c>
      <c r="K14" s="5">
        <v>4.18</v>
      </c>
      <c r="L14" s="6">
        <f t="shared" si="1"/>
        <v>1.3193772539361421</v>
      </c>
      <c r="N14" s="5">
        <v>120</v>
      </c>
      <c r="O14" s="5">
        <v>99.6</v>
      </c>
      <c r="P14" s="5">
        <v>31.93</v>
      </c>
      <c r="Q14" s="5">
        <v>3.9</v>
      </c>
      <c r="R14" s="6">
        <f t="shared" si="2"/>
        <v>1.2048192771084338</v>
      </c>
      <c r="T14" s="5">
        <v>90</v>
      </c>
      <c r="U14" s="5">
        <v>94.98</v>
      </c>
      <c r="V14" s="5">
        <v>33.340000000000003</v>
      </c>
      <c r="W14" s="5">
        <v>3.51</v>
      </c>
      <c r="X14" s="6">
        <f t="shared" si="3"/>
        <v>0.94756790903348065</v>
      </c>
    </row>
    <row r="15" spans="2:24" x14ac:dyDescent="0.25">
      <c r="B15" s="5">
        <v>100</v>
      </c>
      <c r="C15" s="5">
        <v>96.76</v>
      </c>
      <c r="D15" s="5">
        <v>37.07</v>
      </c>
      <c r="E15" s="5">
        <v>3.2</v>
      </c>
      <c r="F15" s="6">
        <f t="shared" si="0"/>
        <v>1.0334849111202975</v>
      </c>
      <c r="H15" s="5">
        <v>125</v>
      </c>
      <c r="I15" s="5">
        <v>101.1</v>
      </c>
      <c r="J15" s="5">
        <v>32.659999999999997</v>
      </c>
      <c r="K15" s="5">
        <v>3.81</v>
      </c>
      <c r="L15" s="6">
        <f t="shared" si="1"/>
        <v>1.2363996043521266</v>
      </c>
      <c r="N15" s="5">
        <v>100</v>
      </c>
      <c r="O15" s="5">
        <v>88.9</v>
      </c>
      <c r="P15" s="5">
        <v>31.06</v>
      </c>
      <c r="Q15" s="5">
        <v>3.54</v>
      </c>
      <c r="R15" s="6">
        <f t="shared" si="2"/>
        <v>1.124859392575928</v>
      </c>
      <c r="T15" s="5">
        <v>70</v>
      </c>
      <c r="U15" s="5">
        <v>82.06</v>
      </c>
      <c r="V15" s="5">
        <v>32.28</v>
      </c>
      <c r="W15" s="5">
        <v>3.11</v>
      </c>
      <c r="X15" s="6">
        <f t="shared" si="3"/>
        <v>0.85303436509870822</v>
      </c>
    </row>
    <row r="16" spans="2:24" x14ac:dyDescent="0.25">
      <c r="B16" s="5">
        <v>80</v>
      </c>
      <c r="C16" s="5">
        <v>83.13</v>
      </c>
      <c r="D16" s="5">
        <v>35.909999999999997</v>
      </c>
      <c r="E16" s="5">
        <v>2.81</v>
      </c>
      <c r="F16" s="6">
        <f t="shared" si="0"/>
        <v>0.96234812943582348</v>
      </c>
      <c r="H16" s="5">
        <v>100</v>
      </c>
      <c r="I16" s="5">
        <v>87.82</v>
      </c>
      <c r="J16" s="5">
        <v>30.94</v>
      </c>
      <c r="K16" s="5">
        <v>3.38</v>
      </c>
      <c r="L16" s="6">
        <f t="shared" si="1"/>
        <v>1.1386927806877705</v>
      </c>
      <c r="N16" s="5">
        <v>80</v>
      </c>
      <c r="O16" s="5">
        <v>77.849999999999994</v>
      </c>
      <c r="P16" s="5">
        <v>30.2</v>
      </c>
      <c r="Q16" s="5">
        <v>3.18</v>
      </c>
      <c r="R16" s="6">
        <f t="shared" si="2"/>
        <v>1.027617212588311</v>
      </c>
      <c r="T16" s="5">
        <v>50</v>
      </c>
      <c r="U16" s="5">
        <v>66.959999999999994</v>
      </c>
      <c r="V16" s="5">
        <v>31.19</v>
      </c>
      <c r="W16" s="5">
        <v>2.65</v>
      </c>
      <c r="X16" s="6">
        <f t="shared" si="3"/>
        <v>0.74671445639187584</v>
      </c>
    </row>
    <row r="17" spans="2:24" x14ac:dyDescent="0.25">
      <c r="B17" s="5">
        <v>60</v>
      </c>
      <c r="C17" s="5">
        <v>68.709999999999994</v>
      </c>
      <c r="D17" s="5">
        <v>34.25</v>
      </c>
      <c r="E17" s="5">
        <v>2.39</v>
      </c>
      <c r="F17" s="6">
        <f t="shared" si="0"/>
        <v>0.87323533692330091</v>
      </c>
      <c r="H17" s="5">
        <v>75</v>
      </c>
      <c r="I17" s="5">
        <v>73.53</v>
      </c>
      <c r="J17" s="5">
        <v>29.16</v>
      </c>
      <c r="K17" s="5">
        <v>2.92</v>
      </c>
      <c r="L17" s="6">
        <f t="shared" si="1"/>
        <v>1.0199918400652794</v>
      </c>
      <c r="N17" s="5">
        <v>60</v>
      </c>
      <c r="O17" s="5">
        <v>64.89</v>
      </c>
      <c r="P17" s="5">
        <v>29.35</v>
      </c>
      <c r="Q17" s="5">
        <v>2.73</v>
      </c>
      <c r="R17" s="6">
        <f t="shared" si="2"/>
        <v>0.92464170134073043</v>
      </c>
      <c r="T17" s="5">
        <v>30</v>
      </c>
      <c r="U17" s="5">
        <v>49.86</v>
      </c>
      <c r="V17" s="5">
        <v>29.81</v>
      </c>
      <c r="W17" s="5">
        <v>2.08</v>
      </c>
      <c r="X17" s="6">
        <f t="shared" si="3"/>
        <v>0.60168471720818295</v>
      </c>
    </row>
    <row r="18" spans="2:24" x14ac:dyDescent="0.25">
      <c r="B18" s="5">
        <v>40</v>
      </c>
      <c r="C18" s="5">
        <v>52.15</v>
      </c>
      <c r="D18" s="5">
        <v>32.42</v>
      </c>
      <c r="E18" s="5">
        <v>1.91</v>
      </c>
      <c r="F18" s="6">
        <f t="shared" si="0"/>
        <v>0.76701821668264625</v>
      </c>
      <c r="H18" s="5">
        <v>50</v>
      </c>
      <c r="I18" s="5">
        <v>58.09</v>
      </c>
      <c r="J18" s="5">
        <v>28.01</v>
      </c>
      <c r="K18" s="5">
        <v>2.37</v>
      </c>
      <c r="L18" s="6">
        <f t="shared" si="1"/>
        <v>0.86073334480977792</v>
      </c>
      <c r="N18" s="5">
        <v>40</v>
      </c>
      <c r="O18" s="5">
        <v>50.47</v>
      </c>
      <c r="P18" s="5">
        <v>28.34</v>
      </c>
      <c r="Q18" s="5">
        <v>2.2599999999999998</v>
      </c>
      <c r="R18" s="6">
        <f t="shared" si="2"/>
        <v>0.79255002972062616</v>
      </c>
      <c r="T18" s="5">
        <v>10</v>
      </c>
      <c r="U18" s="5">
        <v>27.67</v>
      </c>
      <c r="V18" s="5">
        <v>27.87</v>
      </c>
      <c r="W18" s="5">
        <v>1.31</v>
      </c>
      <c r="X18" s="6">
        <f t="shared" si="3"/>
        <v>0.36140224069389226</v>
      </c>
    </row>
    <row r="19" spans="2:24" x14ac:dyDescent="0.25">
      <c r="B19" s="5">
        <v>20</v>
      </c>
      <c r="C19" s="5">
        <v>33.06</v>
      </c>
      <c r="D19" s="5">
        <v>30.2</v>
      </c>
      <c r="E19" s="5">
        <v>1.3</v>
      </c>
      <c r="F19" s="6">
        <f t="shared" si="0"/>
        <v>0.60496067755595884</v>
      </c>
      <c r="H19" s="5">
        <v>25</v>
      </c>
      <c r="I19" s="5">
        <v>38.380000000000003</v>
      </c>
      <c r="J19" s="5">
        <v>26.54</v>
      </c>
      <c r="K19" s="5">
        <v>1.65</v>
      </c>
      <c r="L19" s="6">
        <f t="shared" si="1"/>
        <v>0.65138092756644084</v>
      </c>
      <c r="N19" s="5">
        <v>20</v>
      </c>
      <c r="O19" s="5">
        <v>33.74</v>
      </c>
      <c r="P19" s="5">
        <v>26.07</v>
      </c>
      <c r="Q19" s="5">
        <v>1.62</v>
      </c>
      <c r="R19" s="6">
        <f t="shared" si="2"/>
        <v>0.59276822762299941</v>
      </c>
      <c r="T19" s="5">
        <v>5</v>
      </c>
      <c r="U19" s="5">
        <v>19.559999999999999</v>
      </c>
      <c r="V19" s="5">
        <v>27.1</v>
      </c>
      <c r="W19" s="5">
        <v>1.01</v>
      </c>
      <c r="X19" s="6">
        <f t="shared" si="3"/>
        <v>0.2556237218813906</v>
      </c>
    </row>
    <row r="20" spans="2:24" x14ac:dyDescent="0.25">
      <c r="B20" s="5">
        <v>0</v>
      </c>
      <c r="C20" s="5">
        <v>0</v>
      </c>
      <c r="D20" s="5">
        <v>0</v>
      </c>
      <c r="E20" s="5">
        <v>0</v>
      </c>
      <c r="F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</row>
    <row r="23" spans="2:24" x14ac:dyDescent="0.25">
      <c r="B23" s="1" t="s">
        <v>0</v>
      </c>
      <c r="C23" s="2">
        <v>992</v>
      </c>
      <c r="D23" s="3"/>
      <c r="E23" s="3"/>
      <c r="F23" s="3"/>
      <c r="H23" s="1" t="s">
        <v>0</v>
      </c>
      <c r="I23" s="2">
        <v>992</v>
      </c>
      <c r="J23" s="3"/>
      <c r="K23" s="3"/>
      <c r="L23" s="3"/>
      <c r="N23" s="1" t="s">
        <v>0</v>
      </c>
      <c r="O23" s="2">
        <v>992</v>
      </c>
      <c r="P23" s="3"/>
      <c r="Q23" s="3"/>
      <c r="R23" s="3"/>
      <c r="T23" s="1" t="s">
        <v>0</v>
      </c>
      <c r="U23" s="2">
        <v>992</v>
      </c>
      <c r="V23" s="3"/>
      <c r="W23" s="3"/>
      <c r="X23" s="3"/>
    </row>
    <row r="24" spans="2:24" x14ac:dyDescent="0.25">
      <c r="B24" s="1" t="s">
        <v>1</v>
      </c>
      <c r="C24" s="4">
        <v>1149.52</v>
      </c>
      <c r="D24" s="3"/>
      <c r="E24" s="3"/>
      <c r="F24" s="3"/>
      <c r="H24" s="1" t="s">
        <v>1</v>
      </c>
      <c r="I24" s="4">
        <v>1320.11</v>
      </c>
      <c r="J24" s="3"/>
      <c r="K24" s="3"/>
      <c r="L24" s="3"/>
      <c r="N24" s="1" t="s">
        <v>1</v>
      </c>
      <c r="O24" s="4">
        <v>1482.76</v>
      </c>
      <c r="P24" s="3"/>
      <c r="Q24" s="3"/>
      <c r="R24" s="3"/>
      <c r="T24" s="1" t="s">
        <v>1</v>
      </c>
      <c r="U24" s="4">
        <v>1724.7</v>
      </c>
      <c r="V24" s="3"/>
      <c r="W24" s="3"/>
      <c r="X24" s="3"/>
    </row>
    <row r="25" spans="2:24" x14ac:dyDescent="0.25">
      <c r="B25" s="3"/>
      <c r="C25" s="3"/>
      <c r="D25" s="3"/>
      <c r="E25" s="3"/>
      <c r="F25" s="3"/>
      <c r="H25" s="3"/>
      <c r="I25" s="3"/>
      <c r="J25" s="3"/>
      <c r="K25" s="3"/>
      <c r="L25" s="3"/>
      <c r="N25" s="3"/>
      <c r="O25" s="3"/>
      <c r="P25" s="3"/>
      <c r="Q25" s="3"/>
      <c r="R25" s="3"/>
      <c r="T25" s="3"/>
      <c r="U25" s="3"/>
      <c r="V25" s="3"/>
      <c r="W25" s="3"/>
      <c r="X25" s="3"/>
    </row>
    <row r="26" spans="2:24" x14ac:dyDescent="0.25"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H26" s="1" t="s">
        <v>2</v>
      </c>
      <c r="I26" s="1" t="s">
        <v>3</v>
      </c>
      <c r="J26" s="1" t="s">
        <v>4</v>
      </c>
      <c r="K26" s="1" t="s">
        <v>5</v>
      </c>
      <c r="L26" s="1" t="s">
        <v>6</v>
      </c>
      <c r="N26" s="1" t="s">
        <v>2</v>
      </c>
      <c r="O26" s="1" t="s">
        <v>3</v>
      </c>
      <c r="P26" s="1" t="s">
        <v>4</v>
      </c>
      <c r="Q26" s="1" t="s">
        <v>5</v>
      </c>
      <c r="R26" s="1" t="s">
        <v>6</v>
      </c>
      <c r="T26" s="1" t="s">
        <v>2</v>
      </c>
      <c r="U26" s="1" t="s">
        <v>3</v>
      </c>
      <c r="V26" s="1" t="s">
        <v>4</v>
      </c>
      <c r="W26" s="1" t="s">
        <v>5</v>
      </c>
      <c r="X26" s="1" t="s">
        <v>6</v>
      </c>
    </row>
    <row r="27" spans="2:24" x14ac:dyDescent="0.25">
      <c r="B27" s="5">
        <v>200</v>
      </c>
      <c r="C27" s="5">
        <v>177.13</v>
      </c>
      <c r="D27" s="5">
        <v>41.24</v>
      </c>
      <c r="E27" s="5">
        <v>5.33</v>
      </c>
      <c r="F27" s="6">
        <f t="shared" ref="F27:F46" si="4">B27/C27</f>
        <v>1.1291142099023317</v>
      </c>
      <c r="H27" s="5">
        <v>225</v>
      </c>
      <c r="I27" s="5">
        <v>182.5</v>
      </c>
      <c r="J27" s="5">
        <v>41.58</v>
      </c>
      <c r="K27" s="5">
        <v>5.63</v>
      </c>
      <c r="L27" s="6">
        <f t="shared" ref="L27:L41" si="5">H27/I27</f>
        <v>1.2328767123287672</v>
      </c>
      <c r="N27" s="5">
        <v>235</v>
      </c>
      <c r="O27" s="6">
        <f>204.4+8.03</f>
        <v>212.43</v>
      </c>
      <c r="P27" s="6">
        <f>46.06+20.49</f>
        <v>66.55</v>
      </c>
      <c r="Q27" s="5">
        <v>5.89</v>
      </c>
      <c r="R27" s="6">
        <f t="shared" ref="R27:R42" si="6">N27/O27</f>
        <v>1.1062467636397872</v>
      </c>
      <c r="T27" s="5">
        <v>190</v>
      </c>
      <c r="U27" s="6">
        <f>161.76+1.64</f>
        <v>163.39999999999998</v>
      </c>
      <c r="V27" s="6">
        <f>35.43+5.9</f>
        <v>41.33</v>
      </c>
      <c r="W27" s="5">
        <v>5.38</v>
      </c>
      <c r="X27" s="6">
        <f t="shared" ref="X27:X45" si="7">T27/U27</f>
        <v>1.1627906976744187</v>
      </c>
    </row>
    <row r="28" spans="2:24" x14ac:dyDescent="0.25">
      <c r="B28" s="5">
        <v>190</v>
      </c>
      <c r="C28" s="5">
        <v>171.79</v>
      </c>
      <c r="D28" s="5">
        <v>40.340000000000003</v>
      </c>
      <c r="E28" s="5">
        <v>5.2</v>
      </c>
      <c r="F28" s="6">
        <f t="shared" si="4"/>
        <v>1.1060015134757553</v>
      </c>
      <c r="H28" s="5">
        <v>210</v>
      </c>
      <c r="I28" s="5">
        <v>175.2</v>
      </c>
      <c r="J28" s="5">
        <v>40.590000000000003</v>
      </c>
      <c r="K28" s="5">
        <v>5.45</v>
      </c>
      <c r="L28" s="6">
        <f t="shared" si="5"/>
        <v>1.1986301369863015</v>
      </c>
      <c r="N28" s="5">
        <v>225</v>
      </c>
      <c r="O28" s="6">
        <f>197.92+5.52</f>
        <v>203.44</v>
      </c>
      <c r="P28" s="6">
        <f>44.9+13.61</f>
        <v>58.51</v>
      </c>
      <c r="Q28" s="5">
        <v>5.75</v>
      </c>
      <c r="R28" s="6">
        <f t="shared" si="6"/>
        <v>1.1059771922925679</v>
      </c>
      <c r="T28" s="5">
        <v>180</v>
      </c>
      <c r="U28" s="6">
        <f>154.48+0.51</f>
        <v>154.98999999999998</v>
      </c>
      <c r="V28" s="6">
        <f>34.93+4.19</f>
        <v>39.119999999999997</v>
      </c>
      <c r="W28" s="5">
        <v>5.19</v>
      </c>
      <c r="X28" s="6">
        <f t="shared" si="7"/>
        <v>1.1613652493709272</v>
      </c>
    </row>
    <row r="29" spans="2:24" x14ac:dyDescent="0.25">
      <c r="B29" s="5">
        <v>180</v>
      </c>
      <c r="C29" s="5">
        <v>162.6</v>
      </c>
      <c r="D29" s="5">
        <v>39.799999999999997</v>
      </c>
      <c r="E29" s="5">
        <v>4.97</v>
      </c>
      <c r="F29" s="6">
        <f t="shared" si="4"/>
        <v>1.1070110701107012</v>
      </c>
      <c r="H29" s="5">
        <v>195</v>
      </c>
      <c r="I29" s="5">
        <v>167.43</v>
      </c>
      <c r="J29" s="5">
        <v>39.450000000000003</v>
      </c>
      <c r="K29" s="5">
        <v>5.24</v>
      </c>
      <c r="L29" s="6">
        <f t="shared" si="5"/>
        <v>1.1646658304963269</v>
      </c>
      <c r="N29" s="5">
        <v>210</v>
      </c>
      <c r="O29" s="6">
        <f>189.35+3.15</f>
        <v>192.5</v>
      </c>
      <c r="P29" s="6">
        <f>44.37+10.98</f>
        <v>55.349999999999994</v>
      </c>
      <c r="Q29" s="5">
        <v>5.57</v>
      </c>
      <c r="R29" s="6">
        <f t="shared" si="6"/>
        <v>1.0909090909090908</v>
      </c>
      <c r="T29" s="5">
        <v>170</v>
      </c>
      <c r="U29" s="6">
        <f>149.19+0.11</f>
        <v>149.30000000000001</v>
      </c>
      <c r="V29" s="6">
        <f>35+1.84</f>
        <v>36.840000000000003</v>
      </c>
      <c r="W29" s="5">
        <v>5.03</v>
      </c>
      <c r="X29" s="6">
        <f t="shared" si="7"/>
        <v>1.1386470194239784</v>
      </c>
    </row>
    <row r="30" spans="2:24" x14ac:dyDescent="0.25">
      <c r="B30" s="5">
        <v>170</v>
      </c>
      <c r="C30" s="5">
        <v>157.52000000000001</v>
      </c>
      <c r="D30" s="5">
        <v>39.450000000000003</v>
      </c>
      <c r="E30" s="5">
        <v>4.8600000000000003</v>
      </c>
      <c r="F30" s="6">
        <f t="shared" si="4"/>
        <v>1.0792280345352971</v>
      </c>
      <c r="H30" s="5">
        <v>180</v>
      </c>
      <c r="I30" s="5">
        <v>156.94</v>
      </c>
      <c r="J30" s="5">
        <v>39.08</v>
      </c>
      <c r="K30" s="5">
        <v>4.96</v>
      </c>
      <c r="L30" s="6">
        <f t="shared" si="5"/>
        <v>1.1469351344462853</v>
      </c>
      <c r="N30" s="5">
        <v>195</v>
      </c>
      <c r="O30" s="6">
        <f>180.86+1.36</f>
        <v>182.22000000000003</v>
      </c>
      <c r="P30" s="6">
        <f>43.68+7.14</f>
        <v>50.82</v>
      </c>
      <c r="Q30" s="5">
        <v>5.36</v>
      </c>
      <c r="R30" s="6">
        <f t="shared" si="6"/>
        <v>1.0701350016463613</v>
      </c>
      <c r="T30" s="5">
        <v>160</v>
      </c>
      <c r="U30" s="5">
        <v>144.36000000000001</v>
      </c>
      <c r="V30" s="5">
        <v>34.75</v>
      </c>
      <c r="W30" s="5">
        <v>4.8899999999999997</v>
      </c>
      <c r="X30" s="6">
        <f t="shared" si="7"/>
        <v>1.108340260459961</v>
      </c>
    </row>
    <row r="31" spans="2:24" x14ac:dyDescent="0.25">
      <c r="B31" s="5">
        <v>160</v>
      </c>
      <c r="C31" s="5">
        <v>152.15</v>
      </c>
      <c r="D31" s="5">
        <v>39.14</v>
      </c>
      <c r="E31" s="5">
        <v>4.6900000000000004</v>
      </c>
      <c r="F31" s="6">
        <f t="shared" si="4"/>
        <v>1.0515938218862964</v>
      </c>
      <c r="H31" s="5">
        <v>165</v>
      </c>
      <c r="I31" s="5">
        <v>148.38999999999999</v>
      </c>
      <c r="J31" s="5">
        <v>38.380000000000003</v>
      </c>
      <c r="K31" s="5">
        <v>4.76</v>
      </c>
      <c r="L31" s="6">
        <f t="shared" si="5"/>
        <v>1.1119347664936992</v>
      </c>
      <c r="N31" s="5">
        <v>180</v>
      </c>
      <c r="O31" s="5">
        <v>168.5</v>
      </c>
      <c r="P31" s="5">
        <v>42.61</v>
      </c>
      <c r="Q31" s="5">
        <v>5.07</v>
      </c>
      <c r="R31" s="6">
        <f t="shared" si="6"/>
        <v>1.0682492581602374</v>
      </c>
      <c r="T31" s="5">
        <v>150</v>
      </c>
      <c r="U31" s="5">
        <v>138.82</v>
      </c>
      <c r="V31" s="5">
        <v>34.659999999999997</v>
      </c>
      <c r="W31" s="5">
        <v>4.74</v>
      </c>
      <c r="X31" s="6">
        <f t="shared" si="7"/>
        <v>1.0805359458291313</v>
      </c>
    </row>
    <row r="32" spans="2:24" x14ac:dyDescent="0.25">
      <c r="B32" s="5">
        <v>150</v>
      </c>
      <c r="C32" s="5">
        <v>146.41999999999999</v>
      </c>
      <c r="D32" s="5">
        <v>38.71</v>
      </c>
      <c r="E32" s="5">
        <v>4.57</v>
      </c>
      <c r="F32" s="6">
        <f t="shared" si="4"/>
        <v>1.0244502117197105</v>
      </c>
      <c r="H32" s="5">
        <v>150</v>
      </c>
      <c r="I32" s="5">
        <v>139.75</v>
      </c>
      <c r="J32" s="5">
        <v>37.770000000000003</v>
      </c>
      <c r="K32" s="5">
        <v>4.54</v>
      </c>
      <c r="L32" s="6">
        <f t="shared" si="5"/>
        <v>1.0733452593917709</v>
      </c>
      <c r="N32" s="5">
        <v>165</v>
      </c>
      <c r="O32" s="5">
        <v>159.97</v>
      </c>
      <c r="P32" s="5">
        <v>42</v>
      </c>
      <c r="Q32" s="5">
        <v>4.8600000000000003</v>
      </c>
      <c r="R32" s="6">
        <f t="shared" si="6"/>
        <v>1.031443395636682</v>
      </c>
      <c r="T32" s="5">
        <v>140</v>
      </c>
      <c r="U32" s="5">
        <v>134.18</v>
      </c>
      <c r="V32" s="5">
        <v>34.25</v>
      </c>
      <c r="W32" s="5">
        <v>4.58</v>
      </c>
      <c r="X32" s="6">
        <f t="shared" si="7"/>
        <v>1.0433745714711582</v>
      </c>
    </row>
    <row r="33" spans="2:24" x14ac:dyDescent="0.25">
      <c r="B33" s="5">
        <v>140</v>
      </c>
      <c r="C33" s="5">
        <v>139.93</v>
      </c>
      <c r="D33" s="5">
        <v>38.32</v>
      </c>
      <c r="E33" s="5">
        <v>4.5599999999999996</v>
      </c>
      <c r="F33" s="6">
        <f t="shared" si="4"/>
        <v>1.0005002501250624</v>
      </c>
      <c r="H33" s="5">
        <v>135</v>
      </c>
      <c r="I33" s="5">
        <v>131.11000000000001</v>
      </c>
      <c r="J33" s="5">
        <v>37.11</v>
      </c>
      <c r="K33" s="5">
        <v>4.32</v>
      </c>
      <c r="L33" s="6">
        <f t="shared" si="5"/>
        <v>1.0296697429639232</v>
      </c>
      <c r="N33" s="5">
        <v>150</v>
      </c>
      <c r="O33" s="5">
        <v>149.75</v>
      </c>
      <c r="P33" s="5">
        <v>41.09</v>
      </c>
      <c r="Q33" s="5">
        <v>4.6399999999999997</v>
      </c>
      <c r="R33" s="6">
        <f t="shared" si="6"/>
        <v>1.001669449081803</v>
      </c>
      <c r="T33" s="5">
        <v>130</v>
      </c>
      <c r="U33" s="5">
        <v>127.91</v>
      </c>
      <c r="V33" s="5">
        <v>33.840000000000003</v>
      </c>
      <c r="W33" s="5">
        <v>4.4400000000000004</v>
      </c>
      <c r="X33" s="6">
        <f t="shared" si="7"/>
        <v>1.0163396137909468</v>
      </c>
    </row>
    <row r="34" spans="2:24" x14ac:dyDescent="0.25">
      <c r="B34" s="5">
        <v>130</v>
      </c>
      <c r="C34" s="5">
        <v>134.36000000000001</v>
      </c>
      <c r="D34" s="5">
        <v>37.950000000000003</v>
      </c>
      <c r="E34" s="5">
        <v>4.25</v>
      </c>
      <c r="F34" s="6">
        <f t="shared" si="4"/>
        <v>0.9675498660315569</v>
      </c>
      <c r="H34" s="5">
        <v>120</v>
      </c>
      <c r="I34" s="5">
        <v>121.92</v>
      </c>
      <c r="J34" s="5">
        <v>36.44</v>
      </c>
      <c r="K34" s="5">
        <v>4.07</v>
      </c>
      <c r="L34" s="6">
        <f t="shared" si="5"/>
        <v>0.98425196850393704</v>
      </c>
      <c r="N34" s="5">
        <v>135</v>
      </c>
      <c r="O34" s="5">
        <v>140.43</v>
      </c>
      <c r="P34" s="5">
        <v>40.33</v>
      </c>
      <c r="Q34" s="5">
        <v>4.4000000000000004</v>
      </c>
      <c r="R34" s="6">
        <f t="shared" si="6"/>
        <v>0.96133304849391155</v>
      </c>
      <c r="T34" s="5">
        <v>120</v>
      </c>
      <c r="U34" s="5">
        <v>122.19</v>
      </c>
      <c r="V34" s="5">
        <v>33.67</v>
      </c>
      <c r="W34" s="5">
        <v>4.24</v>
      </c>
      <c r="X34" s="6">
        <f t="shared" si="7"/>
        <v>0.98207709305180457</v>
      </c>
    </row>
    <row r="35" spans="2:24" x14ac:dyDescent="0.25">
      <c r="B35" s="5">
        <v>120</v>
      </c>
      <c r="C35" s="5">
        <v>128.53</v>
      </c>
      <c r="D35" s="5">
        <v>37.479999999999997</v>
      </c>
      <c r="E35" s="5">
        <v>4.0599999999999996</v>
      </c>
      <c r="F35" s="6">
        <f t="shared" si="4"/>
        <v>0.93363417101065893</v>
      </c>
      <c r="H35" s="5">
        <v>105</v>
      </c>
      <c r="I35" s="5">
        <v>112.95</v>
      </c>
      <c r="J35" s="5">
        <v>35.78</v>
      </c>
      <c r="K35" s="5">
        <v>3.8</v>
      </c>
      <c r="L35" s="6">
        <f t="shared" si="5"/>
        <v>0.92961487383798136</v>
      </c>
      <c r="N35" s="5">
        <v>120</v>
      </c>
      <c r="O35" s="5">
        <v>130.72999999999999</v>
      </c>
      <c r="P35" s="5">
        <v>39.46</v>
      </c>
      <c r="Q35" s="5">
        <v>4.16</v>
      </c>
      <c r="R35" s="6">
        <f t="shared" si="6"/>
        <v>0.91792243555419573</v>
      </c>
      <c r="T35" s="5">
        <v>110</v>
      </c>
      <c r="U35" s="5">
        <v>116.84</v>
      </c>
      <c r="V35" s="5">
        <v>33.479999999999997</v>
      </c>
      <c r="W35" s="5">
        <v>4.0999999999999996</v>
      </c>
      <c r="X35" s="6">
        <f t="shared" si="7"/>
        <v>0.94145840465593977</v>
      </c>
    </row>
    <row r="36" spans="2:24" x14ac:dyDescent="0.25">
      <c r="B36" s="5">
        <v>110</v>
      </c>
      <c r="C36" s="5">
        <v>121.49</v>
      </c>
      <c r="D36" s="5">
        <v>37.04</v>
      </c>
      <c r="E36" s="5">
        <v>3.91</v>
      </c>
      <c r="F36" s="6">
        <f t="shared" si="4"/>
        <v>0.90542431475841634</v>
      </c>
      <c r="H36" s="5">
        <v>90</v>
      </c>
      <c r="I36" s="5">
        <v>102.63</v>
      </c>
      <c r="J36" s="5">
        <v>35.049999999999997</v>
      </c>
      <c r="K36" s="5">
        <v>3.52</v>
      </c>
      <c r="L36" s="6">
        <f t="shared" si="5"/>
        <v>0.8769365682548963</v>
      </c>
      <c r="N36" s="5">
        <v>105</v>
      </c>
      <c r="O36" s="5">
        <v>120.84</v>
      </c>
      <c r="P36" s="5">
        <v>38.590000000000003</v>
      </c>
      <c r="Q36" s="5">
        <v>3.91</v>
      </c>
      <c r="R36" s="6">
        <f t="shared" si="6"/>
        <v>0.86891757696127103</v>
      </c>
      <c r="T36" s="5">
        <v>100</v>
      </c>
      <c r="U36" s="5">
        <v>110.61</v>
      </c>
      <c r="V36" s="5">
        <v>33.21</v>
      </c>
      <c r="W36" s="5">
        <v>3.91</v>
      </c>
      <c r="X36" s="6">
        <f t="shared" si="7"/>
        <v>0.90407738902450052</v>
      </c>
    </row>
    <row r="37" spans="2:24" x14ac:dyDescent="0.25">
      <c r="B37" s="5">
        <v>100</v>
      </c>
      <c r="C37" s="5">
        <v>115.32</v>
      </c>
      <c r="D37" s="5">
        <v>36.6</v>
      </c>
      <c r="E37" s="5">
        <v>3.77</v>
      </c>
      <c r="F37" s="6">
        <f t="shared" si="4"/>
        <v>0.8671522719389525</v>
      </c>
      <c r="H37" s="5">
        <v>75</v>
      </c>
      <c r="I37" s="5">
        <v>92.53</v>
      </c>
      <c r="J37" s="5">
        <v>34.4</v>
      </c>
      <c r="K37" s="5">
        <v>3.2</v>
      </c>
      <c r="L37" s="6">
        <f t="shared" si="5"/>
        <v>0.81054793040095108</v>
      </c>
      <c r="N37" s="5">
        <v>90</v>
      </c>
      <c r="O37" s="5">
        <v>110.02</v>
      </c>
      <c r="P37" s="5">
        <v>37.61</v>
      </c>
      <c r="Q37" s="5">
        <v>3.62</v>
      </c>
      <c r="R37" s="6">
        <f t="shared" si="6"/>
        <v>0.81803308489365578</v>
      </c>
      <c r="T37" s="5">
        <v>90</v>
      </c>
      <c r="U37" s="5">
        <v>104.43</v>
      </c>
      <c r="V37" s="5">
        <v>32.869999999999997</v>
      </c>
      <c r="W37" s="5">
        <v>3.72</v>
      </c>
      <c r="X37" s="6">
        <f t="shared" si="7"/>
        <v>0.86182131571387521</v>
      </c>
    </row>
    <row r="38" spans="2:24" x14ac:dyDescent="0.25">
      <c r="B38" s="5">
        <v>90</v>
      </c>
      <c r="C38" s="5">
        <v>108.58</v>
      </c>
      <c r="D38" s="5">
        <v>36.119999999999997</v>
      </c>
      <c r="E38" s="5">
        <v>3.52</v>
      </c>
      <c r="F38" s="6">
        <f t="shared" si="4"/>
        <v>0.82888193037391789</v>
      </c>
      <c r="H38" s="5">
        <v>60</v>
      </c>
      <c r="I38" s="5">
        <v>81.16</v>
      </c>
      <c r="J38" s="5">
        <v>33.4</v>
      </c>
      <c r="K38" s="5">
        <v>2.87</v>
      </c>
      <c r="L38" s="6">
        <f t="shared" si="5"/>
        <v>0.73928043371118779</v>
      </c>
      <c r="N38" s="5">
        <v>75</v>
      </c>
      <c r="O38" s="5">
        <v>98.84</v>
      </c>
      <c r="P38" s="5">
        <v>36.549999999999997</v>
      </c>
      <c r="Q38" s="5">
        <v>3.33</v>
      </c>
      <c r="R38" s="6">
        <f t="shared" si="6"/>
        <v>0.75880210441116958</v>
      </c>
      <c r="T38" s="5">
        <v>80</v>
      </c>
      <c r="U38" s="5">
        <v>97.93</v>
      </c>
      <c r="V38" s="5">
        <v>32.47</v>
      </c>
      <c r="W38" s="5">
        <v>3.52</v>
      </c>
      <c r="X38" s="6">
        <f t="shared" si="7"/>
        <v>0.81691003778208915</v>
      </c>
    </row>
    <row r="39" spans="2:24" x14ac:dyDescent="0.25">
      <c r="B39" s="5">
        <v>80</v>
      </c>
      <c r="C39" s="5">
        <v>101.19</v>
      </c>
      <c r="D39" s="5">
        <v>35.53</v>
      </c>
      <c r="E39" s="5">
        <v>3.35</v>
      </c>
      <c r="F39" s="6">
        <f t="shared" si="4"/>
        <v>0.79059195572685048</v>
      </c>
      <c r="H39" s="5">
        <v>45</v>
      </c>
      <c r="I39" s="5">
        <v>68.77</v>
      </c>
      <c r="J39" s="5">
        <v>32.479999999999997</v>
      </c>
      <c r="K39" s="5">
        <v>2.5099999999999998</v>
      </c>
      <c r="L39" s="6">
        <f t="shared" si="5"/>
        <v>0.65435509669914216</v>
      </c>
      <c r="N39" s="5">
        <v>60</v>
      </c>
      <c r="O39" s="5">
        <v>86.9</v>
      </c>
      <c r="P39" s="5">
        <v>35.39</v>
      </c>
      <c r="Q39" s="5">
        <v>2.99</v>
      </c>
      <c r="R39" s="6">
        <f t="shared" si="6"/>
        <v>0.69044879171461448</v>
      </c>
      <c r="T39" s="5">
        <v>70</v>
      </c>
      <c r="U39" s="5">
        <v>90.66</v>
      </c>
      <c r="V39" s="5">
        <v>32.01</v>
      </c>
      <c r="W39" s="5">
        <v>3.29</v>
      </c>
      <c r="X39" s="6">
        <f t="shared" si="7"/>
        <v>0.77211559673505403</v>
      </c>
    </row>
    <row r="40" spans="2:24" x14ac:dyDescent="0.25">
      <c r="B40" s="5">
        <v>70</v>
      </c>
      <c r="C40" s="5">
        <v>93.77</v>
      </c>
      <c r="D40" s="5">
        <v>35.04</v>
      </c>
      <c r="E40" s="5">
        <v>3.11</v>
      </c>
      <c r="F40" s="6">
        <f t="shared" si="4"/>
        <v>0.74650741175215962</v>
      </c>
      <c r="H40" s="5">
        <v>30</v>
      </c>
      <c r="I40" s="5">
        <v>54.71</v>
      </c>
      <c r="J40" s="5">
        <v>31.29</v>
      </c>
      <c r="K40" s="5">
        <v>2.06</v>
      </c>
      <c r="L40" s="6">
        <f t="shared" si="5"/>
        <v>0.54834582343264482</v>
      </c>
      <c r="N40" s="5">
        <v>45</v>
      </c>
      <c r="O40" s="5">
        <v>73.56</v>
      </c>
      <c r="P40" s="5">
        <v>33.96</v>
      </c>
      <c r="Q40" s="5">
        <v>2.62</v>
      </c>
      <c r="R40" s="6">
        <f t="shared" si="6"/>
        <v>0.61174551386623166</v>
      </c>
      <c r="T40" s="5">
        <v>60</v>
      </c>
      <c r="U40" s="5">
        <v>83.76</v>
      </c>
      <c r="V40" s="5">
        <v>31.79</v>
      </c>
      <c r="W40" s="5">
        <v>3.09</v>
      </c>
      <c r="X40" s="6">
        <f t="shared" si="7"/>
        <v>0.7163323782234956</v>
      </c>
    </row>
    <row r="41" spans="2:24" x14ac:dyDescent="0.25">
      <c r="B41" s="5">
        <v>60</v>
      </c>
      <c r="C41" s="5">
        <v>86.22</v>
      </c>
      <c r="D41" s="5">
        <v>34.450000000000003</v>
      </c>
      <c r="E41" s="5">
        <v>2.9</v>
      </c>
      <c r="F41" s="6">
        <f t="shared" si="4"/>
        <v>0.69589422407794022</v>
      </c>
      <c r="H41" s="5">
        <v>15</v>
      </c>
      <c r="I41" s="5">
        <v>37.76</v>
      </c>
      <c r="J41" s="5">
        <v>29.9</v>
      </c>
      <c r="K41" s="5">
        <v>1.52</v>
      </c>
      <c r="L41" s="6">
        <f t="shared" si="5"/>
        <v>0.3972457627118644</v>
      </c>
      <c r="N41" s="5">
        <v>30</v>
      </c>
      <c r="O41" s="5">
        <v>58.57</v>
      </c>
      <c r="P41" s="5">
        <v>32.4</v>
      </c>
      <c r="Q41" s="5">
        <v>2.17</v>
      </c>
      <c r="R41" s="6">
        <f t="shared" si="6"/>
        <v>0.51220761481987365</v>
      </c>
      <c r="T41" s="5">
        <v>50</v>
      </c>
      <c r="U41" s="5">
        <v>75.989999999999995</v>
      </c>
      <c r="V41" s="5">
        <v>31.46</v>
      </c>
      <c r="W41" s="5">
        <v>2.83</v>
      </c>
      <c r="X41" s="6">
        <f t="shared" si="7"/>
        <v>0.65798131333070142</v>
      </c>
    </row>
    <row r="42" spans="2:24" x14ac:dyDescent="0.25">
      <c r="B42" s="5">
        <v>50</v>
      </c>
      <c r="C42" s="5">
        <v>77.64</v>
      </c>
      <c r="D42" s="5">
        <v>33.840000000000003</v>
      </c>
      <c r="E42" s="5">
        <v>2.68</v>
      </c>
      <c r="F42" s="6">
        <f t="shared" si="4"/>
        <v>0.64399793920659454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N42" s="5">
        <v>15</v>
      </c>
      <c r="O42" s="5">
        <v>41.11</v>
      </c>
      <c r="P42" s="5">
        <v>30.5</v>
      </c>
      <c r="Q42" s="5">
        <v>1.59</v>
      </c>
      <c r="R42" s="6">
        <f t="shared" si="6"/>
        <v>0.36487472634395524</v>
      </c>
      <c r="T42" s="5">
        <v>40</v>
      </c>
      <c r="U42" s="5">
        <v>67.650000000000006</v>
      </c>
      <c r="V42" s="5">
        <v>31.06</v>
      </c>
      <c r="W42" s="5">
        <v>2.56</v>
      </c>
      <c r="X42" s="6">
        <f t="shared" si="7"/>
        <v>0.59127864005912778</v>
      </c>
    </row>
    <row r="43" spans="2:24" x14ac:dyDescent="0.25">
      <c r="B43" s="5">
        <v>40</v>
      </c>
      <c r="C43" s="5">
        <v>68.69</v>
      </c>
      <c r="D43" s="5">
        <v>33.119999999999997</v>
      </c>
      <c r="E43" s="5">
        <v>2.38</v>
      </c>
      <c r="F43" s="6">
        <f t="shared" si="4"/>
        <v>0.58232639394380548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T43" s="5">
        <v>30</v>
      </c>
      <c r="U43" s="5">
        <v>57.9</v>
      </c>
      <c r="V43" s="5">
        <v>30.49</v>
      </c>
      <c r="W43" s="5">
        <v>2.2400000000000002</v>
      </c>
      <c r="X43" s="6">
        <f t="shared" si="7"/>
        <v>0.5181347150259068</v>
      </c>
    </row>
    <row r="44" spans="2:24" x14ac:dyDescent="0.25">
      <c r="B44" s="5">
        <v>30</v>
      </c>
      <c r="C44" s="5">
        <v>58.73</v>
      </c>
      <c r="D44" s="5">
        <v>32.35</v>
      </c>
      <c r="E44" s="5">
        <v>2.09</v>
      </c>
      <c r="F44" s="6">
        <f t="shared" si="4"/>
        <v>0.51081219138430112</v>
      </c>
      <c r="T44" s="5">
        <v>20</v>
      </c>
      <c r="U44" s="5">
        <v>47.2</v>
      </c>
      <c r="V44" s="5">
        <v>29.96</v>
      </c>
      <c r="W44" s="5">
        <v>1.9</v>
      </c>
      <c r="X44" s="6">
        <f t="shared" si="7"/>
        <v>0.42372881355932202</v>
      </c>
    </row>
    <row r="45" spans="2:24" x14ac:dyDescent="0.25">
      <c r="B45" s="5">
        <v>20</v>
      </c>
      <c r="C45" s="5">
        <v>47.72</v>
      </c>
      <c r="D45" s="5">
        <v>31.3</v>
      </c>
      <c r="E45" s="5">
        <v>1.74</v>
      </c>
      <c r="F45" s="6">
        <f t="shared" si="4"/>
        <v>0.41911148365465217</v>
      </c>
      <c r="T45" s="5">
        <v>10</v>
      </c>
      <c r="U45" s="5">
        <v>33.53</v>
      </c>
      <c r="V45" s="5">
        <v>29.13</v>
      </c>
      <c r="W45" s="5">
        <v>1.43</v>
      </c>
      <c r="X45" s="6">
        <f t="shared" si="7"/>
        <v>0.29824038174768863</v>
      </c>
    </row>
    <row r="46" spans="2:24" x14ac:dyDescent="0.25">
      <c r="B46" s="5">
        <v>10</v>
      </c>
      <c r="C46" s="5">
        <v>34.21</v>
      </c>
      <c r="D46" s="5">
        <v>29.94</v>
      </c>
      <c r="E46" s="5">
        <v>1.29</v>
      </c>
      <c r="F46" s="6">
        <f t="shared" si="4"/>
        <v>0.29231218941829873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</row>
    <row r="47" spans="2:24" x14ac:dyDescent="0.25">
      <c r="B47" s="5">
        <v>0</v>
      </c>
      <c r="C47" s="5">
        <v>0</v>
      </c>
      <c r="D47" s="5">
        <v>0</v>
      </c>
      <c r="E47" s="5">
        <v>0</v>
      </c>
      <c r="F47" s="5">
        <v>0</v>
      </c>
    </row>
    <row r="50" spans="2:24" x14ac:dyDescent="0.25">
      <c r="B50" s="1" t="s">
        <v>0</v>
      </c>
      <c r="C50" s="2">
        <v>992</v>
      </c>
      <c r="D50" s="3"/>
      <c r="E50" s="3"/>
      <c r="F50" s="3"/>
      <c r="H50" s="1" t="s">
        <v>0</v>
      </c>
      <c r="I50" s="2">
        <v>992</v>
      </c>
      <c r="J50" s="3"/>
      <c r="K50" s="3"/>
      <c r="L50" s="3"/>
      <c r="N50" s="1" t="s">
        <v>0</v>
      </c>
      <c r="O50" s="2">
        <v>992</v>
      </c>
      <c r="P50" s="3"/>
      <c r="Q50" s="3"/>
      <c r="R50" s="3"/>
      <c r="T50" s="1" t="s">
        <v>0</v>
      </c>
      <c r="U50" s="2">
        <v>992</v>
      </c>
      <c r="V50" s="3"/>
      <c r="W50" s="3"/>
      <c r="X50" s="3"/>
    </row>
    <row r="51" spans="2:24" x14ac:dyDescent="0.25">
      <c r="B51" s="1" t="s">
        <v>1</v>
      </c>
      <c r="C51" s="4">
        <v>1877.94</v>
      </c>
      <c r="D51" s="3"/>
      <c r="E51" s="3"/>
      <c r="F51" s="3"/>
      <c r="H51" s="1" t="s">
        <v>1</v>
      </c>
      <c r="I51" s="4">
        <v>2004.39</v>
      </c>
      <c r="J51" s="3"/>
      <c r="K51" s="3"/>
      <c r="L51" s="3"/>
      <c r="N51" s="1" t="s">
        <v>1</v>
      </c>
      <c r="O51" s="4">
        <v>2125.59</v>
      </c>
      <c r="P51" s="3"/>
      <c r="Q51" s="3"/>
      <c r="R51" s="3"/>
      <c r="T51" s="1" t="s">
        <v>1</v>
      </c>
      <c r="U51" s="4">
        <v>2257.5500000000002</v>
      </c>
      <c r="V51" s="3"/>
      <c r="W51" s="3"/>
      <c r="X51" s="3"/>
    </row>
    <row r="52" spans="2:24" x14ac:dyDescent="0.25">
      <c r="B52" s="3"/>
      <c r="C52" s="3"/>
      <c r="D52" s="3"/>
      <c r="E52" s="3"/>
      <c r="F52" s="3"/>
      <c r="H52" s="3"/>
      <c r="I52" s="3"/>
      <c r="J52" s="3"/>
      <c r="K52" s="3"/>
      <c r="L52" s="3"/>
      <c r="N52" s="3"/>
      <c r="O52" s="3"/>
      <c r="P52" s="3"/>
      <c r="Q52" s="3"/>
      <c r="R52" s="3"/>
      <c r="T52" s="3"/>
      <c r="U52" s="3"/>
      <c r="V52" s="3"/>
      <c r="W52" s="3"/>
      <c r="X52" s="3"/>
    </row>
    <row r="53" spans="2:24" x14ac:dyDescent="0.25">
      <c r="B53" s="1" t="s">
        <v>2</v>
      </c>
      <c r="C53" s="1" t="s">
        <v>3</v>
      </c>
      <c r="D53" s="1" t="s">
        <v>4</v>
      </c>
      <c r="E53" s="1" t="s">
        <v>5</v>
      </c>
      <c r="F53" s="1" t="s">
        <v>6</v>
      </c>
      <c r="H53" s="1" t="s">
        <v>2</v>
      </c>
      <c r="I53" s="1" t="s">
        <v>3</v>
      </c>
      <c r="J53" s="1" t="s">
        <v>4</v>
      </c>
      <c r="K53" s="1" t="s">
        <v>5</v>
      </c>
      <c r="L53" s="1" t="s">
        <v>6</v>
      </c>
      <c r="N53" s="1" t="s">
        <v>2</v>
      </c>
      <c r="O53" s="1" t="s">
        <v>3</v>
      </c>
      <c r="P53" s="1" t="s">
        <v>4</v>
      </c>
      <c r="Q53" s="1" t="s">
        <v>5</v>
      </c>
      <c r="R53" s="1" t="s">
        <v>6</v>
      </c>
      <c r="T53" s="1" t="s">
        <v>2</v>
      </c>
      <c r="U53" s="1" t="s">
        <v>3</v>
      </c>
      <c r="V53" s="1" t="s">
        <v>4</v>
      </c>
      <c r="W53" s="1" t="s">
        <v>5</v>
      </c>
      <c r="X53" s="1" t="s">
        <v>6</v>
      </c>
    </row>
    <row r="54" spans="2:24" x14ac:dyDescent="0.25">
      <c r="B54" s="5">
        <v>210</v>
      </c>
      <c r="C54" s="6">
        <f>192.5+7</f>
        <v>199.5</v>
      </c>
      <c r="D54" s="6">
        <f>43.9+29.69</f>
        <v>73.59</v>
      </c>
      <c r="E54" s="5">
        <v>6.06</v>
      </c>
      <c r="F54" s="6">
        <f t="shared" ref="F54:F74" si="8">B54/C54</f>
        <v>1.0526315789473684</v>
      </c>
      <c r="H54" s="5">
        <v>210</v>
      </c>
      <c r="I54" s="6">
        <f>4.64+2.87+218.3</f>
        <v>225.81</v>
      </c>
      <c r="J54" s="6">
        <f>20.49+9.94+44.31</f>
        <v>74.740000000000009</v>
      </c>
      <c r="K54" s="5">
        <v>6.06</v>
      </c>
      <c r="L54" s="6">
        <f t="shared" ref="L54:L74" si="9">H54/I54</f>
        <v>0.92998538594393521</v>
      </c>
      <c r="N54" s="5">
        <v>230</v>
      </c>
      <c r="O54" s="6">
        <f>220.84+23.33</f>
        <v>244.17000000000002</v>
      </c>
      <c r="P54" s="6">
        <f>76.61+35.38</f>
        <v>111.99000000000001</v>
      </c>
      <c r="Q54" s="5">
        <v>6.27</v>
      </c>
      <c r="R54" s="6">
        <f t="shared" ref="R54:R69" si="10">N54/O54</f>
        <v>0.94196666257115935</v>
      </c>
      <c r="T54" s="5">
        <v>250</v>
      </c>
      <c r="U54" s="6">
        <f>323.48+0.11+0.08+69.31+0.45+209.38</f>
        <v>602.80999999999995</v>
      </c>
      <c r="V54" s="6">
        <f>96.46+73.86+46.35+4.13+3.99</f>
        <v>224.79</v>
      </c>
      <c r="W54" s="5">
        <v>6.79</v>
      </c>
      <c r="X54" s="6">
        <f t="shared" ref="X54:X70" si="11">T54/U54</f>
        <v>0.4147243741809194</v>
      </c>
    </row>
    <row r="55" spans="2:24" x14ac:dyDescent="0.25">
      <c r="B55" s="5">
        <v>200</v>
      </c>
      <c r="C55" s="6">
        <f>2.98+185.91</f>
        <v>188.89</v>
      </c>
      <c r="D55" s="6">
        <f>24.85+42.46</f>
        <v>67.31</v>
      </c>
      <c r="E55" s="5">
        <v>5.89</v>
      </c>
      <c r="F55" s="6">
        <f t="shared" si="8"/>
        <v>1.0588173010746997</v>
      </c>
      <c r="H55" s="5">
        <v>200</v>
      </c>
      <c r="I55" s="6">
        <f>211.59+2.07+1.57</f>
        <v>215.23</v>
      </c>
      <c r="J55" s="6">
        <f>43.08+12.39+8.32</f>
        <v>63.79</v>
      </c>
      <c r="K55" s="5">
        <v>5.91</v>
      </c>
      <c r="L55" s="6">
        <f t="shared" si="9"/>
        <v>0.92923848905821682</v>
      </c>
      <c r="N55" s="5">
        <v>215</v>
      </c>
      <c r="O55" s="6">
        <f>16.59+188.16+15.46</f>
        <v>220.21</v>
      </c>
      <c r="P55" s="6">
        <f>29.38+40.95+30.08</f>
        <v>100.41</v>
      </c>
      <c r="Q55" s="5">
        <v>6.06</v>
      </c>
      <c r="R55" s="6">
        <f t="shared" si="10"/>
        <v>0.97634076563280503</v>
      </c>
      <c r="T55" s="5">
        <v>235</v>
      </c>
      <c r="U55" s="6">
        <f>308.96+188.78+60.06</f>
        <v>557.79999999999995</v>
      </c>
      <c r="V55" s="6">
        <f>73.22+93.61+37.45</f>
        <v>204.27999999999997</v>
      </c>
      <c r="W55" s="5">
        <v>6.6</v>
      </c>
      <c r="X55" s="6">
        <f t="shared" si="11"/>
        <v>0.42129795625672289</v>
      </c>
    </row>
    <row r="56" spans="2:24" x14ac:dyDescent="0.25">
      <c r="B56" s="5">
        <v>190</v>
      </c>
      <c r="C56" s="6">
        <f>0.19+179.59</f>
        <v>179.78</v>
      </c>
      <c r="D56" s="6">
        <f>6.47+41.99</f>
        <v>48.46</v>
      </c>
      <c r="E56" s="5">
        <v>5.74</v>
      </c>
      <c r="F56" s="6">
        <f t="shared" si="8"/>
        <v>1.0568472577594838</v>
      </c>
      <c r="H56" s="5">
        <v>190</v>
      </c>
      <c r="I56" s="6">
        <f>0.66+205.32+0.48</f>
        <v>206.45999999999998</v>
      </c>
      <c r="J56" s="6">
        <f>7.7+42.74+5.18</f>
        <v>55.620000000000005</v>
      </c>
      <c r="K56" s="5">
        <v>5.76</v>
      </c>
      <c r="L56" s="6">
        <f t="shared" si="9"/>
        <v>0.92027511382350102</v>
      </c>
      <c r="N56" s="5">
        <v>200</v>
      </c>
      <c r="O56" s="6">
        <f>9.23+10.54+179.71</f>
        <v>199.48000000000002</v>
      </c>
      <c r="P56" s="6">
        <f>24.92+24.7+39.4</f>
        <v>89.02000000000001</v>
      </c>
      <c r="Q56" s="5">
        <v>5.81</v>
      </c>
      <c r="R56" s="6">
        <f t="shared" si="10"/>
        <v>1.0026067776218166</v>
      </c>
      <c r="T56" s="5">
        <v>220</v>
      </c>
      <c r="U56" s="6">
        <f>169.76+293.07+50.92+0.56</f>
        <v>514.30999999999995</v>
      </c>
      <c r="V56" s="6">
        <f>89.24+72.62+27.83+3.52</f>
        <v>193.21</v>
      </c>
      <c r="W56" s="5">
        <v>6.36</v>
      </c>
      <c r="X56" s="6">
        <f t="shared" si="11"/>
        <v>0.42775757811436688</v>
      </c>
    </row>
    <row r="57" spans="2:24" x14ac:dyDescent="0.25">
      <c r="B57" s="5">
        <v>180</v>
      </c>
      <c r="C57" s="5">
        <v>170.52</v>
      </c>
      <c r="D57" s="5">
        <v>41.3</v>
      </c>
      <c r="E57" s="5">
        <v>5.52</v>
      </c>
      <c r="F57" s="6">
        <f t="shared" si="8"/>
        <v>1.0555946516537649</v>
      </c>
      <c r="H57" s="5">
        <v>180</v>
      </c>
      <c r="I57" s="5">
        <v>196.33</v>
      </c>
      <c r="J57" s="5">
        <v>42.12</v>
      </c>
      <c r="K57" s="5">
        <v>5.53</v>
      </c>
      <c r="L57" s="6">
        <f t="shared" si="9"/>
        <v>0.91682371517343242</v>
      </c>
      <c r="N57" s="5">
        <v>185</v>
      </c>
      <c r="O57" s="6">
        <f>167.86+3.23+4.36+0.08</f>
        <v>175.53000000000003</v>
      </c>
      <c r="P57" s="6">
        <f>38.24+12.11+12.38+1.68</f>
        <v>64.410000000000011</v>
      </c>
      <c r="Q57" s="5">
        <v>5.52</v>
      </c>
      <c r="R57" s="6">
        <f t="shared" si="10"/>
        <v>1.0539508915854838</v>
      </c>
      <c r="T57" s="5">
        <v>205</v>
      </c>
      <c r="U57" s="6">
        <f>150.68+276.71+45.93</f>
        <v>473.32</v>
      </c>
      <c r="V57" s="6">
        <f>86.31+70.43+26.15</f>
        <v>182.89000000000001</v>
      </c>
      <c r="W57" s="5">
        <v>6.13</v>
      </c>
      <c r="X57" s="6">
        <f t="shared" si="11"/>
        <v>0.43311079185329165</v>
      </c>
    </row>
    <row r="58" spans="2:24" x14ac:dyDescent="0.25">
      <c r="B58" s="5">
        <v>170</v>
      </c>
      <c r="C58" s="5">
        <v>165.96</v>
      </c>
      <c r="D58" s="5">
        <v>40.619999999999997</v>
      </c>
      <c r="E58" s="5">
        <v>5.39</v>
      </c>
      <c r="F58" s="6">
        <f t="shared" si="8"/>
        <v>1.0243432152325862</v>
      </c>
      <c r="H58" s="5">
        <v>170</v>
      </c>
      <c r="I58" s="5">
        <v>190.51</v>
      </c>
      <c r="J58" s="5">
        <v>41.92</v>
      </c>
      <c r="K58" s="5">
        <v>5.4</v>
      </c>
      <c r="L58" s="6">
        <f t="shared" si="9"/>
        <v>0.89234160936433782</v>
      </c>
      <c r="N58" s="5">
        <v>170</v>
      </c>
      <c r="O58" s="6">
        <f>1.15+159.45+1.79</f>
        <v>162.38999999999999</v>
      </c>
      <c r="P58" s="6">
        <f>6.94+37.6+10.43</f>
        <v>54.97</v>
      </c>
      <c r="Q58" s="5">
        <v>5.31</v>
      </c>
      <c r="R58" s="6">
        <f t="shared" si="10"/>
        <v>1.04686249153273</v>
      </c>
      <c r="T58" s="5">
        <v>190</v>
      </c>
      <c r="U58" s="6">
        <f>262.12+132.3+40.11</f>
        <v>434.53000000000003</v>
      </c>
      <c r="V58" s="6">
        <f>67.73+82.96+24.38</f>
        <v>175.07</v>
      </c>
      <c r="W58" s="5">
        <v>5.9</v>
      </c>
      <c r="X58" s="6">
        <f t="shared" si="11"/>
        <v>0.43725404459991252</v>
      </c>
    </row>
    <row r="59" spans="2:24" x14ac:dyDescent="0.25">
      <c r="B59" s="5">
        <v>160</v>
      </c>
      <c r="C59" s="5">
        <v>158.91</v>
      </c>
      <c r="D59" s="5">
        <v>39.99</v>
      </c>
      <c r="E59" s="5">
        <v>5.24</v>
      </c>
      <c r="F59" s="6">
        <f t="shared" si="8"/>
        <v>1.0068592284941162</v>
      </c>
      <c r="H59" s="5">
        <v>160</v>
      </c>
      <c r="I59" s="5">
        <v>183.84</v>
      </c>
      <c r="J59" s="5">
        <v>41.37</v>
      </c>
      <c r="K59" s="5">
        <v>5.23</v>
      </c>
      <c r="L59" s="6">
        <f t="shared" si="9"/>
        <v>0.8703220191470844</v>
      </c>
      <c r="N59" s="5">
        <v>155</v>
      </c>
      <c r="O59" s="5">
        <v>151.37</v>
      </c>
      <c r="P59" s="5">
        <v>37.04</v>
      </c>
      <c r="Q59" s="5">
        <v>5.0999999999999996</v>
      </c>
      <c r="R59" s="6">
        <f t="shared" si="10"/>
        <v>1.0239809737728744</v>
      </c>
      <c r="T59" s="5">
        <v>175</v>
      </c>
      <c r="U59" s="6">
        <f>107.9+244.47+33.82</f>
        <v>386.19</v>
      </c>
      <c r="V59" s="6">
        <f>78.26+66.14+19.05</f>
        <v>163.45000000000002</v>
      </c>
      <c r="W59" s="5">
        <v>5.64</v>
      </c>
      <c r="X59" s="6">
        <f t="shared" si="11"/>
        <v>0.45314482508609755</v>
      </c>
    </row>
    <row r="60" spans="2:24" x14ac:dyDescent="0.25">
      <c r="B60" s="5">
        <v>150</v>
      </c>
      <c r="C60" s="5">
        <v>152.93</v>
      </c>
      <c r="D60" s="5">
        <v>39.33</v>
      </c>
      <c r="E60" s="5">
        <v>5.08</v>
      </c>
      <c r="F60" s="6">
        <f t="shared" si="8"/>
        <v>0.98084090760478648</v>
      </c>
      <c r="H60" s="5">
        <v>150</v>
      </c>
      <c r="I60" s="5">
        <v>177.3</v>
      </c>
      <c r="J60" s="5">
        <v>41.1</v>
      </c>
      <c r="K60" s="5">
        <v>5.08</v>
      </c>
      <c r="L60" s="6">
        <f t="shared" si="9"/>
        <v>0.84602368866328248</v>
      </c>
      <c r="N60" s="5">
        <v>140</v>
      </c>
      <c r="O60" s="5">
        <v>141.43</v>
      </c>
      <c r="P60" s="5">
        <v>36.200000000000003</v>
      </c>
      <c r="Q60" s="5">
        <v>4.84</v>
      </c>
      <c r="R60" s="6">
        <f t="shared" si="10"/>
        <v>0.98988899102029271</v>
      </c>
      <c r="T60" s="5">
        <v>160</v>
      </c>
      <c r="U60" s="6">
        <f>91.4+228.81+29.49</f>
        <v>349.70000000000005</v>
      </c>
      <c r="V60" s="6">
        <f>70.64+61.93+16.01</f>
        <v>148.57999999999998</v>
      </c>
      <c r="W60" s="5">
        <v>5.39</v>
      </c>
      <c r="X60" s="6">
        <f t="shared" si="11"/>
        <v>0.45753503002573631</v>
      </c>
    </row>
    <row r="61" spans="2:24" x14ac:dyDescent="0.25">
      <c r="B61" s="5">
        <v>140</v>
      </c>
      <c r="C61" s="5">
        <v>146.87</v>
      </c>
      <c r="D61" s="5">
        <v>38.770000000000003</v>
      </c>
      <c r="E61" s="5">
        <v>4.95</v>
      </c>
      <c r="F61" s="6">
        <f t="shared" si="8"/>
        <v>0.95322393953836726</v>
      </c>
      <c r="H61" s="5">
        <v>140</v>
      </c>
      <c r="I61" s="5">
        <v>170.31</v>
      </c>
      <c r="J61" s="5">
        <v>40.659999999999997</v>
      </c>
      <c r="K61" s="5">
        <v>4.93</v>
      </c>
      <c r="L61" s="6">
        <f t="shared" si="9"/>
        <v>0.82203041512535968</v>
      </c>
      <c r="N61" s="5">
        <v>125</v>
      </c>
      <c r="O61" s="5">
        <v>132.62</v>
      </c>
      <c r="P61" s="5">
        <v>36.090000000000003</v>
      </c>
      <c r="Q61" s="5">
        <v>4.57</v>
      </c>
      <c r="R61" s="6">
        <f t="shared" si="10"/>
        <v>0.94254260292565217</v>
      </c>
      <c r="T61" s="5">
        <v>145</v>
      </c>
      <c r="U61" s="6">
        <f>72.27+2.84+215.06+26.37</f>
        <v>316.54000000000002</v>
      </c>
      <c r="V61" s="6">
        <f>46.58+17.84+59.87+14.11</f>
        <v>138.39999999999998</v>
      </c>
      <c r="W61" s="5">
        <v>5.15</v>
      </c>
      <c r="X61" s="6">
        <f t="shared" si="11"/>
        <v>0.45807796802931694</v>
      </c>
    </row>
    <row r="62" spans="2:24" x14ac:dyDescent="0.25">
      <c r="B62" s="5">
        <v>130</v>
      </c>
      <c r="C62" s="5">
        <v>140.80000000000001</v>
      </c>
      <c r="D62" s="5">
        <v>38.380000000000003</v>
      </c>
      <c r="E62" s="5">
        <v>4.78</v>
      </c>
      <c r="F62" s="6">
        <f t="shared" si="8"/>
        <v>0.92329545454545447</v>
      </c>
      <c r="H62" s="5">
        <v>130</v>
      </c>
      <c r="I62" s="5">
        <v>163.9</v>
      </c>
      <c r="J62" s="5">
        <v>40.33</v>
      </c>
      <c r="K62" s="5">
        <v>4.78</v>
      </c>
      <c r="L62" s="6">
        <f t="shared" si="9"/>
        <v>0.79316656497864546</v>
      </c>
      <c r="N62" s="5">
        <v>110</v>
      </c>
      <c r="O62" s="5">
        <v>123.23</v>
      </c>
      <c r="P62" s="5">
        <v>35.36</v>
      </c>
      <c r="Q62" s="5">
        <v>4.34</v>
      </c>
      <c r="R62" s="6">
        <f t="shared" si="10"/>
        <v>0.89263977927452731</v>
      </c>
      <c r="T62" s="5">
        <v>130</v>
      </c>
      <c r="U62" s="6">
        <f>61.29+200.14+23.09</f>
        <v>284.52</v>
      </c>
      <c r="V62" s="6">
        <f>42.82+56.08+12.92</f>
        <v>111.82000000000001</v>
      </c>
      <c r="W62" s="5">
        <v>4.8899999999999997</v>
      </c>
      <c r="X62" s="6">
        <f t="shared" si="11"/>
        <v>0.45690988331224519</v>
      </c>
    </row>
    <row r="63" spans="2:24" x14ac:dyDescent="0.25">
      <c r="B63" s="5">
        <v>120</v>
      </c>
      <c r="C63" s="5">
        <v>134.56</v>
      </c>
      <c r="D63" s="5">
        <v>37.94</v>
      </c>
      <c r="E63" s="5">
        <v>4.62</v>
      </c>
      <c r="F63" s="6">
        <f t="shared" si="8"/>
        <v>0.89179548156956001</v>
      </c>
      <c r="H63" s="5">
        <v>120</v>
      </c>
      <c r="I63" s="5">
        <v>157.43</v>
      </c>
      <c r="J63" s="5">
        <v>39.94</v>
      </c>
      <c r="K63" s="5">
        <v>4.6100000000000003</v>
      </c>
      <c r="L63" s="6">
        <f t="shared" si="9"/>
        <v>0.76224353681001078</v>
      </c>
      <c r="N63" s="5">
        <v>95</v>
      </c>
      <c r="O63" s="5">
        <v>113.92</v>
      </c>
      <c r="P63" s="5">
        <v>34.770000000000003</v>
      </c>
      <c r="Q63" s="5">
        <v>4.05</v>
      </c>
      <c r="R63" s="6">
        <f t="shared" si="10"/>
        <v>0.8339185393258427</v>
      </c>
      <c r="T63" s="5">
        <v>115</v>
      </c>
      <c r="U63" s="6">
        <f>51.37+184.95+19.49</f>
        <v>255.81</v>
      </c>
      <c r="V63" s="6">
        <f>32.53+54.19+11.95</f>
        <v>98.67</v>
      </c>
      <c r="W63" s="5">
        <v>4.63</v>
      </c>
      <c r="X63" s="6">
        <f t="shared" si="11"/>
        <v>0.44955240217348813</v>
      </c>
    </row>
    <row r="64" spans="2:24" x14ac:dyDescent="0.25">
      <c r="B64" s="5">
        <v>110</v>
      </c>
      <c r="C64" s="5">
        <v>127.88</v>
      </c>
      <c r="D64" s="5">
        <v>37.5</v>
      </c>
      <c r="E64" s="5">
        <v>4.42</v>
      </c>
      <c r="F64" s="6">
        <f t="shared" si="8"/>
        <v>0.86018142008132625</v>
      </c>
      <c r="H64" s="5">
        <v>110</v>
      </c>
      <c r="I64" s="5">
        <v>151.06</v>
      </c>
      <c r="J64" s="5">
        <v>39.72</v>
      </c>
      <c r="K64" s="5">
        <v>4.43</v>
      </c>
      <c r="L64" s="6">
        <f t="shared" si="9"/>
        <v>0.72818747517542692</v>
      </c>
      <c r="N64" s="5">
        <v>80</v>
      </c>
      <c r="O64" s="5">
        <v>103.47</v>
      </c>
      <c r="P64" s="5">
        <v>33.58</v>
      </c>
      <c r="Q64" s="5">
        <v>3.75</v>
      </c>
      <c r="R64" s="6">
        <f t="shared" si="10"/>
        <v>0.773170967430173</v>
      </c>
      <c r="T64" s="5">
        <v>100</v>
      </c>
      <c r="U64" s="6">
        <f>42.82+170.1+16.54</f>
        <v>229.45999999999998</v>
      </c>
      <c r="V64" s="6">
        <f>30.53+53.15+10.91</f>
        <v>94.59</v>
      </c>
      <c r="W64" s="5">
        <v>4.33</v>
      </c>
      <c r="X64" s="6">
        <f t="shared" si="11"/>
        <v>0.43580580493332177</v>
      </c>
    </row>
    <row r="65" spans="2:24" x14ac:dyDescent="0.25">
      <c r="B65" s="5">
        <v>100</v>
      </c>
      <c r="C65" s="5">
        <v>121.34</v>
      </c>
      <c r="D65" s="5">
        <v>36.96</v>
      </c>
      <c r="E65" s="5">
        <v>4.2699999999999996</v>
      </c>
      <c r="F65" s="6">
        <f t="shared" si="8"/>
        <v>0.82413054227789684</v>
      </c>
      <c r="H65" s="5">
        <v>100</v>
      </c>
      <c r="I65" s="5">
        <v>143.43</v>
      </c>
      <c r="J65" s="5">
        <v>39.07</v>
      </c>
      <c r="K65" s="5">
        <v>4.25</v>
      </c>
      <c r="L65" s="6">
        <f t="shared" si="9"/>
        <v>0.69720421111343511</v>
      </c>
      <c r="N65" s="5">
        <v>65</v>
      </c>
      <c r="O65" s="5">
        <v>92.5</v>
      </c>
      <c r="P65" s="5">
        <v>33.07</v>
      </c>
      <c r="Q65" s="5">
        <v>3.41</v>
      </c>
      <c r="R65" s="6">
        <f t="shared" si="10"/>
        <v>0.70270270270270274</v>
      </c>
      <c r="T65" s="5">
        <v>85</v>
      </c>
      <c r="U65" s="6">
        <f>33.8+154.8+12.97</f>
        <v>201.57000000000002</v>
      </c>
      <c r="V65" s="6">
        <f>29.52+52.28+9.88</f>
        <v>91.679999999999993</v>
      </c>
      <c r="W65" s="5">
        <v>4.07</v>
      </c>
      <c r="X65" s="6">
        <f t="shared" si="11"/>
        <v>0.42168973557573047</v>
      </c>
    </row>
    <row r="66" spans="2:24" x14ac:dyDescent="0.25">
      <c r="B66" s="5">
        <v>90</v>
      </c>
      <c r="C66" s="5">
        <v>113.98</v>
      </c>
      <c r="D66" s="5">
        <v>36.51</v>
      </c>
      <c r="E66" s="5">
        <v>4.04</v>
      </c>
      <c r="F66" s="6">
        <f t="shared" si="8"/>
        <v>0.78961221266888926</v>
      </c>
      <c r="H66" s="5">
        <v>90</v>
      </c>
      <c r="I66" s="5">
        <v>135.94999999999999</v>
      </c>
      <c r="J66" s="5">
        <v>38.67</v>
      </c>
      <c r="K66" s="5">
        <v>4.0599999999999996</v>
      </c>
      <c r="L66" s="6">
        <f t="shared" si="9"/>
        <v>0.6620080912100037</v>
      </c>
      <c r="N66" s="5">
        <v>50</v>
      </c>
      <c r="O66" s="5">
        <v>80.5</v>
      </c>
      <c r="P66" s="5">
        <v>32.119999999999997</v>
      </c>
      <c r="Q66" s="5">
        <v>3.05</v>
      </c>
      <c r="R66" s="6">
        <f t="shared" si="10"/>
        <v>0.6211180124223602</v>
      </c>
      <c r="T66" s="5">
        <v>70</v>
      </c>
      <c r="U66" s="6">
        <f>13.14+12.17+137.54+10.35</f>
        <v>173.2</v>
      </c>
      <c r="V66" s="6">
        <f>9.43+10.44+51.17+8.7</f>
        <v>79.739999999999995</v>
      </c>
      <c r="W66" s="5">
        <v>3.72</v>
      </c>
      <c r="X66" s="6">
        <f t="shared" si="11"/>
        <v>0.40415704387990764</v>
      </c>
    </row>
    <row r="67" spans="2:24" x14ac:dyDescent="0.25">
      <c r="B67" s="5">
        <v>80</v>
      </c>
      <c r="C67" s="5">
        <v>106.44</v>
      </c>
      <c r="D67" s="5">
        <v>35.74</v>
      </c>
      <c r="E67" s="5">
        <v>3.86</v>
      </c>
      <c r="F67" s="6">
        <f t="shared" si="8"/>
        <v>0.75159714393085308</v>
      </c>
      <c r="H67" s="5">
        <v>80</v>
      </c>
      <c r="I67" s="5">
        <v>128.1</v>
      </c>
      <c r="J67" s="5">
        <v>38.17</v>
      </c>
      <c r="K67" s="5">
        <v>3.85</v>
      </c>
      <c r="L67" s="6">
        <f t="shared" si="9"/>
        <v>0.62451209992193601</v>
      </c>
      <c r="N67" s="5">
        <v>35</v>
      </c>
      <c r="O67" s="5">
        <v>66.709999999999994</v>
      </c>
      <c r="P67" s="5">
        <v>31.09</v>
      </c>
      <c r="Q67" s="5">
        <v>2.63</v>
      </c>
      <c r="R67" s="6">
        <f t="shared" si="10"/>
        <v>0.52465897166841557</v>
      </c>
      <c r="T67" s="5">
        <v>55</v>
      </c>
      <c r="U67" s="6">
        <f>9.88+8.68+119.76+7.3</f>
        <v>145.62</v>
      </c>
      <c r="V67" s="6">
        <f>8.39+9.26+50.07+7.29</f>
        <v>75.010000000000005</v>
      </c>
      <c r="W67" s="5">
        <v>3.35</v>
      </c>
      <c r="X67" s="6">
        <f t="shared" si="11"/>
        <v>0.37769537151490179</v>
      </c>
    </row>
    <row r="68" spans="2:24" x14ac:dyDescent="0.25">
      <c r="B68" s="5">
        <v>70</v>
      </c>
      <c r="C68" s="5">
        <v>99.1</v>
      </c>
      <c r="D68" s="5">
        <v>35.15</v>
      </c>
      <c r="E68" s="5">
        <v>3.64</v>
      </c>
      <c r="F68" s="6">
        <f t="shared" si="8"/>
        <v>0.70635721493440973</v>
      </c>
      <c r="H68" s="5">
        <v>70</v>
      </c>
      <c r="I68" s="5">
        <v>119.8</v>
      </c>
      <c r="J68" s="5">
        <v>37.770000000000003</v>
      </c>
      <c r="K68" s="5">
        <v>3.62</v>
      </c>
      <c r="L68" s="6">
        <f t="shared" si="9"/>
        <v>0.58430717863105175</v>
      </c>
      <c r="N68" s="5">
        <v>20</v>
      </c>
      <c r="O68" s="5">
        <v>50.53</v>
      </c>
      <c r="P68" s="5">
        <v>29.8</v>
      </c>
      <c r="Q68" s="5">
        <v>2.0699999999999998</v>
      </c>
      <c r="R68" s="6">
        <f t="shared" si="10"/>
        <v>0.39580447259054025</v>
      </c>
      <c r="T68" s="5">
        <v>40</v>
      </c>
      <c r="U68" s="6">
        <f>6.72+5.23+100.46+4.66</f>
        <v>117.07</v>
      </c>
      <c r="V68" s="6">
        <f>7.13+7.61+44.27+6.08</f>
        <v>65.09</v>
      </c>
      <c r="W68" s="5">
        <v>2.96</v>
      </c>
      <c r="X68" s="6">
        <f t="shared" si="11"/>
        <v>0.34167592038951056</v>
      </c>
    </row>
    <row r="69" spans="2:24" x14ac:dyDescent="0.25">
      <c r="B69" s="5">
        <v>60</v>
      </c>
      <c r="C69" s="5">
        <v>91.3</v>
      </c>
      <c r="D69" s="5">
        <v>34.520000000000003</v>
      </c>
      <c r="E69" s="5">
        <v>3.44</v>
      </c>
      <c r="F69" s="6">
        <f t="shared" si="8"/>
        <v>0.65717415115005473</v>
      </c>
      <c r="H69" s="5">
        <v>60</v>
      </c>
      <c r="I69" s="5">
        <v>111.26</v>
      </c>
      <c r="J69" s="5">
        <v>37.090000000000003</v>
      </c>
      <c r="K69" s="5">
        <v>3.41</v>
      </c>
      <c r="L69" s="6">
        <f t="shared" si="9"/>
        <v>0.53927736832644257</v>
      </c>
      <c r="N69" s="5">
        <v>5</v>
      </c>
      <c r="O69" s="5">
        <v>44.6</v>
      </c>
      <c r="P69" s="5">
        <v>29.29</v>
      </c>
      <c r="Q69" s="5">
        <v>1.87</v>
      </c>
      <c r="R69" s="6">
        <f t="shared" si="10"/>
        <v>0.11210762331838564</v>
      </c>
      <c r="T69" s="5">
        <v>25</v>
      </c>
      <c r="U69" s="6">
        <f>3.49+2.04+79.69+2.07</f>
        <v>87.289999999999992</v>
      </c>
      <c r="V69" s="6">
        <f>5.99+5.26+40.96+4.38</f>
        <v>56.59</v>
      </c>
      <c r="W69" s="5">
        <v>2.46</v>
      </c>
      <c r="X69" s="6">
        <f t="shared" si="11"/>
        <v>0.28640164967350212</v>
      </c>
    </row>
    <row r="70" spans="2:24" x14ac:dyDescent="0.25">
      <c r="B70" s="5">
        <v>50</v>
      </c>
      <c r="C70" s="5">
        <v>82.81</v>
      </c>
      <c r="D70" s="5">
        <v>33.729999999999997</v>
      </c>
      <c r="E70" s="5">
        <v>3.15</v>
      </c>
      <c r="F70" s="6">
        <f t="shared" si="8"/>
        <v>0.60379181258302139</v>
      </c>
      <c r="H70" s="5">
        <v>50</v>
      </c>
      <c r="I70" s="5">
        <v>101.87</v>
      </c>
      <c r="J70" s="5">
        <v>36.619999999999997</v>
      </c>
      <c r="K70" s="5">
        <v>3.15</v>
      </c>
      <c r="L70" s="6">
        <f t="shared" si="9"/>
        <v>0.49082163541768919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T70" s="5">
        <v>10</v>
      </c>
      <c r="U70" s="6">
        <f>0.14+53.53+0.05</f>
        <v>53.72</v>
      </c>
      <c r="V70" s="6">
        <f>3.22+36.6+0.9</f>
        <v>40.72</v>
      </c>
      <c r="W70" s="5">
        <v>1.78</v>
      </c>
      <c r="X70" s="6">
        <f t="shared" si="11"/>
        <v>0.18615040953090098</v>
      </c>
    </row>
    <row r="71" spans="2:24" x14ac:dyDescent="0.25">
      <c r="B71" s="5">
        <v>40</v>
      </c>
      <c r="C71" s="5">
        <v>73.61</v>
      </c>
      <c r="D71" s="5">
        <v>32.85</v>
      </c>
      <c r="E71" s="5">
        <v>2.89</v>
      </c>
      <c r="F71" s="6">
        <f t="shared" si="8"/>
        <v>0.54340442874609429</v>
      </c>
      <c r="H71" s="5">
        <v>40</v>
      </c>
      <c r="I71" s="5">
        <v>91.71</v>
      </c>
      <c r="J71" s="5">
        <v>35.89</v>
      </c>
      <c r="K71" s="5">
        <v>2.87</v>
      </c>
      <c r="L71" s="6">
        <f t="shared" si="9"/>
        <v>0.43615745284047547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</row>
    <row r="72" spans="2:24" x14ac:dyDescent="0.25">
      <c r="B72" s="5">
        <v>30</v>
      </c>
      <c r="C72" s="5">
        <v>63.42</v>
      </c>
      <c r="D72" s="5">
        <v>31.27</v>
      </c>
      <c r="E72" s="5">
        <v>2.57</v>
      </c>
      <c r="F72" s="6">
        <f t="shared" si="8"/>
        <v>0.47303689687795647</v>
      </c>
      <c r="H72" s="5">
        <v>30</v>
      </c>
      <c r="I72" s="5">
        <v>80.599999999999994</v>
      </c>
      <c r="J72" s="5">
        <v>35.04</v>
      </c>
      <c r="K72" s="5">
        <v>2.56</v>
      </c>
      <c r="L72" s="6">
        <f t="shared" si="9"/>
        <v>0.37220843672456577</v>
      </c>
    </row>
    <row r="73" spans="2:24" x14ac:dyDescent="0.25">
      <c r="B73" s="5">
        <v>20</v>
      </c>
      <c r="C73" s="5">
        <v>52.6</v>
      </c>
      <c r="D73" s="5">
        <v>27.64</v>
      </c>
      <c r="E73" s="5">
        <v>2.2000000000000002</v>
      </c>
      <c r="F73" s="6">
        <f t="shared" si="8"/>
        <v>0.38022813688212925</v>
      </c>
      <c r="H73" s="5">
        <v>20</v>
      </c>
      <c r="I73" s="5">
        <v>68.09</v>
      </c>
      <c r="J73" s="5">
        <v>34.24</v>
      </c>
      <c r="K73" s="5">
        <v>2.2000000000000002</v>
      </c>
      <c r="L73" s="6">
        <f t="shared" si="9"/>
        <v>0.293728888236158</v>
      </c>
    </row>
    <row r="74" spans="2:24" x14ac:dyDescent="0.25">
      <c r="B74" s="5">
        <v>10</v>
      </c>
      <c r="C74" s="5">
        <v>40.21</v>
      </c>
      <c r="D74" s="5">
        <v>26.75</v>
      </c>
      <c r="E74" s="5">
        <v>1.76</v>
      </c>
      <c r="F74" s="6">
        <f t="shared" si="8"/>
        <v>0.24869435463814971</v>
      </c>
      <c r="H74" s="5">
        <v>10</v>
      </c>
      <c r="I74" s="5">
        <v>67.92</v>
      </c>
      <c r="J74" s="5">
        <v>34.24</v>
      </c>
      <c r="K74" s="5">
        <v>2.19</v>
      </c>
      <c r="L74" s="6">
        <f t="shared" si="9"/>
        <v>0.14723203769140164</v>
      </c>
    </row>
    <row r="75" spans="2:24" x14ac:dyDescent="0.25">
      <c r="B75" s="5">
        <v>0</v>
      </c>
      <c r="C75" s="5">
        <v>0</v>
      </c>
      <c r="D75" s="5">
        <v>0</v>
      </c>
      <c r="E75" s="5">
        <v>0</v>
      </c>
      <c r="F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topLeftCell="H1" workbookViewId="0">
      <selection activeCell="S33" sqref="S33"/>
    </sheetView>
  </sheetViews>
  <sheetFormatPr defaultColWidth="14.44140625" defaultRowHeight="15.75" customHeight="1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selection activeCell="S29" sqref="S29"/>
    </sheetView>
  </sheetViews>
  <sheetFormatPr defaultColWidth="14.44140625" defaultRowHeight="15.75" customHeight="1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selection activeCell="T30" sqref="T30"/>
    </sheetView>
  </sheetViews>
  <sheetFormatPr defaultColWidth="14.44140625" defaultRowHeight="15.75" customHeight="1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tabSelected="1" workbookViewId="0">
      <selection activeCell="S32" sqref="S32"/>
    </sheetView>
  </sheetViews>
  <sheetFormatPr defaultColWidth="14.44140625" defaultRowHeight="15.75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Collected Data Site 992</vt:lpstr>
      <vt:lpstr>Discharge vs Depth</vt:lpstr>
      <vt:lpstr>Discharge vs Width</vt:lpstr>
      <vt:lpstr>Discharge vs Area</vt:lpstr>
      <vt:lpstr>Discharge vs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Fahmidah Ashraf</dc:creator>
  <cp:lastModifiedBy>Ruma</cp:lastModifiedBy>
  <dcterms:created xsi:type="dcterms:W3CDTF">2021-07-15T14:52:22Z</dcterms:created>
  <dcterms:modified xsi:type="dcterms:W3CDTF">2021-07-15T14:52:23Z</dcterms:modified>
</cp:coreProperties>
</file>