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4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NEW JOURNAL\Power\"/>
    </mc:Choice>
  </mc:AlternateContent>
  <bookViews>
    <workbookView xWindow="0" yWindow="0" windowWidth="23040" windowHeight="8760" activeTab="4"/>
  </bookViews>
  <sheets>
    <sheet name="Collected Data Site 1289" sheetId="1" r:id="rId1"/>
    <sheet name="Discharge vs Depth" sheetId="2" r:id="rId2"/>
    <sheet name="Discharge vs Width" sheetId="3" r:id="rId3"/>
    <sheet name="Discharge vs Area" sheetId="4" r:id="rId4"/>
    <sheet name="Discharge vs Velocit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47" i="1" l="1"/>
  <c r="AD46" i="1"/>
  <c r="AD45" i="1"/>
  <c r="F45" i="1"/>
  <c r="AD44" i="1"/>
  <c r="F44" i="1"/>
  <c r="AD43" i="1"/>
  <c r="X43" i="1"/>
  <c r="V43" i="1"/>
  <c r="U43" i="1"/>
  <c r="F43" i="1"/>
  <c r="AD42" i="1"/>
  <c r="V42" i="1"/>
  <c r="U42" i="1"/>
  <c r="X42" i="1" s="1"/>
  <c r="F42" i="1"/>
  <c r="AD41" i="1"/>
  <c r="V41" i="1"/>
  <c r="U41" i="1"/>
  <c r="X41" i="1" s="1"/>
  <c r="J41" i="1"/>
  <c r="I41" i="1"/>
  <c r="L41" i="1" s="1"/>
  <c r="F41" i="1"/>
  <c r="AD40" i="1"/>
  <c r="V40" i="1"/>
  <c r="U40" i="1"/>
  <c r="X40" i="1" s="1"/>
  <c r="J40" i="1"/>
  <c r="I40" i="1"/>
  <c r="L40" i="1" s="1"/>
  <c r="F40" i="1"/>
  <c r="D40" i="1"/>
  <c r="C40" i="1"/>
  <c r="AA39" i="1"/>
  <c r="AD39" i="1" s="1"/>
  <c r="V39" i="1"/>
  <c r="U39" i="1"/>
  <c r="X39" i="1" s="1"/>
  <c r="L39" i="1"/>
  <c r="J39" i="1"/>
  <c r="I39" i="1"/>
  <c r="F39" i="1"/>
  <c r="D39" i="1"/>
  <c r="C39" i="1"/>
  <c r="AD38" i="1"/>
  <c r="X38" i="1"/>
  <c r="V38" i="1"/>
  <c r="U38" i="1"/>
  <c r="J38" i="1"/>
  <c r="I38" i="1"/>
  <c r="L38" i="1" s="1"/>
  <c r="D38" i="1"/>
  <c r="C38" i="1"/>
  <c r="F38" i="1" s="1"/>
  <c r="AD37" i="1"/>
  <c r="V37" i="1"/>
  <c r="U37" i="1"/>
  <c r="X37" i="1" s="1"/>
  <c r="L37" i="1"/>
  <c r="J37" i="1"/>
  <c r="I37" i="1"/>
  <c r="F37" i="1"/>
  <c r="D37" i="1"/>
  <c r="C37" i="1"/>
  <c r="AD36" i="1"/>
  <c r="X36" i="1"/>
  <c r="V36" i="1"/>
  <c r="U36" i="1"/>
  <c r="R36" i="1"/>
  <c r="L36" i="1"/>
  <c r="J36" i="1"/>
  <c r="I36" i="1"/>
  <c r="D36" i="1"/>
  <c r="C36" i="1"/>
  <c r="F36" i="1" s="1"/>
  <c r="AD35" i="1"/>
  <c r="V35" i="1"/>
  <c r="U35" i="1"/>
  <c r="X35" i="1" s="1"/>
  <c r="R35" i="1"/>
  <c r="J35" i="1"/>
  <c r="I35" i="1"/>
  <c r="L35" i="1" s="1"/>
  <c r="D35" i="1"/>
  <c r="C35" i="1"/>
  <c r="F35" i="1" s="1"/>
  <c r="AD34" i="1"/>
  <c r="V34" i="1"/>
  <c r="U34" i="1"/>
  <c r="X34" i="1" s="1"/>
  <c r="R34" i="1"/>
  <c r="J34" i="1"/>
  <c r="I34" i="1"/>
  <c r="L34" i="1" s="1"/>
  <c r="F34" i="1"/>
  <c r="D34" i="1"/>
  <c r="C34" i="1"/>
  <c r="AD33" i="1"/>
  <c r="X33" i="1"/>
  <c r="V33" i="1"/>
  <c r="U33" i="1"/>
  <c r="R33" i="1"/>
  <c r="L33" i="1"/>
  <c r="J33" i="1"/>
  <c r="I33" i="1"/>
  <c r="F33" i="1"/>
  <c r="D33" i="1"/>
  <c r="C33" i="1"/>
  <c r="AA32" i="1"/>
  <c r="AD32" i="1" s="1"/>
  <c r="X32" i="1"/>
  <c r="V32" i="1"/>
  <c r="U32" i="1"/>
  <c r="R32" i="1"/>
  <c r="L32" i="1"/>
  <c r="J32" i="1"/>
  <c r="I32" i="1"/>
  <c r="F32" i="1"/>
  <c r="D32" i="1"/>
  <c r="C32" i="1"/>
  <c r="AB31" i="1"/>
  <c r="AA31" i="1"/>
  <c r="AD31" i="1" s="1"/>
  <c r="V31" i="1"/>
  <c r="U31" i="1"/>
  <c r="X31" i="1" s="1"/>
  <c r="R31" i="1"/>
  <c r="P31" i="1"/>
  <c r="O31" i="1"/>
  <c r="L31" i="1"/>
  <c r="J31" i="1"/>
  <c r="I31" i="1"/>
  <c r="D31" i="1"/>
  <c r="C31" i="1"/>
  <c r="F31" i="1" s="1"/>
  <c r="AB30" i="1"/>
  <c r="AA30" i="1"/>
  <c r="AD30" i="1" s="1"/>
  <c r="X30" i="1"/>
  <c r="V30" i="1"/>
  <c r="U30" i="1"/>
  <c r="R30" i="1"/>
  <c r="P30" i="1"/>
  <c r="O30" i="1"/>
  <c r="J30" i="1"/>
  <c r="I30" i="1"/>
  <c r="L30" i="1" s="1"/>
  <c r="D30" i="1"/>
  <c r="C30" i="1"/>
  <c r="F30" i="1" s="1"/>
  <c r="AD29" i="1"/>
  <c r="AB29" i="1"/>
  <c r="AA29" i="1"/>
  <c r="X29" i="1"/>
  <c r="V29" i="1"/>
  <c r="U29" i="1"/>
  <c r="P29" i="1"/>
  <c r="O29" i="1"/>
  <c r="R29" i="1" s="1"/>
  <c r="J29" i="1"/>
  <c r="I29" i="1"/>
  <c r="L29" i="1" s="1"/>
  <c r="F29" i="1"/>
  <c r="D29" i="1"/>
  <c r="C29" i="1"/>
  <c r="AD28" i="1"/>
  <c r="AB28" i="1"/>
  <c r="AA28" i="1"/>
  <c r="X28" i="1"/>
  <c r="R28" i="1"/>
  <c r="P28" i="1"/>
  <c r="O28" i="1"/>
  <c r="J28" i="1"/>
  <c r="I28" i="1"/>
  <c r="L28" i="1" s="1"/>
  <c r="D28" i="1"/>
  <c r="C28" i="1"/>
  <c r="F28" i="1" s="1"/>
  <c r="AD27" i="1"/>
  <c r="AB27" i="1"/>
  <c r="AA27" i="1"/>
  <c r="X27" i="1"/>
  <c r="V27" i="1"/>
  <c r="U27" i="1"/>
  <c r="P27" i="1"/>
  <c r="O27" i="1"/>
  <c r="R27" i="1" s="1"/>
  <c r="J27" i="1"/>
  <c r="I27" i="1"/>
  <c r="L27" i="1" s="1"/>
  <c r="F27" i="1"/>
  <c r="AD26" i="1"/>
  <c r="V26" i="1"/>
  <c r="U26" i="1"/>
  <c r="X26" i="1" s="1"/>
  <c r="P26" i="1"/>
  <c r="O26" i="1"/>
  <c r="R26" i="1" s="1"/>
  <c r="L26" i="1"/>
  <c r="J26" i="1"/>
  <c r="I26" i="1"/>
  <c r="F26" i="1"/>
  <c r="AD18" i="1"/>
  <c r="AB18" i="1"/>
  <c r="AA18" i="1"/>
  <c r="R18" i="1"/>
  <c r="L18" i="1"/>
  <c r="J18" i="1"/>
  <c r="I18" i="1"/>
  <c r="AD17" i="1"/>
  <c r="AB17" i="1"/>
  <c r="AA17" i="1"/>
  <c r="R17" i="1"/>
  <c r="L17" i="1"/>
  <c r="J17" i="1"/>
  <c r="I17" i="1"/>
  <c r="F17" i="1"/>
  <c r="AD16" i="1"/>
  <c r="AB16" i="1"/>
  <c r="AA16" i="1"/>
  <c r="X16" i="1"/>
  <c r="R16" i="1"/>
  <c r="L16" i="1"/>
  <c r="J16" i="1"/>
  <c r="I16" i="1"/>
  <c r="F16" i="1"/>
  <c r="AD15" i="1"/>
  <c r="AB15" i="1"/>
  <c r="AA15" i="1"/>
  <c r="X15" i="1"/>
  <c r="R15" i="1"/>
  <c r="J15" i="1"/>
  <c r="I15" i="1"/>
  <c r="L15" i="1" s="1"/>
  <c r="F15" i="1"/>
  <c r="AB14" i="1"/>
  <c r="AA14" i="1"/>
  <c r="AD14" i="1" s="1"/>
  <c r="X14" i="1"/>
  <c r="R14" i="1"/>
  <c r="J14" i="1"/>
  <c r="I14" i="1"/>
  <c r="L14" i="1" s="1"/>
  <c r="F14" i="1"/>
  <c r="AB13" i="1"/>
  <c r="AA13" i="1"/>
  <c r="AD13" i="1" s="1"/>
  <c r="X13" i="1"/>
  <c r="R13" i="1"/>
  <c r="L13" i="1"/>
  <c r="J13" i="1"/>
  <c r="I13" i="1"/>
  <c r="F13" i="1"/>
  <c r="AD12" i="1"/>
  <c r="AB12" i="1"/>
  <c r="AA12" i="1"/>
  <c r="X12" i="1"/>
  <c r="R12" i="1"/>
  <c r="L12" i="1"/>
  <c r="J12" i="1"/>
  <c r="I12" i="1"/>
  <c r="F12" i="1"/>
  <c r="AD11" i="1"/>
  <c r="AB11" i="1"/>
  <c r="AA11" i="1"/>
  <c r="X11" i="1"/>
  <c r="R11" i="1"/>
  <c r="J11" i="1"/>
  <c r="I11" i="1"/>
  <c r="L11" i="1" s="1"/>
  <c r="F11" i="1"/>
  <c r="AB10" i="1"/>
  <c r="AA10" i="1"/>
  <c r="AD10" i="1" s="1"/>
  <c r="X10" i="1"/>
  <c r="R10" i="1"/>
  <c r="J10" i="1"/>
  <c r="I10" i="1"/>
  <c r="L10" i="1" s="1"/>
  <c r="F10" i="1"/>
  <c r="AB9" i="1"/>
  <c r="AA9" i="1"/>
  <c r="AD9" i="1" s="1"/>
  <c r="V9" i="1"/>
  <c r="U9" i="1"/>
  <c r="X9" i="1" s="1"/>
  <c r="R9" i="1"/>
  <c r="J9" i="1"/>
  <c r="I9" i="1"/>
  <c r="L9" i="1" s="1"/>
  <c r="F9" i="1"/>
  <c r="AB8" i="1"/>
  <c r="AA8" i="1"/>
  <c r="AD8" i="1" s="1"/>
  <c r="X8" i="1"/>
  <c r="V8" i="1"/>
  <c r="U8" i="1"/>
  <c r="R8" i="1"/>
  <c r="L8" i="1"/>
  <c r="J8" i="1"/>
  <c r="I8" i="1"/>
  <c r="F8" i="1"/>
  <c r="AD7" i="1"/>
  <c r="AB7" i="1"/>
  <c r="AA7" i="1"/>
  <c r="X7" i="1"/>
  <c r="V7" i="1"/>
  <c r="U7" i="1"/>
  <c r="P7" i="1"/>
  <c r="O7" i="1"/>
  <c r="R7" i="1" s="1"/>
  <c r="J7" i="1"/>
  <c r="I7" i="1"/>
  <c r="L7" i="1" s="1"/>
  <c r="F7" i="1"/>
  <c r="AB6" i="1"/>
  <c r="AA6" i="1"/>
  <c r="AD6" i="1" s="1"/>
  <c r="X6" i="1"/>
  <c r="V6" i="1"/>
  <c r="U6" i="1"/>
  <c r="R6" i="1"/>
  <c r="P6" i="1"/>
  <c r="O6" i="1"/>
  <c r="J6" i="1"/>
  <c r="I6" i="1"/>
  <c r="L6" i="1" s="1"/>
  <c r="F6" i="1"/>
</calcChain>
</file>

<file path=xl/sharedStrings.xml><?xml version="1.0" encoding="utf-8"?>
<sst xmlns="http://schemas.openxmlformats.org/spreadsheetml/2006/main" count="70" uniqueCount="7">
  <si>
    <t>Site</t>
  </si>
  <si>
    <t>Cross Section</t>
  </si>
  <si>
    <t>Stream Discharge (m^3/s)</t>
  </si>
  <si>
    <t>Area (m^2)</t>
  </si>
  <si>
    <t>Width (m)</t>
  </si>
  <si>
    <t>Depth (m)</t>
  </si>
  <si>
    <t>Velocity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</si>
</sst>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4" tint="0.59999389629810485"/>
      </right>
      <top/>
      <bottom/>
      <diagonal/>
    </border>
    <border>
      <left style="thin">
        <color theme="4" tint="0.59999389629810485"/>
      </left>
      <right/>
      <top style="thin">
        <color theme="4" tint="0.59999389629810485"/>
      </top>
      <bottom/>
      <diagonal/>
    </border>
    <border>
      <left/>
      <right style="thin">
        <color theme="4" tint="0.59999389629810485"/>
      </right>
      <top style="thin">
        <color theme="4" tint="0.59999389629810485"/>
      </top>
      <bottom/>
      <diagonal/>
    </border>
    <border>
      <left style="thin">
        <color theme="4" tint="0.59999389629810485"/>
      </left>
      <right/>
      <top/>
      <bottom/>
      <diagonal/>
    </border>
    <border>
      <left style="thin">
        <color theme="4" tint="0.59999389629810485"/>
      </left>
      <right/>
      <top/>
      <bottom style="thin">
        <color theme="4" tint="0.59999389629810485"/>
      </bottom>
      <diagonal/>
    </border>
    <border>
      <left/>
      <right style="thin">
        <color theme="4" tint="0.59999389629810485"/>
      </right>
      <top/>
      <bottom style="thin">
        <color theme="4" tint="0.59999389629810485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/>
    <xf numFmtId="0" fontId="0" fillId="0" borderId="2" xfId="0" applyFont="1" applyBorder="1" applyAlignment="1"/>
    <xf numFmtId="0" fontId="0" fillId="0" borderId="0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Depth (40.14)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8447069116360461E-3"/>
                  <c:y val="0.2745552639253426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0.2474x</a:t>
                    </a:r>
                    <a:r>
                      <a:rPr lang="en-US" sz="1200" baseline="30000"/>
                      <a:t>0.5354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0.9962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1289'!$B$6:$B$17</c:f>
              <c:numCache>
                <c:formatCode>General</c:formatCode>
                <c:ptCount val="12"/>
                <c:pt idx="0">
                  <c:v>120</c:v>
                </c:pt>
                <c:pt idx="1">
                  <c:v>110</c:v>
                </c:pt>
                <c:pt idx="2">
                  <c:v>100</c:v>
                </c:pt>
                <c:pt idx="3">
                  <c:v>90</c:v>
                </c:pt>
                <c:pt idx="4">
                  <c:v>80</c:v>
                </c:pt>
                <c:pt idx="5">
                  <c:v>70</c:v>
                </c:pt>
                <c:pt idx="6">
                  <c:v>60</c:v>
                </c:pt>
                <c:pt idx="7">
                  <c:v>50</c:v>
                </c:pt>
                <c:pt idx="8">
                  <c:v>40</c:v>
                </c:pt>
                <c:pt idx="9">
                  <c:v>30</c:v>
                </c:pt>
                <c:pt idx="10">
                  <c:v>20</c:v>
                </c:pt>
                <c:pt idx="11">
                  <c:v>10</c:v>
                </c:pt>
              </c:numCache>
            </c:numRef>
          </c:xVal>
          <c:yVal>
            <c:numRef>
              <c:f>'Collected Data Site 1289'!$E$6:$E$17</c:f>
              <c:numCache>
                <c:formatCode>General</c:formatCode>
                <c:ptCount val="12"/>
                <c:pt idx="0">
                  <c:v>3.29</c:v>
                </c:pt>
                <c:pt idx="1">
                  <c:v>3.14</c:v>
                </c:pt>
                <c:pt idx="2">
                  <c:v>2.97</c:v>
                </c:pt>
                <c:pt idx="3">
                  <c:v>2.78</c:v>
                </c:pt>
                <c:pt idx="4">
                  <c:v>2.59</c:v>
                </c:pt>
                <c:pt idx="5">
                  <c:v>2.36</c:v>
                </c:pt>
                <c:pt idx="6">
                  <c:v>2.16</c:v>
                </c:pt>
                <c:pt idx="7">
                  <c:v>1.96</c:v>
                </c:pt>
                <c:pt idx="8">
                  <c:v>1.74</c:v>
                </c:pt>
                <c:pt idx="9">
                  <c:v>1.49</c:v>
                </c:pt>
                <c:pt idx="10">
                  <c:v>1.22</c:v>
                </c:pt>
                <c:pt idx="11">
                  <c:v>0.89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29-4329-A508-44B478393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504768"/>
        <c:axId val="505502800"/>
      </c:scatterChart>
      <c:valAx>
        <c:axId val="505504768"/>
        <c:scaling>
          <c:logBase val="10"/>
          <c:orientation val="minMax"/>
          <c:max val="20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02800"/>
        <c:crosses val="autoZero"/>
        <c:crossBetween val="midCat"/>
      </c:valAx>
      <c:valAx>
        <c:axId val="505502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0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Depth (1178.01)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4.5146981627296537E-2"/>
                  <c:y val="0.2564034703995333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0.332x</a:t>
                    </a:r>
                    <a:r>
                      <a:rPr lang="en-US" sz="1200" baseline="30000"/>
                      <a:t>0.4795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0.9952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1289'!$Z$26:$Z$47</c:f>
              <c:numCache>
                <c:formatCode>General</c:formatCode>
                <c:ptCount val="22"/>
                <c:pt idx="0">
                  <c:v>110</c:v>
                </c:pt>
                <c:pt idx="1">
                  <c:v>105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85</c:v>
                </c:pt>
                <c:pt idx="6">
                  <c:v>80</c:v>
                </c:pt>
                <c:pt idx="7">
                  <c:v>75</c:v>
                </c:pt>
                <c:pt idx="8">
                  <c:v>70</c:v>
                </c:pt>
                <c:pt idx="9">
                  <c:v>65</c:v>
                </c:pt>
                <c:pt idx="10">
                  <c:v>60</c:v>
                </c:pt>
                <c:pt idx="11">
                  <c:v>55</c:v>
                </c:pt>
                <c:pt idx="12">
                  <c:v>50</c:v>
                </c:pt>
                <c:pt idx="13">
                  <c:v>45</c:v>
                </c:pt>
                <c:pt idx="14">
                  <c:v>40</c:v>
                </c:pt>
                <c:pt idx="15">
                  <c:v>35</c:v>
                </c:pt>
                <c:pt idx="16">
                  <c:v>30</c:v>
                </c:pt>
                <c:pt idx="17">
                  <c:v>25</c:v>
                </c:pt>
                <c:pt idx="18">
                  <c:v>20</c:v>
                </c:pt>
                <c:pt idx="19">
                  <c:v>15</c:v>
                </c:pt>
                <c:pt idx="20">
                  <c:v>10</c:v>
                </c:pt>
                <c:pt idx="21">
                  <c:v>5</c:v>
                </c:pt>
              </c:numCache>
            </c:numRef>
          </c:xVal>
          <c:yVal>
            <c:numRef>
              <c:f>'Collected Data Site 1289'!$AC$26:$AC$47</c:f>
              <c:numCache>
                <c:formatCode>General</c:formatCode>
                <c:ptCount val="22"/>
                <c:pt idx="0">
                  <c:v>3.25</c:v>
                </c:pt>
                <c:pt idx="1">
                  <c:v>3.18</c:v>
                </c:pt>
                <c:pt idx="2">
                  <c:v>3.12</c:v>
                </c:pt>
                <c:pt idx="3">
                  <c:v>3.04</c:v>
                </c:pt>
                <c:pt idx="4">
                  <c:v>2.94</c:v>
                </c:pt>
                <c:pt idx="5">
                  <c:v>2.85</c:v>
                </c:pt>
                <c:pt idx="6">
                  <c:v>2.73</c:v>
                </c:pt>
                <c:pt idx="7">
                  <c:v>2.62</c:v>
                </c:pt>
                <c:pt idx="8">
                  <c:v>2.52</c:v>
                </c:pt>
                <c:pt idx="9">
                  <c:v>2.44</c:v>
                </c:pt>
                <c:pt idx="10">
                  <c:v>2.33</c:v>
                </c:pt>
                <c:pt idx="11">
                  <c:v>2.2200000000000002</c:v>
                </c:pt>
                <c:pt idx="12">
                  <c:v>2.11</c:v>
                </c:pt>
                <c:pt idx="13">
                  <c:v>2</c:v>
                </c:pt>
                <c:pt idx="14">
                  <c:v>1.89</c:v>
                </c:pt>
                <c:pt idx="15">
                  <c:v>1.78</c:v>
                </c:pt>
                <c:pt idx="16">
                  <c:v>1.66</c:v>
                </c:pt>
                <c:pt idx="17">
                  <c:v>1.51</c:v>
                </c:pt>
                <c:pt idx="18">
                  <c:v>1.36</c:v>
                </c:pt>
                <c:pt idx="19">
                  <c:v>1.2</c:v>
                </c:pt>
                <c:pt idx="20">
                  <c:v>1.02</c:v>
                </c:pt>
                <c:pt idx="21">
                  <c:v>0.77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D2-4445-A749-2591E6356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244592"/>
        <c:axId val="552255416"/>
      </c:scatterChart>
      <c:valAx>
        <c:axId val="5522445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</a:t>
                </a:r>
                <a:r>
                  <a:rPr lang="en-US" baseline="0"/>
                  <a:t> Discharge (m^3/s)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55416"/>
        <c:crosses val="autoZero"/>
        <c:crossBetween val="midCat"/>
      </c:valAx>
      <c:valAx>
        <c:axId val="552255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4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Width (40.14)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1.6699256342957131E-2"/>
                  <c:y val="0.1013888888888888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48.868x</a:t>
                    </a:r>
                    <a:r>
                      <a:rPr lang="en-US" sz="1200" baseline="30000"/>
                      <a:t>0.0616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0.9043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1289'!$B$6:$B$17</c:f>
              <c:numCache>
                <c:formatCode>General</c:formatCode>
                <c:ptCount val="12"/>
                <c:pt idx="0">
                  <c:v>120</c:v>
                </c:pt>
                <c:pt idx="1">
                  <c:v>110</c:v>
                </c:pt>
                <c:pt idx="2">
                  <c:v>100</c:v>
                </c:pt>
                <c:pt idx="3">
                  <c:v>90</c:v>
                </c:pt>
                <c:pt idx="4">
                  <c:v>80</c:v>
                </c:pt>
                <c:pt idx="5">
                  <c:v>70</c:v>
                </c:pt>
                <c:pt idx="6">
                  <c:v>60</c:v>
                </c:pt>
                <c:pt idx="7">
                  <c:v>50</c:v>
                </c:pt>
                <c:pt idx="8">
                  <c:v>40</c:v>
                </c:pt>
                <c:pt idx="9">
                  <c:v>30</c:v>
                </c:pt>
                <c:pt idx="10">
                  <c:v>20</c:v>
                </c:pt>
                <c:pt idx="11">
                  <c:v>10</c:v>
                </c:pt>
              </c:numCache>
            </c:numRef>
          </c:xVal>
          <c:yVal>
            <c:numRef>
              <c:f>'Collected Data Site 1289'!$D$6:$D$17</c:f>
              <c:numCache>
                <c:formatCode>General</c:formatCode>
                <c:ptCount val="12"/>
                <c:pt idx="0">
                  <c:v>67.709999999999994</c:v>
                </c:pt>
                <c:pt idx="1">
                  <c:v>65.75</c:v>
                </c:pt>
                <c:pt idx="2">
                  <c:v>65.09</c:v>
                </c:pt>
                <c:pt idx="3">
                  <c:v>64.38</c:v>
                </c:pt>
                <c:pt idx="4">
                  <c:v>63.76</c:v>
                </c:pt>
                <c:pt idx="5">
                  <c:v>63.05</c:v>
                </c:pt>
                <c:pt idx="6">
                  <c:v>62.41</c:v>
                </c:pt>
                <c:pt idx="7">
                  <c:v>61.06</c:v>
                </c:pt>
                <c:pt idx="8">
                  <c:v>60.35</c:v>
                </c:pt>
                <c:pt idx="9">
                  <c:v>59.5</c:v>
                </c:pt>
                <c:pt idx="10">
                  <c:v>58.73</c:v>
                </c:pt>
                <c:pt idx="11">
                  <c:v>57.72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57-4D1B-9746-455F7843A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504768"/>
        <c:axId val="505502800"/>
      </c:scatterChart>
      <c:valAx>
        <c:axId val="505504768"/>
        <c:scaling>
          <c:logBase val="10"/>
          <c:orientation val="minMax"/>
          <c:max val="20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02800"/>
        <c:crosses val="autoZero"/>
        <c:crossBetween val="midCat"/>
      </c:valAx>
      <c:valAx>
        <c:axId val="505502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Width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0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Width (107.58)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5.152952755905512E-2"/>
                  <c:y val="0.1489231554389034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51.105x</a:t>
                    </a:r>
                    <a:r>
                      <a:rPr lang="en-US" sz="1200" baseline="30000"/>
                      <a:t>0.1636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0.9153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1289'!$H$6:$H$18</c:f>
              <c:numCache>
                <c:formatCode>General</c:formatCode>
                <c:ptCount val="13"/>
                <c:pt idx="0">
                  <c:v>65</c:v>
                </c:pt>
                <c:pt idx="1">
                  <c:v>60</c:v>
                </c:pt>
                <c:pt idx="2">
                  <c:v>55</c:v>
                </c:pt>
                <c:pt idx="3">
                  <c:v>50</c:v>
                </c:pt>
                <c:pt idx="4">
                  <c:v>45</c:v>
                </c:pt>
                <c:pt idx="5">
                  <c:v>40</c:v>
                </c:pt>
                <c:pt idx="6">
                  <c:v>35</c:v>
                </c:pt>
                <c:pt idx="7">
                  <c:v>30</c:v>
                </c:pt>
                <c:pt idx="8">
                  <c:v>25</c:v>
                </c:pt>
                <c:pt idx="9">
                  <c:v>20</c:v>
                </c:pt>
                <c:pt idx="10">
                  <c:v>15</c:v>
                </c:pt>
                <c:pt idx="11">
                  <c:v>10</c:v>
                </c:pt>
                <c:pt idx="12">
                  <c:v>5</c:v>
                </c:pt>
              </c:numCache>
            </c:numRef>
          </c:xVal>
          <c:yVal>
            <c:numRef>
              <c:f>'Collected Data Site 1289'!$J$6:$J$18</c:f>
              <c:numCache>
                <c:formatCode>General</c:formatCode>
                <c:ptCount val="13"/>
                <c:pt idx="0">
                  <c:v>111.64999999999999</c:v>
                </c:pt>
                <c:pt idx="1">
                  <c:v>103.69999999999999</c:v>
                </c:pt>
                <c:pt idx="2">
                  <c:v>96.72</c:v>
                </c:pt>
                <c:pt idx="3">
                  <c:v>95.14</c:v>
                </c:pt>
                <c:pt idx="4">
                  <c:v>92.610000000000014</c:v>
                </c:pt>
                <c:pt idx="5">
                  <c:v>90.95</c:v>
                </c:pt>
                <c:pt idx="6">
                  <c:v>89.990000000000009</c:v>
                </c:pt>
                <c:pt idx="7">
                  <c:v>86.98</c:v>
                </c:pt>
                <c:pt idx="8">
                  <c:v>85.49</c:v>
                </c:pt>
                <c:pt idx="9">
                  <c:v>81</c:v>
                </c:pt>
                <c:pt idx="10">
                  <c:v>78.959999999999994</c:v>
                </c:pt>
                <c:pt idx="11">
                  <c:v>74.31</c:v>
                </c:pt>
                <c:pt idx="12">
                  <c:v>69.650000000000006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F0-4E8F-9C1E-C54A21F03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315152"/>
        <c:axId val="516316464"/>
      </c:scatterChart>
      <c:valAx>
        <c:axId val="516315152"/>
        <c:scaling>
          <c:logBase val="10"/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</a:t>
                </a:r>
                <a:r>
                  <a:rPr lang="en-US" baseline="0"/>
                  <a:t> Discharge (m^3/s)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316464"/>
        <c:crosses val="autoZero"/>
        <c:crossBetween val="midCat"/>
      </c:valAx>
      <c:valAx>
        <c:axId val="5163164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Width</a:t>
                </a:r>
                <a:r>
                  <a:rPr lang="en-US" baseline="0"/>
                  <a:t> (m</a:t>
                </a:r>
                <a:r>
                  <a:rPr lang="en-US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31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Width (212.58)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4.3893482064741855E-2"/>
                  <c:y val="0.1152777777777777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34.267x</a:t>
                    </a:r>
                    <a:r>
                      <a:rPr lang="en-US" sz="1200" baseline="30000"/>
                      <a:t>0.1387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0.8792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1289'!$N$6:$N$18</c:f>
              <c:numCache>
                <c:formatCode>General</c:formatCode>
                <c:ptCount val="13"/>
                <c:pt idx="0">
                  <c:v>125</c:v>
                </c:pt>
                <c:pt idx="1">
                  <c:v>120</c:v>
                </c:pt>
                <c:pt idx="2">
                  <c:v>110</c:v>
                </c:pt>
                <c:pt idx="3">
                  <c:v>100</c:v>
                </c:pt>
                <c:pt idx="4">
                  <c:v>90</c:v>
                </c:pt>
                <c:pt idx="5">
                  <c:v>80</c:v>
                </c:pt>
                <c:pt idx="6">
                  <c:v>70</c:v>
                </c:pt>
                <c:pt idx="7">
                  <c:v>60</c:v>
                </c:pt>
                <c:pt idx="8">
                  <c:v>50</c:v>
                </c:pt>
                <c:pt idx="9">
                  <c:v>40</c:v>
                </c:pt>
                <c:pt idx="10">
                  <c:v>30</c:v>
                </c:pt>
                <c:pt idx="11">
                  <c:v>20</c:v>
                </c:pt>
                <c:pt idx="12">
                  <c:v>10</c:v>
                </c:pt>
              </c:numCache>
            </c:numRef>
          </c:xVal>
          <c:yVal>
            <c:numRef>
              <c:f>'Collected Data Site 1289'!$P$6:$P$18</c:f>
              <c:numCache>
                <c:formatCode>General</c:formatCode>
                <c:ptCount val="13"/>
                <c:pt idx="0">
                  <c:v>73.570000000000007</c:v>
                </c:pt>
                <c:pt idx="1">
                  <c:v>69.749000000000009</c:v>
                </c:pt>
                <c:pt idx="2">
                  <c:v>63.73</c:v>
                </c:pt>
                <c:pt idx="3">
                  <c:v>64</c:v>
                </c:pt>
                <c:pt idx="4">
                  <c:v>62.47</c:v>
                </c:pt>
                <c:pt idx="5">
                  <c:v>61.45</c:v>
                </c:pt>
                <c:pt idx="6">
                  <c:v>61.64</c:v>
                </c:pt>
                <c:pt idx="7">
                  <c:v>59.37</c:v>
                </c:pt>
                <c:pt idx="8">
                  <c:v>57.42</c:v>
                </c:pt>
                <c:pt idx="9">
                  <c:v>55.67</c:v>
                </c:pt>
                <c:pt idx="10">
                  <c:v>53.68</c:v>
                </c:pt>
                <c:pt idx="11">
                  <c:v>51.73</c:v>
                </c:pt>
                <c:pt idx="12">
                  <c:v>49.7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C7-4D83-A588-F5BBD6EAC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269520"/>
        <c:axId val="545269192"/>
      </c:scatterChart>
      <c:valAx>
        <c:axId val="5452695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269192"/>
        <c:crosses val="autoZero"/>
        <c:crossBetween val="midCat"/>
      </c:valAx>
      <c:valAx>
        <c:axId val="5452691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Width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26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Width (326.19)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8.7480314960629926E-3"/>
                  <c:y val="0.1278284485272674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24.841x</a:t>
                    </a:r>
                    <a:r>
                      <a:rPr lang="en-US" sz="1200" baseline="30000"/>
                      <a:t>0.2714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0.7013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1289'!$T$6:$T$16</c:f>
              <c:numCache>
                <c:formatCode>General</c:formatCode>
                <c:ptCount val="11"/>
                <c:pt idx="0">
                  <c:v>110</c:v>
                </c:pt>
                <c:pt idx="1">
                  <c:v>100</c:v>
                </c:pt>
                <c:pt idx="2">
                  <c:v>90</c:v>
                </c:pt>
                <c:pt idx="3">
                  <c:v>80</c:v>
                </c:pt>
                <c:pt idx="4">
                  <c:v>70</c:v>
                </c:pt>
                <c:pt idx="5">
                  <c:v>60</c:v>
                </c:pt>
                <c:pt idx="6">
                  <c:v>50</c:v>
                </c:pt>
                <c:pt idx="7">
                  <c:v>40</c:v>
                </c:pt>
                <c:pt idx="8">
                  <c:v>30</c:v>
                </c:pt>
                <c:pt idx="9">
                  <c:v>20</c:v>
                </c:pt>
                <c:pt idx="10">
                  <c:v>10</c:v>
                </c:pt>
              </c:numCache>
            </c:numRef>
          </c:xVal>
          <c:yVal>
            <c:numRef>
              <c:f>'Collected Data Site 1289'!$V$6:$V$16</c:f>
              <c:numCache>
                <c:formatCode>General</c:formatCode>
                <c:ptCount val="11"/>
                <c:pt idx="0">
                  <c:v>103.31</c:v>
                </c:pt>
                <c:pt idx="1">
                  <c:v>99</c:v>
                </c:pt>
                <c:pt idx="2">
                  <c:v>95.509999999999991</c:v>
                </c:pt>
                <c:pt idx="3">
                  <c:v>85.52000000000001</c:v>
                </c:pt>
                <c:pt idx="4">
                  <c:v>67.260000000000005</c:v>
                </c:pt>
                <c:pt idx="5">
                  <c:v>65.040000000000006</c:v>
                </c:pt>
                <c:pt idx="6">
                  <c:v>61.77</c:v>
                </c:pt>
                <c:pt idx="7">
                  <c:v>60.06</c:v>
                </c:pt>
                <c:pt idx="8">
                  <c:v>58.88</c:v>
                </c:pt>
                <c:pt idx="9">
                  <c:v>56.54</c:v>
                </c:pt>
                <c:pt idx="10">
                  <c:v>55.03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B2-44D7-B0B0-3A8A89B4A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937952"/>
        <c:axId val="548934016"/>
      </c:scatterChart>
      <c:valAx>
        <c:axId val="548937952"/>
        <c:scaling>
          <c:logBase val="10"/>
          <c:orientation val="minMax"/>
          <c:max val="20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</a:t>
                </a:r>
                <a:r>
                  <a:rPr lang="en-US" baseline="0"/>
                  <a:t> (m^3/s)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934016"/>
        <c:crosses val="autoZero"/>
        <c:crossBetween val="midCat"/>
      </c:valAx>
      <c:valAx>
        <c:axId val="5489340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Width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93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Width (484.68)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6.912664041994751E-2"/>
                  <c:y val="0.1444415281423155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38.267x</a:t>
                    </a:r>
                    <a:r>
                      <a:rPr lang="en-US" sz="1200" baseline="30000"/>
                      <a:t>0.231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0.8919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1289'!$Z$6:$Z$18</c:f>
              <c:numCache>
                <c:formatCode>General</c:formatCode>
                <c:ptCount val="13"/>
                <c:pt idx="0">
                  <c:v>130</c:v>
                </c:pt>
                <c:pt idx="1">
                  <c:v>120</c:v>
                </c:pt>
                <c:pt idx="2">
                  <c:v>110</c:v>
                </c:pt>
                <c:pt idx="3">
                  <c:v>100</c:v>
                </c:pt>
                <c:pt idx="4">
                  <c:v>90</c:v>
                </c:pt>
                <c:pt idx="5">
                  <c:v>80</c:v>
                </c:pt>
                <c:pt idx="6">
                  <c:v>70</c:v>
                </c:pt>
                <c:pt idx="7">
                  <c:v>60</c:v>
                </c:pt>
                <c:pt idx="8">
                  <c:v>50</c:v>
                </c:pt>
                <c:pt idx="9">
                  <c:v>40</c:v>
                </c:pt>
                <c:pt idx="10">
                  <c:v>30</c:v>
                </c:pt>
                <c:pt idx="11">
                  <c:v>20</c:v>
                </c:pt>
                <c:pt idx="12">
                  <c:v>10</c:v>
                </c:pt>
              </c:numCache>
            </c:numRef>
          </c:xVal>
          <c:yVal>
            <c:numRef>
              <c:f>'Collected Data Site 1289'!$AB$6:$AB$18</c:f>
              <c:numCache>
                <c:formatCode>General</c:formatCode>
                <c:ptCount val="13"/>
                <c:pt idx="0">
                  <c:v>122.91</c:v>
                </c:pt>
                <c:pt idx="1">
                  <c:v>120.49000000000001</c:v>
                </c:pt>
                <c:pt idx="2">
                  <c:v>120.08000000000001</c:v>
                </c:pt>
                <c:pt idx="3">
                  <c:v>115.75999999999999</c:v>
                </c:pt>
                <c:pt idx="4">
                  <c:v>109.28999999999999</c:v>
                </c:pt>
                <c:pt idx="5">
                  <c:v>103.83</c:v>
                </c:pt>
                <c:pt idx="6">
                  <c:v>101.39</c:v>
                </c:pt>
                <c:pt idx="7">
                  <c:v>94.15</c:v>
                </c:pt>
                <c:pt idx="8">
                  <c:v>84.52</c:v>
                </c:pt>
                <c:pt idx="9">
                  <c:v>81.92</c:v>
                </c:pt>
                <c:pt idx="10">
                  <c:v>79.61</c:v>
                </c:pt>
                <c:pt idx="11">
                  <c:v>78.63</c:v>
                </c:pt>
                <c:pt idx="12">
                  <c:v>72.03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40-4CDF-8C03-79B47DA85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286944"/>
        <c:axId val="516288912"/>
      </c:scatterChart>
      <c:valAx>
        <c:axId val="516286944"/>
        <c:scaling>
          <c:logBase val="10"/>
          <c:orientation val="minMax"/>
          <c:max val="20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88912"/>
        <c:crosses val="autoZero"/>
        <c:crossBetween val="midCat"/>
      </c:valAx>
      <c:valAx>
        <c:axId val="5162889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Width</a:t>
                </a:r>
                <a:r>
                  <a:rPr lang="en-US" baseline="0"/>
                  <a:t> (m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8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Width (631.89)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3.242913385826772E-2"/>
                  <c:y val="0.133796296296296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54.002x</a:t>
                    </a:r>
                    <a:r>
                      <a:rPr lang="en-US" sz="1200" baseline="30000"/>
                      <a:t>0.1364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0.8579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1289'!$B$26:$B$45</c:f>
              <c:numCache>
                <c:formatCode>General</c:formatCode>
                <c:ptCount val="20"/>
                <c:pt idx="0">
                  <c:v>40</c:v>
                </c:pt>
                <c:pt idx="1">
                  <c:v>38</c:v>
                </c:pt>
                <c:pt idx="2">
                  <c:v>36</c:v>
                </c:pt>
                <c:pt idx="3">
                  <c:v>34</c:v>
                </c:pt>
                <c:pt idx="4">
                  <c:v>32</c:v>
                </c:pt>
                <c:pt idx="5">
                  <c:v>30</c:v>
                </c:pt>
                <c:pt idx="6">
                  <c:v>28</c:v>
                </c:pt>
                <c:pt idx="7">
                  <c:v>26</c:v>
                </c:pt>
                <c:pt idx="8">
                  <c:v>24</c:v>
                </c:pt>
                <c:pt idx="9">
                  <c:v>22</c:v>
                </c:pt>
                <c:pt idx="10">
                  <c:v>20</c:v>
                </c:pt>
                <c:pt idx="11">
                  <c:v>18</c:v>
                </c:pt>
                <c:pt idx="12">
                  <c:v>16</c:v>
                </c:pt>
                <c:pt idx="13">
                  <c:v>14</c:v>
                </c:pt>
                <c:pt idx="14">
                  <c:v>12</c:v>
                </c:pt>
                <c:pt idx="15">
                  <c:v>10</c:v>
                </c:pt>
                <c:pt idx="16">
                  <c:v>8</c:v>
                </c:pt>
                <c:pt idx="17">
                  <c:v>6</c:v>
                </c:pt>
                <c:pt idx="18">
                  <c:v>4</c:v>
                </c:pt>
                <c:pt idx="19">
                  <c:v>2</c:v>
                </c:pt>
              </c:numCache>
            </c:numRef>
          </c:xVal>
          <c:yVal>
            <c:numRef>
              <c:f>'Collected Data Site 1289'!$D$26:$D$45</c:f>
              <c:numCache>
                <c:formatCode>General</c:formatCode>
                <c:ptCount val="20"/>
                <c:pt idx="0">
                  <c:v>94.78</c:v>
                </c:pt>
                <c:pt idx="1">
                  <c:v>93.7</c:v>
                </c:pt>
                <c:pt idx="2">
                  <c:v>92.02000000000001</c:v>
                </c:pt>
                <c:pt idx="3">
                  <c:v>89.929999999999993</c:v>
                </c:pt>
                <c:pt idx="4">
                  <c:v>88.77</c:v>
                </c:pt>
                <c:pt idx="5">
                  <c:v>87.27</c:v>
                </c:pt>
                <c:pt idx="6">
                  <c:v>85.51</c:v>
                </c:pt>
                <c:pt idx="7">
                  <c:v>83.35</c:v>
                </c:pt>
                <c:pt idx="8">
                  <c:v>83.009999999999991</c:v>
                </c:pt>
                <c:pt idx="9">
                  <c:v>80.650000000000006</c:v>
                </c:pt>
                <c:pt idx="10">
                  <c:v>79.19</c:v>
                </c:pt>
                <c:pt idx="11">
                  <c:v>77.5</c:v>
                </c:pt>
                <c:pt idx="12">
                  <c:v>74.98</c:v>
                </c:pt>
                <c:pt idx="13">
                  <c:v>73.87</c:v>
                </c:pt>
                <c:pt idx="14">
                  <c:v>71.899999999999991</c:v>
                </c:pt>
                <c:pt idx="15">
                  <c:v>69.33</c:v>
                </c:pt>
                <c:pt idx="16">
                  <c:v>68.66</c:v>
                </c:pt>
                <c:pt idx="17">
                  <c:v>67.680000000000007</c:v>
                </c:pt>
                <c:pt idx="18">
                  <c:v>67.37</c:v>
                </c:pt>
                <c:pt idx="19">
                  <c:v>66.03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7F-415E-B82F-8DA1C822D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447872"/>
        <c:axId val="548402696"/>
      </c:scatterChart>
      <c:valAx>
        <c:axId val="3404478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402696"/>
        <c:crosses val="autoZero"/>
        <c:crossBetween val="midCat"/>
      </c:valAx>
      <c:valAx>
        <c:axId val="548402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Width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44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Width (782.85)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6.799693788276466E-2"/>
                  <c:y val="0.1453922426363371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45.599x</a:t>
                    </a:r>
                    <a:r>
                      <a:rPr lang="en-US" sz="1200" baseline="30000"/>
                      <a:t>0.2534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0.9365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1289'!$H$26:$H$41</c:f>
              <c:numCache>
                <c:formatCode>General</c:formatCode>
                <c:ptCount val="16"/>
                <c:pt idx="0">
                  <c:v>80</c:v>
                </c:pt>
                <c:pt idx="1">
                  <c:v>75</c:v>
                </c:pt>
                <c:pt idx="2">
                  <c:v>70</c:v>
                </c:pt>
                <c:pt idx="3">
                  <c:v>65</c:v>
                </c:pt>
                <c:pt idx="4">
                  <c:v>60</c:v>
                </c:pt>
                <c:pt idx="5">
                  <c:v>55</c:v>
                </c:pt>
                <c:pt idx="6">
                  <c:v>50</c:v>
                </c:pt>
                <c:pt idx="7">
                  <c:v>45</c:v>
                </c:pt>
                <c:pt idx="8">
                  <c:v>40</c:v>
                </c:pt>
                <c:pt idx="9">
                  <c:v>35</c:v>
                </c:pt>
                <c:pt idx="10">
                  <c:v>30</c:v>
                </c:pt>
                <c:pt idx="11">
                  <c:v>25</c:v>
                </c:pt>
                <c:pt idx="12">
                  <c:v>20</c:v>
                </c:pt>
                <c:pt idx="13">
                  <c:v>15</c:v>
                </c:pt>
                <c:pt idx="14">
                  <c:v>10</c:v>
                </c:pt>
                <c:pt idx="15">
                  <c:v>5</c:v>
                </c:pt>
              </c:numCache>
            </c:numRef>
          </c:xVal>
          <c:yVal>
            <c:numRef>
              <c:f>'Collected Data Site 1289'!$J$26:$J$41</c:f>
              <c:numCache>
                <c:formatCode>General</c:formatCode>
                <c:ptCount val="16"/>
                <c:pt idx="0">
                  <c:v>140.23000000000002</c:v>
                </c:pt>
                <c:pt idx="1">
                  <c:v>135.97</c:v>
                </c:pt>
                <c:pt idx="2">
                  <c:v>135.34</c:v>
                </c:pt>
                <c:pt idx="3">
                  <c:v>132.01</c:v>
                </c:pt>
                <c:pt idx="4">
                  <c:v>130.27000000000001</c:v>
                </c:pt>
                <c:pt idx="5">
                  <c:v>128.67000000000002</c:v>
                </c:pt>
                <c:pt idx="6">
                  <c:v>127.79999999999998</c:v>
                </c:pt>
                <c:pt idx="7">
                  <c:v>124.43</c:v>
                </c:pt>
                <c:pt idx="8">
                  <c:v>118.91</c:v>
                </c:pt>
                <c:pt idx="9">
                  <c:v>114.75</c:v>
                </c:pt>
                <c:pt idx="10">
                  <c:v>103.22</c:v>
                </c:pt>
                <c:pt idx="11">
                  <c:v>94.04</c:v>
                </c:pt>
                <c:pt idx="12">
                  <c:v>89.76</c:v>
                </c:pt>
                <c:pt idx="13">
                  <c:v>83.97</c:v>
                </c:pt>
                <c:pt idx="14">
                  <c:v>81.27</c:v>
                </c:pt>
                <c:pt idx="15">
                  <c:v>76.72999999999999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BB-49CC-A48F-CFA2B6474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262960"/>
        <c:axId val="552262632"/>
      </c:scatterChart>
      <c:valAx>
        <c:axId val="5522629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62632"/>
        <c:crosses val="autoZero"/>
        <c:crossBetween val="midCat"/>
      </c:valAx>
      <c:valAx>
        <c:axId val="5522626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Width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6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Width (950.61)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9186351706036738E-3"/>
                  <c:y val="0.1520753135024788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25.369x</a:t>
                    </a:r>
                    <a:r>
                      <a:rPr lang="en-US" sz="1200" baseline="30000"/>
                      <a:t>0.2802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0.7665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1289'!$N$26:$N$36</c:f>
              <c:numCache>
                <c:formatCode>General</c:formatCode>
                <c:ptCount val="11"/>
                <c:pt idx="0">
                  <c:v>110</c:v>
                </c:pt>
                <c:pt idx="1">
                  <c:v>100</c:v>
                </c:pt>
                <c:pt idx="2">
                  <c:v>90</c:v>
                </c:pt>
                <c:pt idx="3">
                  <c:v>80</c:v>
                </c:pt>
                <c:pt idx="4">
                  <c:v>70</c:v>
                </c:pt>
                <c:pt idx="5">
                  <c:v>60</c:v>
                </c:pt>
                <c:pt idx="6">
                  <c:v>50</c:v>
                </c:pt>
                <c:pt idx="7">
                  <c:v>40</c:v>
                </c:pt>
                <c:pt idx="8">
                  <c:v>30</c:v>
                </c:pt>
                <c:pt idx="9">
                  <c:v>20</c:v>
                </c:pt>
                <c:pt idx="10">
                  <c:v>10</c:v>
                </c:pt>
              </c:numCache>
            </c:numRef>
          </c:xVal>
          <c:yVal>
            <c:numRef>
              <c:f>'Collected Data Site 1289'!$P$26:$P$36</c:f>
              <c:numCache>
                <c:formatCode>General</c:formatCode>
                <c:ptCount val="11"/>
                <c:pt idx="0">
                  <c:v>104.91</c:v>
                </c:pt>
                <c:pt idx="1">
                  <c:v>99.99</c:v>
                </c:pt>
                <c:pt idx="2">
                  <c:v>96.539999999999992</c:v>
                </c:pt>
                <c:pt idx="3">
                  <c:v>92.2</c:v>
                </c:pt>
                <c:pt idx="4">
                  <c:v>83.679999999999993</c:v>
                </c:pt>
                <c:pt idx="5">
                  <c:v>75.39</c:v>
                </c:pt>
                <c:pt idx="6">
                  <c:v>61.79</c:v>
                </c:pt>
                <c:pt idx="7">
                  <c:v>61.47</c:v>
                </c:pt>
                <c:pt idx="8">
                  <c:v>60.45</c:v>
                </c:pt>
                <c:pt idx="9">
                  <c:v>58.41</c:v>
                </c:pt>
                <c:pt idx="10">
                  <c:v>57.66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8D-49C8-AE7F-D80A9CACA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244920"/>
        <c:axId val="552245904"/>
      </c:scatterChart>
      <c:valAx>
        <c:axId val="552244920"/>
        <c:scaling>
          <c:logBase val="10"/>
          <c:orientation val="minMax"/>
          <c:max val="20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</a:t>
                </a:r>
                <a:r>
                  <a:rPr lang="en-US" baseline="0"/>
                  <a:t> Discharge (m^3/s)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45904"/>
        <c:crosses val="autoZero"/>
        <c:crossBetween val="midCat"/>
      </c:valAx>
      <c:valAx>
        <c:axId val="5522459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Width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44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Width (1089.41)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9160979877515307E-2"/>
                  <c:y val="0.1013888888888888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42.238x</a:t>
                    </a:r>
                    <a:r>
                      <a:rPr lang="en-US" sz="1200" baseline="30000"/>
                      <a:t>0.1658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0.9025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1289'!$T$26:$T$43</c:f>
              <c:numCache>
                <c:formatCode>General</c:formatCode>
                <c:ptCount val="18"/>
                <c:pt idx="0">
                  <c:v>90</c:v>
                </c:pt>
                <c:pt idx="1">
                  <c:v>85</c:v>
                </c:pt>
                <c:pt idx="2">
                  <c:v>80</c:v>
                </c:pt>
                <c:pt idx="3">
                  <c:v>75</c:v>
                </c:pt>
                <c:pt idx="4">
                  <c:v>70</c:v>
                </c:pt>
                <c:pt idx="5">
                  <c:v>65</c:v>
                </c:pt>
                <c:pt idx="6">
                  <c:v>60</c:v>
                </c:pt>
                <c:pt idx="7">
                  <c:v>55</c:v>
                </c:pt>
                <c:pt idx="8">
                  <c:v>50</c:v>
                </c:pt>
                <c:pt idx="9">
                  <c:v>45</c:v>
                </c:pt>
                <c:pt idx="10">
                  <c:v>40</c:v>
                </c:pt>
                <c:pt idx="11">
                  <c:v>35</c:v>
                </c:pt>
                <c:pt idx="12">
                  <c:v>30</c:v>
                </c:pt>
                <c:pt idx="13">
                  <c:v>25</c:v>
                </c:pt>
                <c:pt idx="14">
                  <c:v>20</c:v>
                </c:pt>
                <c:pt idx="15">
                  <c:v>15</c:v>
                </c:pt>
                <c:pt idx="16">
                  <c:v>10</c:v>
                </c:pt>
                <c:pt idx="17">
                  <c:v>5</c:v>
                </c:pt>
              </c:numCache>
            </c:numRef>
          </c:xVal>
          <c:yVal>
            <c:numRef>
              <c:f>'Collected Data Site 1289'!$V$26:$V$43</c:f>
              <c:numCache>
                <c:formatCode>General</c:formatCode>
                <c:ptCount val="18"/>
                <c:pt idx="0">
                  <c:v>95.19</c:v>
                </c:pt>
                <c:pt idx="1">
                  <c:v>92.38</c:v>
                </c:pt>
                <c:pt idx="2">
                  <c:v>90.04</c:v>
                </c:pt>
                <c:pt idx="3">
                  <c:v>87.92</c:v>
                </c:pt>
                <c:pt idx="4">
                  <c:v>87.23</c:v>
                </c:pt>
                <c:pt idx="5">
                  <c:v>84.37</c:v>
                </c:pt>
                <c:pt idx="6">
                  <c:v>83.99</c:v>
                </c:pt>
                <c:pt idx="7">
                  <c:v>81.199999999999989</c:v>
                </c:pt>
                <c:pt idx="8">
                  <c:v>79.94</c:v>
                </c:pt>
                <c:pt idx="9">
                  <c:v>77.210000000000008</c:v>
                </c:pt>
                <c:pt idx="10">
                  <c:v>75.25</c:v>
                </c:pt>
                <c:pt idx="11">
                  <c:v>73.44</c:v>
                </c:pt>
                <c:pt idx="12">
                  <c:v>70.31</c:v>
                </c:pt>
                <c:pt idx="13">
                  <c:v>68.3</c:v>
                </c:pt>
                <c:pt idx="14">
                  <c:v>65.41</c:v>
                </c:pt>
                <c:pt idx="15">
                  <c:v>64.320000000000007</c:v>
                </c:pt>
                <c:pt idx="16">
                  <c:v>63.35</c:v>
                </c:pt>
                <c:pt idx="17">
                  <c:v>60.97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CB-41D4-A2A7-C416E923C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498864"/>
        <c:axId val="430134936"/>
      </c:scatterChart>
      <c:valAx>
        <c:axId val="5054988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</a:t>
                </a:r>
                <a:r>
                  <a:rPr lang="en-US" baseline="0"/>
                  <a:t> Discharge (m^3/s)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134936"/>
        <c:crosses val="autoZero"/>
        <c:crossBetween val="midCat"/>
      </c:valAx>
      <c:valAx>
        <c:axId val="4301349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Width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9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Depth (107.58)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5.6434164479440073E-2"/>
                  <c:y val="0.2324985418489355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0.3439x</a:t>
                    </a:r>
                    <a:r>
                      <a:rPr lang="en-US" sz="1200" baseline="30000"/>
                      <a:t>0.4579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0.9964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1289'!$H$6:$H$18</c:f>
              <c:numCache>
                <c:formatCode>General</c:formatCode>
                <c:ptCount val="13"/>
                <c:pt idx="0">
                  <c:v>65</c:v>
                </c:pt>
                <c:pt idx="1">
                  <c:v>60</c:v>
                </c:pt>
                <c:pt idx="2">
                  <c:v>55</c:v>
                </c:pt>
                <c:pt idx="3">
                  <c:v>50</c:v>
                </c:pt>
                <c:pt idx="4">
                  <c:v>45</c:v>
                </c:pt>
                <c:pt idx="5">
                  <c:v>40</c:v>
                </c:pt>
                <c:pt idx="6">
                  <c:v>35</c:v>
                </c:pt>
                <c:pt idx="7">
                  <c:v>30</c:v>
                </c:pt>
                <c:pt idx="8">
                  <c:v>25</c:v>
                </c:pt>
                <c:pt idx="9">
                  <c:v>20</c:v>
                </c:pt>
                <c:pt idx="10">
                  <c:v>15</c:v>
                </c:pt>
                <c:pt idx="11">
                  <c:v>10</c:v>
                </c:pt>
                <c:pt idx="12">
                  <c:v>5</c:v>
                </c:pt>
              </c:numCache>
            </c:numRef>
          </c:xVal>
          <c:yVal>
            <c:numRef>
              <c:f>'Collected Data Site 1289'!$K$6:$K$18</c:f>
              <c:numCache>
                <c:formatCode>General</c:formatCode>
                <c:ptCount val="13"/>
                <c:pt idx="0">
                  <c:v>2.38</c:v>
                </c:pt>
                <c:pt idx="1">
                  <c:v>2.2799999999999998</c:v>
                </c:pt>
                <c:pt idx="2">
                  <c:v>2.19</c:v>
                </c:pt>
                <c:pt idx="3">
                  <c:v>2.08</c:v>
                </c:pt>
                <c:pt idx="4">
                  <c:v>1.96</c:v>
                </c:pt>
                <c:pt idx="5">
                  <c:v>1.86</c:v>
                </c:pt>
                <c:pt idx="6">
                  <c:v>1.73</c:v>
                </c:pt>
                <c:pt idx="7">
                  <c:v>1.61</c:v>
                </c:pt>
                <c:pt idx="8">
                  <c:v>1.47</c:v>
                </c:pt>
                <c:pt idx="9">
                  <c:v>1.31</c:v>
                </c:pt>
                <c:pt idx="10">
                  <c:v>1.17</c:v>
                </c:pt>
                <c:pt idx="11">
                  <c:v>0.98</c:v>
                </c:pt>
                <c:pt idx="12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24-45FC-A2D4-CA8C659F1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315152"/>
        <c:axId val="516316464"/>
      </c:scatterChart>
      <c:valAx>
        <c:axId val="516315152"/>
        <c:scaling>
          <c:logBase val="10"/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</a:t>
                </a:r>
                <a:r>
                  <a:rPr lang="en-US" baseline="0"/>
                  <a:t> Discharge (m^3/s)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316464"/>
        <c:crosses val="autoZero"/>
        <c:crossBetween val="midCat"/>
      </c:valAx>
      <c:valAx>
        <c:axId val="5163164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31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Width (1178.01)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1.7928040244969377E-2"/>
                  <c:y val="8.287037037037037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58.91x</a:t>
                    </a:r>
                    <a:r>
                      <a:rPr lang="en-US" sz="1200" baseline="30000"/>
                      <a:t>0.0579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0.6534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1289'!$Z$26:$Z$47</c:f>
              <c:numCache>
                <c:formatCode>General</c:formatCode>
                <c:ptCount val="22"/>
                <c:pt idx="0">
                  <c:v>110</c:v>
                </c:pt>
                <c:pt idx="1">
                  <c:v>105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85</c:v>
                </c:pt>
                <c:pt idx="6">
                  <c:v>80</c:v>
                </c:pt>
                <c:pt idx="7">
                  <c:v>75</c:v>
                </c:pt>
                <c:pt idx="8">
                  <c:v>70</c:v>
                </c:pt>
                <c:pt idx="9">
                  <c:v>65</c:v>
                </c:pt>
                <c:pt idx="10">
                  <c:v>60</c:v>
                </c:pt>
                <c:pt idx="11">
                  <c:v>55</c:v>
                </c:pt>
                <c:pt idx="12">
                  <c:v>50</c:v>
                </c:pt>
                <c:pt idx="13">
                  <c:v>45</c:v>
                </c:pt>
                <c:pt idx="14">
                  <c:v>40</c:v>
                </c:pt>
                <c:pt idx="15">
                  <c:v>35</c:v>
                </c:pt>
                <c:pt idx="16">
                  <c:v>30</c:v>
                </c:pt>
                <c:pt idx="17">
                  <c:v>25</c:v>
                </c:pt>
                <c:pt idx="18">
                  <c:v>20</c:v>
                </c:pt>
                <c:pt idx="19">
                  <c:v>15</c:v>
                </c:pt>
                <c:pt idx="20">
                  <c:v>10</c:v>
                </c:pt>
                <c:pt idx="21">
                  <c:v>5</c:v>
                </c:pt>
              </c:numCache>
            </c:numRef>
          </c:xVal>
          <c:yVal>
            <c:numRef>
              <c:f>'Collected Data Site 1289'!$AB$26:$AB$47</c:f>
              <c:numCache>
                <c:formatCode>General</c:formatCode>
                <c:ptCount val="22"/>
                <c:pt idx="0">
                  <c:v>83.25</c:v>
                </c:pt>
                <c:pt idx="1">
                  <c:v>82.24</c:v>
                </c:pt>
                <c:pt idx="2">
                  <c:v>81.199999999999989</c:v>
                </c:pt>
                <c:pt idx="3">
                  <c:v>79.72</c:v>
                </c:pt>
                <c:pt idx="4">
                  <c:v>76.92</c:v>
                </c:pt>
                <c:pt idx="5">
                  <c:v>75.75</c:v>
                </c:pt>
                <c:pt idx="6">
                  <c:v>73.959999999999994</c:v>
                </c:pt>
                <c:pt idx="7">
                  <c:v>73.569999999999993</c:v>
                </c:pt>
                <c:pt idx="8">
                  <c:v>73.03</c:v>
                </c:pt>
                <c:pt idx="9">
                  <c:v>72.95</c:v>
                </c:pt>
                <c:pt idx="10">
                  <c:v>72.64</c:v>
                </c:pt>
                <c:pt idx="11">
                  <c:v>72.2</c:v>
                </c:pt>
                <c:pt idx="12">
                  <c:v>71.819999999999993</c:v>
                </c:pt>
                <c:pt idx="13">
                  <c:v>71.760000000000005</c:v>
                </c:pt>
                <c:pt idx="14">
                  <c:v>71.12</c:v>
                </c:pt>
                <c:pt idx="15">
                  <c:v>70.87</c:v>
                </c:pt>
                <c:pt idx="16">
                  <c:v>70.3</c:v>
                </c:pt>
                <c:pt idx="17">
                  <c:v>69.989999999999995</c:v>
                </c:pt>
                <c:pt idx="18">
                  <c:v>69.58</c:v>
                </c:pt>
                <c:pt idx="19">
                  <c:v>69.17</c:v>
                </c:pt>
                <c:pt idx="20">
                  <c:v>68.709999999999994</c:v>
                </c:pt>
                <c:pt idx="21">
                  <c:v>68.239999999999995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A2-48F8-94ED-28C4221B7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244592"/>
        <c:axId val="552255416"/>
      </c:scatterChart>
      <c:valAx>
        <c:axId val="5522445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</a:t>
                </a:r>
                <a:r>
                  <a:rPr lang="en-US" baseline="0"/>
                  <a:t> Discharge (m^3/s)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55416"/>
        <c:crosses val="autoZero"/>
        <c:crossBetween val="midCat"/>
      </c:valAx>
      <c:valAx>
        <c:axId val="552255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Width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4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Area (40.14)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1.5463692038495187E-2"/>
                  <c:y val="0.1757596967045785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8.0532x</a:t>
                    </a:r>
                    <a:r>
                      <a:rPr lang="en-US" sz="1200" baseline="30000"/>
                      <a:t>0.6525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0.999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1289'!$B$6:$B$17</c:f>
              <c:numCache>
                <c:formatCode>General</c:formatCode>
                <c:ptCount val="12"/>
                <c:pt idx="0">
                  <c:v>120</c:v>
                </c:pt>
                <c:pt idx="1">
                  <c:v>110</c:v>
                </c:pt>
                <c:pt idx="2">
                  <c:v>100</c:v>
                </c:pt>
                <c:pt idx="3">
                  <c:v>90</c:v>
                </c:pt>
                <c:pt idx="4">
                  <c:v>80</c:v>
                </c:pt>
                <c:pt idx="5">
                  <c:v>70</c:v>
                </c:pt>
                <c:pt idx="6">
                  <c:v>60</c:v>
                </c:pt>
                <c:pt idx="7">
                  <c:v>50</c:v>
                </c:pt>
                <c:pt idx="8">
                  <c:v>40</c:v>
                </c:pt>
                <c:pt idx="9">
                  <c:v>30</c:v>
                </c:pt>
                <c:pt idx="10">
                  <c:v>20</c:v>
                </c:pt>
                <c:pt idx="11">
                  <c:v>10</c:v>
                </c:pt>
              </c:numCache>
            </c:numRef>
          </c:xVal>
          <c:yVal>
            <c:numRef>
              <c:f>'Collected Data Site 1289'!$C$6:$C$17</c:f>
              <c:numCache>
                <c:formatCode>General</c:formatCode>
                <c:ptCount val="12"/>
                <c:pt idx="0">
                  <c:v>186.4</c:v>
                </c:pt>
                <c:pt idx="1">
                  <c:v>174.23</c:v>
                </c:pt>
                <c:pt idx="2">
                  <c:v>165.01</c:v>
                </c:pt>
                <c:pt idx="3">
                  <c:v>154.06</c:v>
                </c:pt>
                <c:pt idx="4">
                  <c:v>139.97</c:v>
                </c:pt>
                <c:pt idx="5">
                  <c:v>126.48</c:v>
                </c:pt>
                <c:pt idx="6">
                  <c:v>114.15</c:v>
                </c:pt>
                <c:pt idx="7">
                  <c:v>101.59</c:v>
                </c:pt>
                <c:pt idx="8">
                  <c:v>87.98</c:v>
                </c:pt>
                <c:pt idx="9">
                  <c:v>73.83</c:v>
                </c:pt>
                <c:pt idx="10">
                  <c:v>56.86</c:v>
                </c:pt>
                <c:pt idx="11">
                  <c:v>36.979999999999997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0F-488D-B098-961D54614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504768"/>
        <c:axId val="505502800"/>
      </c:scatterChart>
      <c:valAx>
        <c:axId val="505504768"/>
        <c:scaling>
          <c:logBase val="10"/>
          <c:orientation val="minMax"/>
          <c:max val="20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02800"/>
        <c:crosses val="autoZero"/>
        <c:crossBetween val="midCat"/>
      </c:valAx>
      <c:valAx>
        <c:axId val="505502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 (m^2)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0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Area (107.58)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580155293088364"/>
                  <c:y val="-1.413167104111985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9.4392x</a:t>
                    </a:r>
                    <a:r>
                      <a:rPr lang="en-US" sz="1200" baseline="30000"/>
                      <a:t>0.686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0.999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1289'!$H$6:$H$18</c:f>
              <c:numCache>
                <c:formatCode>General</c:formatCode>
                <c:ptCount val="13"/>
                <c:pt idx="0">
                  <c:v>65</c:v>
                </c:pt>
                <c:pt idx="1">
                  <c:v>60</c:v>
                </c:pt>
                <c:pt idx="2">
                  <c:v>55</c:v>
                </c:pt>
                <c:pt idx="3">
                  <c:v>50</c:v>
                </c:pt>
                <c:pt idx="4">
                  <c:v>45</c:v>
                </c:pt>
                <c:pt idx="5">
                  <c:v>40</c:v>
                </c:pt>
                <c:pt idx="6">
                  <c:v>35</c:v>
                </c:pt>
                <c:pt idx="7">
                  <c:v>30</c:v>
                </c:pt>
                <c:pt idx="8">
                  <c:v>25</c:v>
                </c:pt>
                <c:pt idx="9">
                  <c:v>20</c:v>
                </c:pt>
                <c:pt idx="10">
                  <c:v>15</c:v>
                </c:pt>
                <c:pt idx="11">
                  <c:v>10</c:v>
                </c:pt>
                <c:pt idx="12">
                  <c:v>5</c:v>
                </c:pt>
              </c:numCache>
            </c:numRef>
          </c:xVal>
          <c:yVal>
            <c:numRef>
              <c:f>'Collected Data Site 1289'!$I$6:$I$18</c:f>
              <c:numCache>
                <c:formatCode>General</c:formatCode>
                <c:ptCount val="13"/>
                <c:pt idx="0">
                  <c:v>169.64</c:v>
                </c:pt>
                <c:pt idx="1">
                  <c:v>158.55000000000001</c:v>
                </c:pt>
                <c:pt idx="2">
                  <c:v>148.07</c:v>
                </c:pt>
                <c:pt idx="3">
                  <c:v>139.17000000000002</c:v>
                </c:pt>
                <c:pt idx="4">
                  <c:v>128.44999999999999</c:v>
                </c:pt>
                <c:pt idx="5">
                  <c:v>117.86999999999999</c:v>
                </c:pt>
                <c:pt idx="6">
                  <c:v>107.4</c:v>
                </c:pt>
                <c:pt idx="7">
                  <c:v>96.36</c:v>
                </c:pt>
                <c:pt idx="8">
                  <c:v>84.68</c:v>
                </c:pt>
                <c:pt idx="9">
                  <c:v>72.11</c:v>
                </c:pt>
                <c:pt idx="10">
                  <c:v>59.42</c:v>
                </c:pt>
                <c:pt idx="11">
                  <c:v>45.379999999999995</c:v>
                </c:pt>
                <c:pt idx="12">
                  <c:v>29.53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AB-4164-95AF-AC247B0AE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315152"/>
        <c:axId val="516316464"/>
      </c:scatterChart>
      <c:valAx>
        <c:axId val="516315152"/>
        <c:scaling>
          <c:logBase val="10"/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</a:t>
                </a:r>
                <a:r>
                  <a:rPr lang="en-US" baseline="0"/>
                  <a:t> Discharge (m^3/s)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316464"/>
        <c:crosses val="autoZero"/>
        <c:crossBetween val="midCat"/>
      </c:valAx>
      <c:valAx>
        <c:axId val="5163164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 (m^2)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31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Area (212.58)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6.7522965879265096E-2"/>
                  <c:y val="-4.231700204141149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6.4413x</a:t>
                    </a:r>
                    <a:r>
                      <a:rPr lang="en-US" sz="1200" baseline="30000"/>
                      <a:t>0.6817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0.9978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1289'!$N$6:$N$18</c:f>
              <c:numCache>
                <c:formatCode>General</c:formatCode>
                <c:ptCount val="13"/>
                <c:pt idx="0">
                  <c:v>125</c:v>
                </c:pt>
                <c:pt idx="1">
                  <c:v>120</c:v>
                </c:pt>
                <c:pt idx="2">
                  <c:v>110</c:v>
                </c:pt>
                <c:pt idx="3">
                  <c:v>100</c:v>
                </c:pt>
                <c:pt idx="4">
                  <c:v>90</c:v>
                </c:pt>
                <c:pt idx="5">
                  <c:v>80</c:v>
                </c:pt>
                <c:pt idx="6">
                  <c:v>70</c:v>
                </c:pt>
                <c:pt idx="7">
                  <c:v>60</c:v>
                </c:pt>
                <c:pt idx="8">
                  <c:v>50</c:v>
                </c:pt>
                <c:pt idx="9">
                  <c:v>40</c:v>
                </c:pt>
                <c:pt idx="10">
                  <c:v>30</c:v>
                </c:pt>
                <c:pt idx="11">
                  <c:v>20</c:v>
                </c:pt>
                <c:pt idx="12">
                  <c:v>10</c:v>
                </c:pt>
              </c:numCache>
            </c:numRef>
          </c:xVal>
          <c:yVal>
            <c:numRef>
              <c:f>'Collected Data Site 1289'!$O$6:$O$18</c:f>
              <c:numCache>
                <c:formatCode>General</c:formatCode>
                <c:ptCount val="13"/>
                <c:pt idx="0">
                  <c:v>178.15</c:v>
                </c:pt>
                <c:pt idx="1">
                  <c:v>172.155</c:v>
                </c:pt>
                <c:pt idx="2">
                  <c:v>159.78</c:v>
                </c:pt>
                <c:pt idx="3">
                  <c:v>150.62</c:v>
                </c:pt>
                <c:pt idx="4">
                  <c:v>140.69</c:v>
                </c:pt>
                <c:pt idx="5">
                  <c:v>127.3</c:v>
                </c:pt>
                <c:pt idx="6">
                  <c:v>114</c:v>
                </c:pt>
                <c:pt idx="7">
                  <c:v>101.65</c:v>
                </c:pt>
                <c:pt idx="8">
                  <c:v>90.31</c:v>
                </c:pt>
                <c:pt idx="9">
                  <c:v>77.459999999999994</c:v>
                </c:pt>
                <c:pt idx="10">
                  <c:v>64.61</c:v>
                </c:pt>
                <c:pt idx="11">
                  <c:v>49.33</c:v>
                </c:pt>
                <c:pt idx="12">
                  <c:v>32.380000000000003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B3-492B-9DCE-F8252DA5F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269520"/>
        <c:axId val="545269192"/>
      </c:scatterChart>
      <c:valAx>
        <c:axId val="5452695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269192"/>
        <c:crosses val="autoZero"/>
        <c:crossBetween val="midCat"/>
      </c:valAx>
      <c:valAx>
        <c:axId val="5452691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  <a:r>
                  <a:rPr lang="en-US" baseline="0"/>
                  <a:t> (m^2</a:t>
                </a:r>
                <a:r>
                  <a:rPr lang="en-US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26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Area (326.19)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9763692038495188"/>
                  <c:y val="-7.6224846894138235E-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7.5909x</a:t>
                    </a:r>
                    <a:r>
                      <a:rPr lang="en-US" sz="1200" baseline="30000"/>
                      <a:t>0.6757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0.9905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1289'!$T$6:$T$16</c:f>
              <c:numCache>
                <c:formatCode>General</c:formatCode>
                <c:ptCount val="11"/>
                <c:pt idx="0">
                  <c:v>110</c:v>
                </c:pt>
                <c:pt idx="1">
                  <c:v>100</c:v>
                </c:pt>
                <c:pt idx="2">
                  <c:v>90</c:v>
                </c:pt>
                <c:pt idx="3">
                  <c:v>80</c:v>
                </c:pt>
                <c:pt idx="4">
                  <c:v>70</c:v>
                </c:pt>
                <c:pt idx="5">
                  <c:v>60</c:v>
                </c:pt>
                <c:pt idx="6">
                  <c:v>50</c:v>
                </c:pt>
                <c:pt idx="7">
                  <c:v>40</c:v>
                </c:pt>
                <c:pt idx="8">
                  <c:v>30</c:v>
                </c:pt>
                <c:pt idx="9">
                  <c:v>20</c:v>
                </c:pt>
                <c:pt idx="10">
                  <c:v>10</c:v>
                </c:pt>
              </c:numCache>
            </c:numRef>
          </c:xVal>
          <c:yVal>
            <c:numRef>
              <c:f>'Collected Data Site 1289'!$U$6:$U$16</c:f>
              <c:numCache>
                <c:formatCode>General</c:formatCode>
                <c:ptCount val="11"/>
                <c:pt idx="0">
                  <c:v>196.46</c:v>
                </c:pt>
                <c:pt idx="1">
                  <c:v>179.84</c:v>
                </c:pt>
                <c:pt idx="2">
                  <c:v>164.17000000000002</c:v>
                </c:pt>
                <c:pt idx="3">
                  <c:v>144.72</c:v>
                </c:pt>
                <c:pt idx="4">
                  <c:v>127.33</c:v>
                </c:pt>
                <c:pt idx="5">
                  <c:v>114.52</c:v>
                </c:pt>
                <c:pt idx="6">
                  <c:v>101.55</c:v>
                </c:pt>
                <c:pt idx="7">
                  <c:v>88.13</c:v>
                </c:pt>
                <c:pt idx="8">
                  <c:v>74.099999999999994</c:v>
                </c:pt>
                <c:pt idx="9">
                  <c:v>57.39</c:v>
                </c:pt>
                <c:pt idx="10">
                  <c:v>38.4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BB-4E49-B7A9-14C919205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937952"/>
        <c:axId val="548934016"/>
      </c:scatterChart>
      <c:valAx>
        <c:axId val="548937952"/>
        <c:scaling>
          <c:logBase val="10"/>
          <c:orientation val="minMax"/>
          <c:max val="20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</a:t>
                </a:r>
                <a:r>
                  <a:rPr lang="en-US" baseline="0"/>
                  <a:t> (m^3/s)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934016"/>
        <c:crosses val="autoZero"/>
        <c:crossBetween val="midCat"/>
      </c:valAx>
      <c:valAx>
        <c:axId val="5489340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 (m^2)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93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Area (484.68)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4.3196194225721782E-2"/>
                  <c:y val="0.2237150043744531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9.0047x</a:t>
                    </a:r>
                    <a:r>
                      <a:rPr lang="en-US" sz="1200" baseline="30000"/>
                      <a:t>0.7051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0.9947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1289'!$Z$6:$Z$18</c:f>
              <c:numCache>
                <c:formatCode>General</c:formatCode>
                <c:ptCount val="13"/>
                <c:pt idx="0">
                  <c:v>130</c:v>
                </c:pt>
                <c:pt idx="1">
                  <c:v>120</c:v>
                </c:pt>
                <c:pt idx="2">
                  <c:v>110</c:v>
                </c:pt>
                <c:pt idx="3">
                  <c:v>100</c:v>
                </c:pt>
                <c:pt idx="4">
                  <c:v>90</c:v>
                </c:pt>
                <c:pt idx="5">
                  <c:v>80</c:v>
                </c:pt>
                <c:pt idx="6">
                  <c:v>70</c:v>
                </c:pt>
                <c:pt idx="7">
                  <c:v>60</c:v>
                </c:pt>
                <c:pt idx="8">
                  <c:v>50</c:v>
                </c:pt>
                <c:pt idx="9">
                  <c:v>40</c:v>
                </c:pt>
                <c:pt idx="10">
                  <c:v>30</c:v>
                </c:pt>
                <c:pt idx="11">
                  <c:v>20</c:v>
                </c:pt>
                <c:pt idx="12">
                  <c:v>10</c:v>
                </c:pt>
              </c:numCache>
            </c:numRef>
          </c:xVal>
          <c:yVal>
            <c:numRef>
              <c:f>'Collected Data Site 1289'!$AA$6:$AA$18</c:f>
              <c:numCache>
                <c:formatCode>General</c:formatCode>
                <c:ptCount val="13"/>
                <c:pt idx="0">
                  <c:v>292.33999999999997</c:v>
                </c:pt>
                <c:pt idx="1">
                  <c:v>274.58</c:v>
                </c:pt>
                <c:pt idx="2">
                  <c:v>253.04</c:v>
                </c:pt>
                <c:pt idx="3">
                  <c:v>236.44</c:v>
                </c:pt>
                <c:pt idx="4">
                  <c:v>217.34</c:v>
                </c:pt>
                <c:pt idx="5">
                  <c:v>195.47</c:v>
                </c:pt>
                <c:pt idx="6">
                  <c:v>172.83999999999997</c:v>
                </c:pt>
                <c:pt idx="7">
                  <c:v>153.53</c:v>
                </c:pt>
                <c:pt idx="8">
                  <c:v>134.79</c:v>
                </c:pt>
                <c:pt idx="9">
                  <c:v>117</c:v>
                </c:pt>
                <c:pt idx="10">
                  <c:v>97.43</c:v>
                </c:pt>
                <c:pt idx="11">
                  <c:v>74.27</c:v>
                </c:pt>
                <c:pt idx="12">
                  <c:v>48.91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9A-43EF-A7F5-DAB0F4994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286944"/>
        <c:axId val="516288912"/>
      </c:scatterChart>
      <c:valAx>
        <c:axId val="516286944"/>
        <c:scaling>
          <c:logBase val="10"/>
          <c:orientation val="minMax"/>
          <c:max val="20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88912"/>
        <c:crosses val="autoZero"/>
        <c:crossBetween val="midCat"/>
      </c:valAx>
      <c:valAx>
        <c:axId val="5162889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 (m^2)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8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Area (631.89)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5368460192475939"/>
                  <c:y val="-4.55599300087489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13.77x</a:t>
                    </a:r>
                    <a:r>
                      <a:rPr lang="en-US" sz="1200" baseline="30000"/>
                      <a:t>0.5814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0.9956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1289'!$B$26:$B$45</c:f>
              <c:numCache>
                <c:formatCode>General</c:formatCode>
                <c:ptCount val="20"/>
                <c:pt idx="0">
                  <c:v>40</c:v>
                </c:pt>
                <c:pt idx="1">
                  <c:v>38</c:v>
                </c:pt>
                <c:pt idx="2">
                  <c:v>36</c:v>
                </c:pt>
                <c:pt idx="3">
                  <c:v>34</c:v>
                </c:pt>
                <c:pt idx="4">
                  <c:v>32</c:v>
                </c:pt>
                <c:pt idx="5">
                  <c:v>30</c:v>
                </c:pt>
                <c:pt idx="6">
                  <c:v>28</c:v>
                </c:pt>
                <c:pt idx="7">
                  <c:v>26</c:v>
                </c:pt>
                <c:pt idx="8">
                  <c:v>24</c:v>
                </c:pt>
                <c:pt idx="9">
                  <c:v>22</c:v>
                </c:pt>
                <c:pt idx="10">
                  <c:v>20</c:v>
                </c:pt>
                <c:pt idx="11">
                  <c:v>18</c:v>
                </c:pt>
                <c:pt idx="12">
                  <c:v>16</c:v>
                </c:pt>
                <c:pt idx="13">
                  <c:v>14</c:v>
                </c:pt>
                <c:pt idx="14">
                  <c:v>12</c:v>
                </c:pt>
                <c:pt idx="15">
                  <c:v>10</c:v>
                </c:pt>
                <c:pt idx="16">
                  <c:v>8</c:v>
                </c:pt>
                <c:pt idx="17">
                  <c:v>6</c:v>
                </c:pt>
                <c:pt idx="18">
                  <c:v>4</c:v>
                </c:pt>
                <c:pt idx="19">
                  <c:v>2</c:v>
                </c:pt>
              </c:numCache>
            </c:numRef>
          </c:xVal>
          <c:yVal>
            <c:numRef>
              <c:f>'Collected Data Site 1289'!$C$26:$C$45</c:f>
              <c:numCache>
                <c:formatCode>General</c:formatCode>
                <c:ptCount val="20"/>
                <c:pt idx="0">
                  <c:v>122.81</c:v>
                </c:pt>
                <c:pt idx="1">
                  <c:v>118.84</c:v>
                </c:pt>
                <c:pt idx="2">
                  <c:v>114.46000000000001</c:v>
                </c:pt>
                <c:pt idx="3">
                  <c:v>109.63</c:v>
                </c:pt>
                <c:pt idx="4">
                  <c:v>104.68</c:v>
                </c:pt>
                <c:pt idx="5">
                  <c:v>100.94</c:v>
                </c:pt>
                <c:pt idx="6">
                  <c:v>95.61</c:v>
                </c:pt>
                <c:pt idx="7">
                  <c:v>91.61</c:v>
                </c:pt>
                <c:pt idx="8">
                  <c:v>85.88</c:v>
                </c:pt>
                <c:pt idx="9">
                  <c:v>81.78</c:v>
                </c:pt>
                <c:pt idx="10">
                  <c:v>76.2</c:v>
                </c:pt>
                <c:pt idx="11">
                  <c:v>71.64</c:v>
                </c:pt>
                <c:pt idx="12">
                  <c:v>66.58</c:v>
                </c:pt>
                <c:pt idx="13">
                  <c:v>61.900000000000006</c:v>
                </c:pt>
                <c:pt idx="14">
                  <c:v>56.03</c:v>
                </c:pt>
                <c:pt idx="15">
                  <c:v>50.82</c:v>
                </c:pt>
                <c:pt idx="16">
                  <c:v>45.38</c:v>
                </c:pt>
                <c:pt idx="17">
                  <c:v>38.78</c:v>
                </c:pt>
                <c:pt idx="18">
                  <c:v>31.31</c:v>
                </c:pt>
                <c:pt idx="19">
                  <c:v>22.1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19-49F0-8A85-41A198915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447872"/>
        <c:axId val="548402696"/>
      </c:scatterChart>
      <c:valAx>
        <c:axId val="3404478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402696"/>
        <c:crosses val="autoZero"/>
        <c:crossBetween val="midCat"/>
      </c:valAx>
      <c:valAx>
        <c:axId val="548402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 (m^2)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44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Area (782.85)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7633027121609797"/>
                  <c:y val="-1.410578885972586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12.556x</a:t>
                    </a:r>
                    <a:r>
                      <a:rPr lang="en-US" sz="1200" baseline="30000"/>
                      <a:t>0.6687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0.9916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1289'!$H$26:$H$41</c:f>
              <c:numCache>
                <c:formatCode>General</c:formatCode>
                <c:ptCount val="16"/>
                <c:pt idx="0">
                  <c:v>80</c:v>
                </c:pt>
                <c:pt idx="1">
                  <c:v>75</c:v>
                </c:pt>
                <c:pt idx="2">
                  <c:v>70</c:v>
                </c:pt>
                <c:pt idx="3">
                  <c:v>65</c:v>
                </c:pt>
                <c:pt idx="4">
                  <c:v>60</c:v>
                </c:pt>
                <c:pt idx="5">
                  <c:v>55</c:v>
                </c:pt>
                <c:pt idx="6">
                  <c:v>50</c:v>
                </c:pt>
                <c:pt idx="7">
                  <c:v>45</c:v>
                </c:pt>
                <c:pt idx="8">
                  <c:v>40</c:v>
                </c:pt>
                <c:pt idx="9">
                  <c:v>35</c:v>
                </c:pt>
                <c:pt idx="10">
                  <c:v>30</c:v>
                </c:pt>
                <c:pt idx="11">
                  <c:v>25</c:v>
                </c:pt>
                <c:pt idx="12">
                  <c:v>20</c:v>
                </c:pt>
                <c:pt idx="13">
                  <c:v>15</c:v>
                </c:pt>
                <c:pt idx="14">
                  <c:v>10</c:v>
                </c:pt>
                <c:pt idx="15">
                  <c:v>5</c:v>
                </c:pt>
              </c:numCache>
            </c:numRef>
          </c:xVal>
          <c:yVal>
            <c:numRef>
              <c:f>'Collected Data Site 1289'!$I$26:$I$41</c:f>
              <c:numCache>
                <c:formatCode>General</c:formatCode>
                <c:ptCount val="16"/>
                <c:pt idx="0">
                  <c:v>252.35</c:v>
                </c:pt>
                <c:pt idx="1">
                  <c:v>236.83</c:v>
                </c:pt>
                <c:pt idx="2">
                  <c:v>223.19</c:v>
                </c:pt>
                <c:pt idx="3">
                  <c:v>209.72</c:v>
                </c:pt>
                <c:pt idx="4">
                  <c:v>196.56</c:v>
                </c:pt>
                <c:pt idx="5">
                  <c:v>183.37</c:v>
                </c:pt>
                <c:pt idx="6">
                  <c:v>170.23</c:v>
                </c:pt>
                <c:pt idx="7">
                  <c:v>156.76</c:v>
                </c:pt>
                <c:pt idx="8">
                  <c:v>143.46</c:v>
                </c:pt>
                <c:pt idx="9">
                  <c:v>129.32</c:v>
                </c:pt>
                <c:pt idx="10">
                  <c:v>114.84</c:v>
                </c:pt>
                <c:pt idx="11">
                  <c:v>101.89</c:v>
                </c:pt>
                <c:pt idx="12">
                  <c:v>88.259999999999991</c:v>
                </c:pt>
                <c:pt idx="13">
                  <c:v>74.41</c:v>
                </c:pt>
                <c:pt idx="14">
                  <c:v>59.06</c:v>
                </c:pt>
                <c:pt idx="15">
                  <c:v>40.959999999999994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E5-4337-98A7-F8B234829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262960"/>
        <c:axId val="552262632"/>
      </c:scatterChart>
      <c:valAx>
        <c:axId val="5522629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62632"/>
        <c:crosses val="autoZero"/>
        <c:crossBetween val="midCat"/>
      </c:valAx>
      <c:valAx>
        <c:axId val="5522626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 (m^2)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6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Area (950.61)</a:t>
            </a:r>
          </a:p>
        </c:rich>
      </c:tx>
      <c:layout>
        <c:manualLayout>
          <c:xMode val="edge"/>
          <c:yMode val="edge"/>
          <c:x val="0.2491526684164479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0319247594050741"/>
                  <c:y val="5.8315106445027704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9.2647x</a:t>
                    </a:r>
                    <a:r>
                      <a:rPr lang="en-US" sz="1200" baseline="30000"/>
                      <a:t>0.6486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0.9888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1289'!$N$26:$N$36</c:f>
              <c:numCache>
                <c:formatCode>General</c:formatCode>
                <c:ptCount val="11"/>
                <c:pt idx="0">
                  <c:v>110</c:v>
                </c:pt>
                <c:pt idx="1">
                  <c:v>100</c:v>
                </c:pt>
                <c:pt idx="2">
                  <c:v>90</c:v>
                </c:pt>
                <c:pt idx="3">
                  <c:v>80</c:v>
                </c:pt>
                <c:pt idx="4">
                  <c:v>70</c:v>
                </c:pt>
                <c:pt idx="5">
                  <c:v>60</c:v>
                </c:pt>
                <c:pt idx="6">
                  <c:v>50</c:v>
                </c:pt>
                <c:pt idx="7">
                  <c:v>40</c:v>
                </c:pt>
                <c:pt idx="8">
                  <c:v>30</c:v>
                </c:pt>
                <c:pt idx="9">
                  <c:v>20</c:v>
                </c:pt>
                <c:pt idx="10">
                  <c:v>10</c:v>
                </c:pt>
              </c:numCache>
            </c:numRef>
          </c:xVal>
          <c:yVal>
            <c:numRef>
              <c:f>'Collected Data Site 1289'!$O$26:$O$36</c:f>
              <c:numCache>
                <c:formatCode>General</c:formatCode>
                <c:ptCount val="11"/>
                <c:pt idx="0">
                  <c:v>209.55</c:v>
                </c:pt>
                <c:pt idx="1">
                  <c:v>194.21</c:v>
                </c:pt>
                <c:pt idx="2">
                  <c:v>177.98</c:v>
                </c:pt>
                <c:pt idx="3">
                  <c:v>158.47</c:v>
                </c:pt>
                <c:pt idx="4">
                  <c:v>140.35000000000002</c:v>
                </c:pt>
                <c:pt idx="5">
                  <c:v>124.5</c:v>
                </c:pt>
                <c:pt idx="6">
                  <c:v>110.24</c:v>
                </c:pt>
                <c:pt idx="7">
                  <c:v>96.65</c:v>
                </c:pt>
                <c:pt idx="8">
                  <c:v>81.650000000000006</c:v>
                </c:pt>
                <c:pt idx="9">
                  <c:v>64.599999999999994</c:v>
                </c:pt>
                <c:pt idx="10">
                  <c:v>44.39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F3-4668-9CF7-22C9B9994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244920"/>
        <c:axId val="552245904"/>
      </c:scatterChart>
      <c:valAx>
        <c:axId val="552244920"/>
        <c:scaling>
          <c:logBase val="10"/>
          <c:orientation val="minMax"/>
          <c:max val="20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</a:t>
                </a:r>
                <a:r>
                  <a:rPr lang="en-US" baseline="0"/>
                  <a:t> Discharge (m^3/s)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45904"/>
        <c:crosses val="autoZero"/>
        <c:crossBetween val="midCat"/>
      </c:valAx>
      <c:valAx>
        <c:axId val="5522459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 (m^2)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44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Area (1089.41)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8282633420822398"/>
                  <c:y val="-1.178477690288713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13.54x</a:t>
                    </a:r>
                    <a:r>
                      <a:rPr lang="en-US" sz="1200" baseline="30000"/>
                      <a:t>0.5842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0.9919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1289'!$T$26:$T$43</c:f>
              <c:numCache>
                <c:formatCode>General</c:formatCode>
                <c:ptCount val="18"/>
                <c:pt idx="0">
                  <c:v>90</c:v>
                </c:pt>
                <c:pt idx="1">
                  <c:v>85</c:v>
                </c:pt>
                <c:pt idx="2">
                  <c:v>80</c:v>
                </c:pt>
                <c:pt idx="3">
                  <c:v>75</c:v>
                </c:pt>
                <c:pt idx="4">
                  <c:v>70</c:v>
                </c:pt>
                <c:pt idx="5">
                  <c:v>65</c:v>
                </c:pt>
                <c:pt idx="6">
                  <c:v>60</c:v>
                </c:pt>
                <c:pt idx="7">
                  <c:v>55</c:v>
                </c:pt>
                <c:pt idx="8">
                  <c:v>50</c:v>
                </c:pt>
                <c:pt idx="9">
                  <c:v>45</c:v>
                </c:pt>
                <c:pt idx="10">
                  <c:v>40</c:v>
                </c:pt>
                <c:pt idx="11">
                  <c:v>35</c:v>
                </c:pt>
                <c:pt idx="12">
                  <c:v>30</c:v>
                </c:pt>
                <c:pt idx="13">
                  <c:v>25</c:v>
                </c:pt>
                <c:pt idx="14">
                  <c:v>20</c:v>
                </c:pt>
                <c:pt idx="15">
                  <c:v>15</c:v>
                </c:pt>
                <c:pt idx="16">
                  <c:v>10</c:v>
                </c:pt>
                <c:pt idx="17">
                  <c:v>5</c:v>
                </c:pt>
              </c:numCache>
            </c:numRef>
          </c:xVal>
          <c:yVal>
            <c:numRef>
              <c:f>'Collected Data Site 1289'!$U$26:$U$43</c:f>
              <c:numCache>
                <c:formatCode>General</c:formatCode>
                <c:ptCount val="18"/>
                <c:pt idx="0">
                  <c:v>201.37</c:v>
                </c:pt>
                <c:pt idx="1">
                  <c:v>191.64</c:v>
                </c:pt>
                <c:pt idx="2">
                  <c:v>181.73</c:v>
                </c:pt>
                <c:pt idx="3">
                  <c:v>172.39</c:v>
                </c:pt>
                <c:pt idx="4">
                  <c:v>163.63999999999999</c:v>
                </c:pt>
                <c:pt idx="5">
                  <c:v>154.98000000000002</c:v>
                </c:pt>
                <c:pt idx="6">
                  <c:v>146.66999999999999</c:v>
                </c:pt>
                <c:pt idx="7">
                  <c:v>138.22999999999999</c:v>
                </c:pt>
                <c:pt idx="8">
                  <c:v>129.85</c:v>
                </c:pt>
                <c:pt idx="9">
                  <c:v>121.44</c:v>
                </c:pt>
                <c:pt idx="10">
                  <c:v>113.24</c:v>
                </c:pt>
                <c:pt idx="11">
                  <c:v>104.31</c:v>
                </c:pt>
                <c:pt idx="12">
                  <c:v>94.789999999999992</c:v>
                </c:pt>
                <c:pt idx="13">
                  <c:v>85.28</c:v>
                </c:pt>
                <c:pt idx="14">
                  <c:v>75.06</c:v>
                </c:pt>
                <c:pt idx="15">
                  <c:v>63.260000000000005</c:v>
                </c:pt>
                <c:pt idx="16">
                  <c:v>52.68</c:v>
                </c:pt>
                <c:pt idx="17">
                  <c:v>38.299999999999997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7D-4396-B303-7483ABF0C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498864"/>
        <c:axId val="430134936"/>
      </c:scatterChart>
      <c:valAx>
        <c:axId val="5054988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</a:t>
                </a:r>
                <a:r>
                  <a:rPr lang="en-US" baseline="0"/>
                  <a:t> Discharge (m^3/s)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134936"/>
        <c:crosses val="autoZero"/>
        <c:crossBetween val="midCat"/>
      </c:valAx>
      <c:valAx>
        <c:axId val="4301349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 (m^2)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9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Depth (212.58)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1.8914479440070041E-2"/>
                  <c:y val="0.2954232283464566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0.2873x</a:t>
                    </a:r>
                    <a:r>
                      <a:rPr lang="en-US" sz="1200" baseline="30000"/>
                      <a:t>0.5103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0.9959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1289'!$N$6:$N$18</c:f>
              <c:numCache>
                <c:formatCode>General</c:formatCode>
                <c:ptCount val="13"/>
                <c:pt idx="0">
                  <c:v>125</c:v>
                </c:pt>
                <c:pt idx="1">
                  <c:v>120</c:v>
                </c:pt>
                <c:pt idx="2">
                  <c:v>110</c:v>
                </c:pt>
                <c:pt idx="3">
                  <c:v>100</c:v>
                </c:pt>
                <c:pt idx="4">
                  <c:v>90</c:v>
                </c:pt>
                <c:pt idx="5">
                  <c:v>80</c:v>
                </c:pt>
                <c:pt idx="6">
                  <c:v>70</c:v>
                </c:pt>
                <c:pt idx="7">
                  <c:v>60</c:v>
                </c:pt>
                <c:pt idx="8">
                  <c:v>50</c:v>
                </c:pt>
                <c:pt idx="9">
                  <c:v>40</c:v>
                </c:pt>
                <c:pt idx="10">
                  <c:v>30</c:v>
                </c:pt>
                <c:pt idx="11">
                  <c:v>20</c:v>
                </c:pt>
                <c:pt idx="12">
                  <c:v>10</c:v>
                </c:pt>
              </c:numCache>
            </c:numRef>
          </c:xVal>
          <c:yVal>
            <c:numRef>
              <c:f>'Collected Data Site 1289'!$Q$6:$Q$18</c:f>
              <c:numCache>
                <c:formatCode>General</c:formatCode>
                <c:ptCount val="13"/>
                <c:pt idx="0">
                  <c:v>3.46</c:v>
                </c:pt>
                <c:pt idx="1">
                  <c:v>3.37</c:v>
                </c:pt>
                <c:pt idx="2">
                  <c:v>3.22</c:v>
                </c:pt>
                <c:pt idx="3">
                  <c:v>3.06</c:v>
                </c:pt>
                <c:pt idx="4">
                  <c:v>2.89</c:v>
                </c:pt>
                <c:pt idx="5">
                  <c:v>2.67</c:v>
                </c:pt>
                <c:pt idx="6">
                  <c:v>2.4700000000000002</c:v>
                </c:pt>
                <c:pt idx="7">
                  <c:v>2.2599999999999998</c:v>
                </c:pt>
                <c:pt idx="8">
                  <c:v>2.06</c:v>
                </c:pt>
                <c:pt idx="9">
                  <c:v>1.83</c:v>
                </c:pt>
                <c:pt idx="10">
                  <c:v>1.6</c:v>
                </c:pt>
                <c:pt idx="11">
                  <c:v>1.31</c:v>
                </c:pt>
                <c:pt idx="12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BF-4442-8888-47EFC62EE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269520"/>
        <c:axId val="545269192"/>
      </c:scatterChart>
      <c:valAx>
        <c:axId val="5452695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269192"/>
        <c:crosses val="autoZero"/>
        <c:crossBetween val="midCat"/>
      </c:valAx>
      <c:valAx>
        <c:axId val="5452691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26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Area (1178.01)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8.4678477690288707E-3"/>
                  <c:y val="0.1809649314668999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16.171x</a:t>
                    </a:r>
                    <a:r>
                      <a:rPr lang="en-US" sz="1200" baseline="30000"/>
                      <a:t>0.5496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0.9967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1289'!$Z$26:$Z$47</c:f>
              <c:numCache>
                <c:formatCode>General</c:formatCode>
                <c:ptCount val="22"/>
                <c:pt idx="0">
                  <c:v>110</c:v>
                </c:pt>
                <c:pt idx="1">
                  <c:v>105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85</c:v>
                </c:pt>
                <c:pt idx="6">
                  <c:v>80</c:v>
                </c:pt>
                <c:pt idx="7">
                  <c:v>75</c:v>
                </c:pt>
                <c:pt idx="8">
                  <c:v>70</c:v>
                </c:pt>
                <c:pt idx="9">
                  <c:v>65</c:v>
                </c:pt>
                <c:pt idx="10">
                  <c:v>60</c:v>
                </c:pt>
                <c:pt idx="11">
                  <c:v>55</c:v>
                </c:pt>
                <c:pt idx="12">
                  <c:v>50</c:v>
                </c:pt>
                <c:pt idx="13">
                  <c:v>45</c:v>
                </c:pt>
                <c:pt idx="14">
                  <c:v>40</c:v>
                </c:pt>
                <c:pt idx="15">
                  <c:v>35</c:v>
                </c:pt>
                <c:pt idx="16">
                  <c:v>30</c:v>
                </c:pt>
                <c:pt idx="17">
                  <c:v>25</c:v>
                </c:pt>
                <c:pt idx="18">
                  <c:v>20</c:v>
                </c:pt>
                <c:pt idx="19">
                  <c:v>15</c:v>
                </c:pt>
                <c:pt idx="20">
                  <c:v>10</c:v>
                </c:pt>
                <c:pt idx="21">
                  <c:v>5</c:v>
                </c:pt>
              </c:numCache>
            </c:numRef>
          </c:xVal>
          <c:yVal>
            <c:numRef>
              <c:f>'Collected Data Site 1289'!$AA$26:$AA$47</c:f>
              <c:numCache>
                <c:formatCode>General</c:formatCode>
                <c:ptCount val="22"/>
                <c:pt idx="0">
                  <c:v>221.39</c:v>
                </c:pt>
                <c:pt idx="1">
                  <c:v>215.56</c:v>
                </c:pt>
                <c:pt idx="2">
                  <c:v>209.55</c:v>
                </c:pt>
                <c:pt idx="3">
                  <c:v>203.13</c:v>
                </c:pt>
                <c:pt idx="4">
                  <c:v>196.4</c:v>
                </c:pt>
                <c:pt idx="5">
                  <c:v>188.58</c:v>
                </c:pt>
                <c:pt idx="6">
                  <c:v>180.75</c:v>
                </c:pt>
                <c:pt idx="7">
                  <c:v>172.47</c:v>
                </c:pt>
                <c:pt idx="8">
                  <c:v>164.47</c:v>
                </c:pt>
                <c:pt idx="9">
                  <c:v>157.91999999999999</c:v>
                </c:pt>
                <c:pt idx="10">
                  <c:v>150.84</c:v>
                </c:pt>
                <c:pt idx="11">
                  <c:v>142.99</c:v>
                </c:pt>
                <c:pt idx="12">
                  <c:v>135.87</c:v>
                </c:pt>
                <c:pt idx="13">
                  <c:v>127.91</c:v>
                </c:pt>
                <c:pt idx="14">
                  <c:v>119.77</c:v>
                </c:pt>
                <c:pt idx="15">
                  <c:v>111.54</c:v>
                </c:pt>
                <c:pt idx="16">
                  <c:v>102.98</c:v>
                </c:pt>
                <c:pt idx="17">
                  <c:v>92.81</c:v>
                </c:pt>
                <c:pt idx="18">
                  <c:v>82.19</c:v>
                </c:pt>
                <c:pt idx="19">
                  <c:v>70.77</c:v>
                </c:pt>
                <c:pt idx="20">
                  <c:v>57.89</c:v>
                </c:pt>
                <c:pt idx="21">
                  <c:v>41.89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94-470B-927F-20087F9EF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244592"/>
        <c:axId val="552255416"/>
      </c:scatterChart>
      <c:valAx>
        <c:axId val="5522445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</a:t>
                </a:r>
                <a:r>
                  <a:rPr lang="en-US" baseline="0"/>
                  <a:t> Discharge (m^3/s)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55416"/>
        <c:crosses val="autoZero"/>
        <c:crossBetween val="midCat"/>
      </c:valAx>
      <c:valAx>
        <c:axId val="552255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 (m^2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4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Velocity (40.14)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1.746959755030621E-2"/>
                  <c:y val="0.2664289880431612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0.1242x</a:t>
                    </a:r>
                    <a:r>
                      <a:rPr lang="en-US" sz="1200" baseline="30000"/>
                      <a:t>0.3475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0.9965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1289'!$B$6:$B$17</c:f>
              <c:numCache>
                <c:formatCode>General</c:formatCode>
                <c:ptCount val="12"/>
                <c:pt idx="0">
                  <c:v>120</c:v>
                </c:pt>
                <c:pt idx="1">
                  <c:v>110</c:v>
                </c:pt>
                <c:pt idx="2">
                  <c:v>100</c:v>
                </c:pt>
                <c:pt idx="3">
                  <c:v>90</c:v>
                </c:pt>
                <c:pt idx="4">
                  <c:v>80</c:v>
                </c:pt>
                <c:pt idx="5">
                  <c:v>70</c:v>
                </c:pt>
                <c:pt idx="6">
                  <c:v>60</c:v>
                </c:pt>
                <c:pt idx="7">
                  <c:v>50</c:v>
                </c:pt>
                <c:pt idx="8">
                  <c:v>40</c:v>
                </c:pt>
                <c:pt idx="9">
                  <c:v>30</c:v>
                </c:pt>
                <c:pt idx="10">
                  <c:v>20</c:v>
                </c:pt>
                <c:pt idx="11">
                  <c:v>10</c:v>
                </c:pt>
              </c:numCache>
            </c:numRef>
          </c:xVal>
          <c:yVal>
            <c:numRef>
              <c:f>'Collected Data Site 1289'!$F$6:$F$17</c:f>
              <c:numCache>
                <c:formatCode>General</c:formatCode>
                <c:ptCount val="12"/>
                <c:pt idx="0">
                  <c:v>0.64377682403433478</c:v>
                </c:pt>
                <c:pt idx="1">
                  <c:v>0.63134936578086442</c:v>
                </c:pt>
                <c:pt idx="2">
                  <c:v>0.60602387734076724</c:v>
                </c:pt>
                <c:pt idx="3">
                  <c:v>0.5841879787095936</c:v>
                </c:pt>
                <c:pt idx="4">
                  <c:v>0.57155104665285417</c:v>
                </c:pt>
                <c:pt idx="5">
                  <c:v>0.55344718532574322</c:v>
                </c:pt>
                <c:pt idx="6">
                  <c:v>0.52562417871222078</c:v>
                </c:pt>
                <c:pt idx="7">
                  <c:v>0.49217442661679295</c:v>
                </c:pt>
                <c:pt idx="8">
                  <c:v>0.4546487838145033</c:v>
                </c:pt>
                <c:pt idx="9">
                  <c:v>0.40633888663145062</c:v>
                </c:pt>
                <c:pt idx="10">
                  <c:v>0.35174111853675694</c:v>
                </c:pt>
                <c:pt idx="11">
                  <c:v>0.27041644131963227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ED-4665-8136-27AA627E2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504768"/>
        <c:axId val="505502800"/>
      </c:scatterChart>
      <c:valAx>
        <c:axId val="505504768"/>
        <c:scaling>
          <c:logBase val="10"/>
          <c:orientation val="minMax"/>
          <c:max val="20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02800"/>
        <c:crosses val="autoZero"/>
        <c:crossBetween val="midCat"/>
      </c:valAx>
      <c:valAx>
        <c:axId val="505502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0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Area (107.58)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3.0955818022747159E-3"/>
                  <c:y val="0.1803127734033245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9.4392x</a:t>
                    </a:r>
                    <a:r>
                      <a:rPr lang="en-US" sz="1200" baseline="30000"/>
                      <a:t>0.686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0.999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1289'!$H$6:$H$18</c:f>
              <c:numCache>
                <c:formatCode>General</c:formatCode>
                <c:ptCount val="13"/>
                <c:pt idx="0">
                  <c:v>65</c:v>
                </c:pt>
                <c:pt idx="1">
                  <c:v>60</c:v>
                </c:pt>
                <c:pt idx="2">
                  <c:v>55</c:v>
                </c:pt>
                <c:pt idx="3">
                  <c:v>50</c:v>
                </c:pt>
                <c:pt idx="4">
                  <c:v>45</c:v>
                </c:pt>
                <c:pt idx="5">
                  <c:v>40</c:v>
                </c:pt>
                <c:pt idx="6">
                  <c:v>35</c:v>
                </c:pt>
                <c:pt idx="7">
                  <c:v>30</c:v>
                </c:pt>
                <c:pt idx="8">
                  <c:v>25</c:v>
                </c:pt>
                <c:pt idx="9">
                  <c:v>20</c:v>
                </c:pt>
                <c:pt idx="10">
                  <c:v>15</c:v>
                </c:pt>
                <c:pt idx="11">
                  <c:v>10</c:v>
                </c:pt>
                <c:pt idx="12">
                  <c:v>5</c:v>
                </c:pt>
              </c:numCache>
            </c:numRef>
          </c:xVal>
          <c:yVal>
            <c:numRef>
              <c:f>'Collected Data Site 1289'!$I$6:$I$18</c:f>
              <c:numCache>
                <c:formatCode>General</c:formatCode>
                <c:ptCount val="13"/>
                <c:pt idx="0">
                  <c:v>169.64</c:v>
                </c:pt>
                <c:pt idx="1">
                  <c:v>158.55000000000001</c:v>
                </c:pt>
                <c:pt idx="2">
                  <c:v>148.07</c:v>
                </c:pt>
                <c:pt idx="3">
                  <c:v>139.17000000000002</c:v>
                </c:pt>
                <c:pt idx="4">
                  <c:v>128.44999999999999</c:v>
                </c:pt>
                <c:pt idx="5">
                  <c:v>117.86999999999999</c:v>
                </c:pt>
                <c:pt idx="6">
                  <c:v>107.4</c:v>
                </c:pt>
                <c:pt idx="7">
                  <c:v>96.36</c:v>
                </c:pt>
                <c:pt idx="8">
                  <c:v>84.68</c:v>
                </c:pt>
                <c:pt idx="9">
                  <c:v>72.11</c:v>
                </c:pt>
                <c:pt idx="10">
                  <c:v>59.42</c:v>
                </c:pt>
                <c:pt idx="11">
                  <c:v>45.379999999999995</c:v>
                </c:pt>
                <c:pt idx="12">
                  <c:v>29.53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94-4C92-8B90-CE3C83C6F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315152"/>
        <c:axId val="516316464"/>
      </c:scatterChart>
      <c:valAx>
        <c:axId val="516315152"/>
        <c:scaling>
          <c:logBase val="10"/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</a:t>
                </a:r>
                <a:r>
                  <a:rPr lang="en-US" baseline="0"/>
                  <a:t> Discharge (m^3/s)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316464"/>
        <c:crosses val="autoZero"/>
        <c:crossBetween val="midCat"/>
      </c:valAx>
      <c:valAx>
        <c:axId val="5163164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 (m^2)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31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Velocity (212.58)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3.7650481189851266E-2"/>
                  <c:y val="0.288419364246135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0.1552x</a:t>
                    </a:r>
                    <a:r>
                      <a:rPr lang="en-US" sz="1200" baseline="30000"/>
                      <a:t>0.3183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0.9901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1289'!$N$6:$N$18</c:f>
              <c:numCache>
                <c:formatCode>General</c:formatCode>
                <c:ptCount val="13"/>
                <c:pt idx="0">
                  <c:v>125</c:v>
                </c:pt>
                <c:pt idx="1">
                  <c:v>120</c:v>
                </c:pt>
                <c:pt idx="2">
                  <c:v>110</c:v>
                </c:pt>
                <c:pt idx="3">
                  <c:v>100</c:v>
                </c:pt>
                <c:pt idx="4">
                  <c:v>90</c:v>
                </c:pt>
                <c:pt idx="5">
                  <c:v>80</c:v>
                </c:pt>
                <c:pt idx="6">
                  <c:v>70</c:v>
                </c:pt>
                <c:pt idx="7">
                  <c:v>60</c:v>
                </c:pt>
                <c:pt idx="8">
                  <c:v>50</c:v>
                </c:pt>
                <c:pt idx="9">
                  <c:v>40</c:v>
                </c:pt>
                <c:pt idx="10">
                  <c:v>30</c:v>
                </c:pt>
                <c:pt idx="11">
                  <c:v>20</c:v>
                </c:pt>
                <c:pt idx="12">
                  <c:v>10</c:v>
                </c:pt>
              </c:numCache>
            </c:numRef>
          </c:xVal>
          <c:yVal>
            <c:numRef>
              <c:f>'Collected Data Site 1289'!$R$6:$R$18</c:f>
              <c:numCache>
                <c:formatCode>General</c:formatCode>
                <c:ptCount val="13"/>
                <c:pt idx="0">
                  <c:v>0.70165590794274491</c:v>
                </c:pt>
                <c:pt idx="1">
                  <c:v>0.69704626644593537</c:v>
                </c:pt>
                <c:pt idx="2">
                  <c:v>0.68844661409437979</c:v>
                </c:pt>
                <c:pt idx="3">
                  <c:v>0.66392245385738946</c:v>
                </c:pt>
                <c:pt idx="4">
                  <c:v>0.6397043144502097</c:v>
                </c:pt>
                <c:pt idx="5">
                  <c:v>0.62843676355066769</c:v>
                </c:pt>
                <c:pt idx="6">
                  <c:v>0.61403508771929827</c:v>
                </c:pt>
                <c:pt idx="7">
                  <c:v>0.59026069847515983</c:v>
                </c:pt>
                <c:pt idx="8">
                  <c:v>0.55364854390432949</c:v>
                </c:pt>
                <c:pt idx="9">
                  <c:v>0.51639555899819267</c:v>
                </c:pt>
                <c:pt idx="10">
                  <c:v>0.46432440798637981</c:v>
                </c:pt>
                <c:pt idx="11">
                  <c:v>0.40543279951348066</c:v>
                </c:pt>
                <c:pt idx="12">
                  <c:v>0.30883261272390361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FD-47D5-86E4-6C5B87A26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269520"/>
        <c:axId val="545269192"/>
      </c:scatterChart>
      <c:valAx>
        <c:axId val="5452695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269192"/>
        <c:crosses val="autoZero"/>
        <c:crossBetween val="midCat"/>
      </c:valAx>
      <c:valAx>
        <c:axId val="5452691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26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Velocity (326.19)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1.0622484689413823E-2"/>
                  <c:y val="0.2256576261300670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0.1317x</a:t>
                    </a:r>
                    <a:r>
                      <a:rPr lang="en-US" sz="1200" baseline="30000"/>
                      <a:t>0.3243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0.9601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1289'!$T$6:$T$16</c:f>
              <c:numCache>
                <c:formatCode>General</c:formatCode>
                <c:ptCount val="11"/>
                <c:pt idx="0">
                  <c:v>110</c:v>
                </c:pt>
                <c:pt idx="1">
                  <c:v>100</c:v>
                </c:pt>
                <c:pt idx="2">
                  <c:v>90</c:v>
                </c:pt>
                <c:pt idx="3">
                  <c:v>80</c:v>
                </c:pt>
                <c:pt idx="4">
                  <c:v>70</c:v>
                </c:pt>
                <c:pt idx="5">
                  <c:v>60</c:v>
                </c:pt>
                <c:pt idx="6">
                  <c:v>50</c:v>
                </c:pt>
                <c:pt idx="7">
                  <c:v>40</c:v>
                </c:pt>
                <c:pt idx="8">
                  <c:v>30</c:v>
                </c:pt>
                <c:pt idx="9">
                  <c:v>20</c:v>
                </c:pt>
                <c:pt idx="10">
                  <c:v>10</c:v>
                </c:pt>
              </c:numCache>
            </c:numRef>
          </c:xVal>
          <c:yVal>
            <c:numRef>
              <c:f>'Collected Data Site 1289'!$X$6:$X$16</c:f>
              <c:numCache>
                <c:formatCode>General</c:formatCode>
                <c:ptCount val="11"/>
                <c:pt idx="0">
                  <c:v>0.55991041433370659</c:v>
                </c:pt>
                <c:pt idx="1">
                  <c:v>0.55604982206405695</c:v>
                </c:pt>
                <c:pt idx="2">
                  <c:v>0.54821221904123774</c:v>
                </c:pt>
                <c:pt idx="3">
                  <c:v>0.55279159756771701</c:v>
                </c:pt>
                <c:pt idx="4">
                  <c:v>0.54975261132490383</c:v>
                </c:pt>
                <c:pt idx="5">
                  <c:v>0.52392595179881241</c:v>
                </c:pt>
                <c:pt idx="6">
                  <c:v>0.4923682914820286</c:v>
                </c:pt>
                <c:pt idx="7">
                  <c:v>0.45387495744922274</c:v>
                </c:pt>
                <c:pt idx="8">
                  <c:v>0.40485829959514175</c:v>
                </c:pt>
                <c:pt idx="9">
                  <c:v>0.34849276877504792</c:v>
                </c:pt>
                <c:pt idx="10">
                  <c:v>0.26041666666666669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70-42D0-BA68-AC4FEE29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937952"/>
        <c:axId val="548934016"/>
      </c:scatterChart>
      <c:valAx>
        <c:axId val="548937952"/>
        <c:scaling>
          <c:logBase val="10"/>
          <c:orientation val="minMax"/>
          <c:max val="20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</a:t>
                </a:r>
                <a:r>
                  <a:rPr lang="en-US" baseline="0"/>
                  <a:t> (m^3/s)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934016"/>
        <c:crosses val="autoZero"/>
        <c:crossBetween val="midCat"/>
      </c:valAx>
      <c:valAx>
        <c:axId val="5489340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93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Velocity (484.68)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1.754527559055118E-2"/>
                  <c:y val="0.2141232866724992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0.1111x</a:t>
                    </a:r>
                    <a:r>
                      <a:rPr lang="en-US" sz="1200" baseline="30000"/>
                      <a:t>0.2949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0.9705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1289'!$Z$6:$Z$18</c:f>
              <c:numCache>
                <c:formatCode>General</c:formatCode>
                <c:ptCount val="13"/>
                <c:pt idx="0">
                  <c:v>130</c:v>
                </c:pt>
                <c:pt idx="1">
                  <c:v>120</c:v>
                </c:pt>
                <c:pt idx="2">
                  <c:v>110</c:v>
                </c:pt>
                <c:pt idx="3">
                  <c:v>100</c:v>
                </c:pt>
                <c:pt idx="4">
                  <c:v>90</c:v>
                </c:pt>
                <c:pt idx="5">
                  <c:v>80</c:v>
                </c:pt>
                <c:pt idx="6">
                  <c:v>70</c:v>
                </c:pt>
                <c:pt idx="7">
                  <c:v>60</c:v>
                </c:pt>
                <c:pt idx="8">
                  <c:v>50</c:v>
                </c:pt>
                <c:pt idx="9">
                  <c:v>40</c:v>
                </c:pt>
                <c:pt idx="10">
                  <c:v>30</c:v>
                </c:pt>
                <c:pt idx="11">
                  <c:v>20</c:v>
                </c:pt>
                <c:pt idx="12">
                  <c:v>10</c:v>
                </c:pt>
              </c:numCache>
            </c:numRef>
          </c:xVal>
          <c:yVal>
            <c:numRef>
              <c:f>'Collected Data Site 1289'!$AD$6:$AD$18</c:f>
              <c:numCache>
                <c:formatCode>General</c:formatCode>
                <c:ptCount val="13"/>
                <c:pt idx="0">
                  <c:v>0.44468769241294387</c:v>
                </c:pt>
                <c:pt idx="1">
                  <c:v>0.43703110204676238</c:v>
                </c:pt>
                <c:pt idx="2">
                  <c:v>0.43471387922858046</c:v>
                </c:pt>
                <c:pt idx="3">
                  <c:v>0.42294028083234647</c:v>
                </c:pt>
                <c:pt idx="4">
                  <c:v>0.414097727063587</c:v>
                </c:pt>
                <c:pt idx="5">
                  <c:v>0.40926996470046556</c:v>
                </c:pt>
                <c:pt idx="6">
                  <c:v>0.40499884286044902</c:v>
                </c:pt>
                <c:pt idx="7">
                  <c:v>0.39080310037126292</c:v>
                </c:pt>
                <c:pt idx="8">
                  <c:v>0.37094739965872842</c:v>
                </c:pt>
                <c:pt idx="9">
                  <c:v>0.34188034188034189</c:v>
                </c:pt>
                <c:pt idx="10">
                  <c:v>0.30791337370419786</c:v>
                </c:pt>
                <c:pt idx="11">
                  <c:v>0.26928773394371885</c:v>
                </c:pt>
                <c:pt idx="12">
                  <c:v>0.20445716622367616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0F-451A-AF31-BCC8DF348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286944"/>
        <c:axId val="516288912"/>
      </c:scatterChart>
      <c:valAx>
        <c:axId val="516286944"/>
        <c:scaling>
          <c:logBase val="10"/>
          <c:orientation val="minMax"/>
          <c:max val="20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88912"/>
        <c:crosses val="autoZero"/>
        <c:crossBetween val="midCat"/>
      </c:valAx>
      <c:valAx>
        <c:axId val="5162889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8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Velocity (631.89)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6.6461723534558176E-2"/>
                  <c:y val="0.1760713764946048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0.0726x</a:t>
                    </a:r>
                    <a:r>
                      <a:rPr lang="en-US" sz="1200" baseline="30000"/>
                      <a:t>0.4186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0.9916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1289'!$B$26:$B$45</c:f>
              <c:numCache>
                <c:formatCode>General</c:formatCode>
                <c:ptCount val="20"/>
                <c:pt idx="0">
                  <c:v>40</c:v>
                </c:pt>
                <c:pt idx="1">
                  <c:v>38</c:v>
                </c:pt>
                <c:pt idx="2">
                  <c:v>36</c:v>
                </c:pt>
                <c:pt idx="3">
                  <c:v>34</c:v>
                </c:pt>
                <c:pt idx="4">
                  <c:v>32</c:v>
                </c:pt>
                <c:pt idx="5">
                  <c:v>30</c:v>
                </c:pt>
                <c:pt idx="6">
                  <c:v>28</c:v>
                </c:pt>
                <c:pt idx="7">
                  <c:v>26</c:v>
                </c:pt>
                <c:pt idx="8">
                  <c:v>24</c:v>
                </c:pt>
                <c:pt idx="9">
                  <c:v>22</c:v>
                </c:pt>
                <c:pt idx="10">
                  <c:v>20</c:v>
                </c:pt>
                <c:pt idx="11">
                  <c:v>18</c:v>
                </c:pt>
                <c:pt idx="12">
                  <c:v>16</c:v>
                </c:pt>
                <c:pt idx="13">
                  <c:v>14</c:v>
                </c:pt>
                <c:pt idx="14">
                  <c:v>12</c:v>
                </c:pt>
                <c:pt idx="15">
                  <c:v>10</c:v>
                </c:pt>
                <c:pt idx="16">
                  <c:v>8</c:v>
                </c:pt>
                <c:pt idx="17">
                  <c:v>6</c:v>
                </c:pt>
                <c:pt idx="18">
                  <c:v>4</c:v>
                </c:pt>
                <c:pt idx="19">
                  <c:v>2</c:v>
                </c:pt>
              </c:numCache>
            </c:numRef>
          </c:xVal>
          <c:yVal>
            <c:numRef>
              <c:f>'Collected Data Site 1289'!$F$26:$F$45</c:f>
              <c:numCache>
                <c:formatCode>General</c:formatCode>
                <c:ptCount val="20"/>
                <c:pt idx="0">
                  <c:v>0.32570637570230437</c:v>
                </c:pt>
                <c:pt idx="1">
                  <c:v>0.31975765735442613</c:v>
                </c:pt>
                <c:pt idx="2">
                  <c:v>0.31452035645640397</c:v>
                </c:pt>
                <c:pt idx="3">
                  <c:v>0.31013408738483994</c:v>
                </c:pt>
                <c:pt idx="4">
                  <c:v>0.30569354222392048</c:v>
                </c:pt>
                <c:pt idx="5">
                  <c:v>0.2972062611452348</c:v>
                </c:pt>
                <c:pt idx="6">
                  <c:v>0.29285639577450057</c:v>
                </c:pt>
                <c:pt idx="7">
                  <c:v>0.28381181093767055</c:v>
                </c:pt>
                <c:pt idx="8">
                  <c:v>0.2794597112249651</c:v>
                </c:pt>
                <c:pt idx="9">
                  <c:v>0.26901442895573491</c:v>
                </c:pt>
                <c:pt idx="10">
                  <c:v>0.26246719160104987</c:v>
                </c:pt>
                <c:pt idx="11">
                  <c:v>0.25125628140703515</c:v>
                </c:pt>
                <c:pt idx="12">
                  <c:v>0.24031240612796637</c:v>
                </c:pt>
                <c:pt idx="13">
                  <c:v>0.22617124394184165</c:v>
                </c:pt>
                <c:pt idx="14">
                  <c:v>0.21417097983223274</c:v>
                </c:pt>
                <c:pt idx="15">
                  <c:v>0.1967729240456513</c:v>
                </c:pt>
                <c:pt idx="16">
                  <c:v>0.17628911414720139</c:v>
                </c:pt>
                <c:pt idx="17">
                  <c:v>0.15471892728210418</c:v>
                </c:pt>
                <c:pt idx="18">
                  <c:v>0.12775471095496646</c:v>
                </c:pt>
                <c:pt idx="19">
                  <c:v>9.0497737556561084E-2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EE-4CFD-B613-30295134B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447872"/>
        <c:axId val="548402696"/>
      </c:scatterChart>
      <c:valAx>
        <c:axId val="3404478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402696"/>
        <c:crosses val="autoZero"/>
        <c:crossBetween val="midCat"/>
      </c:valAx>
      <c:valAx>
        <c:axId val="548402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44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Velocity (782.85)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6.2104111986001749E-2"/>
                  <c:y val="-8.15598571011956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0.0796x</a:t>
                    </a:r>
                    <a:r>
                      <a:rPr lang="en-US" sz="1200" baseline="30000"/>
                      <a:t>0.3313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0.9666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1289'!$H$26:$H$41</c:f>
              <c:numCache>
                <c:formatCode>General</c:formatCode>
                <c:ptCount val="16"/>
                <c:pt idx="0">
                  <c:v>80</c:v>
                </c:pt>
                <c:pt idx="1">
                  <c:v>75</c:v>
                </c:pt>
                <c:pt idx="2">
                  <c:v>70</c:v>
                </c:pt>
                <c:pt idx="3">
                  <c:v>65</c:v>
                </c:pt>
                <c:pt idx="4">
                  <c:v>60</c:v>
                </c:pt>
                <c:pt idx="5">
                  <c:v>55</c:v>
                </c:pt>
                <c:pt idx="6">
                  <c:v>50</c:v>
                </c:pt>
                <c:pt idx="7">
                  <c:v>45</c:v>
                </c:pt>
                <c:pt idx="8">
                  <c:v>40</c:v>
                </c:pt>
                <c:pt idx="9">
                  <c:v>35</c:v>
                </c:pt>
                <c:pt idx="10">
                  <c:v>30</c:v>
                </c:pt>
                <c:pt idx="11">
                  <c:v>25</c:v>
                </c:pt>
                <c:pt idx="12">
                  <c:v>20</c:v>
                </c:pt>
                <c:pt idx="13">
                  <c:v>15</c:v>
                </c:pt>
                <c:pt idx="14">
                  <c:v>10</c:v>
                </c:pt>
                <c:pt idx="15">
                  <c:v>5</c:v>
                </c:pt>
              </c:numCache>
            </c:numRef>
          </c:xVal>
          <c:yVal>
            <c:numRef>
              <c:f>'Collected Data Site 1289'!$L$26:$L$41</c:f>
              <c:numCache>
                <c:formatCode>General</c:formatCode>
                <c:ptCount val="16"/>
                <c:pt idx="0">
                  <c:v>0.31702001188825046</c:v>
                </c:pt>
                <c:pt idx="1">
                  <c:v>0.31668285267913693</c:v>
                </c:pt>
                <c:pt idx="2">
                  <c:v>0.31363412339262514</c:v>
                </c:pt>
                <c:pt idx="3">
                  <c:v>0.30993705893572382</c:v>
                </c:pt>
                <c:pt idx="4">
                  <c:v>0.30525030525030522</c:v>
                </c:pt>
                <c:pt idx="5">
                  <c:v>0.29994001199760045</c:v>
                </c:pt>
                <c:pt idx="6">
                  <c:v>0.29372026082359165</c:v>
                </c:pt>
                <c:pt idx="7">
                  <c:v>0.28706302628221486</c:v>
                </c:pt>
                <c:pt idx="8">
                  <c:v>0.27882336539802033</c:v>
                </c:pt>
                <c:pt idx="9">
                  <c:v>0.27064645839777296</c:v>
                </c:pt>
                <c:pt idx="10">
                  <c:v>0.2612330198537095</c:v>
                </c:pt>
                <c:pt idx="11">
                  <c:v>0.24536264599077437</c:v>
                </c:pt>
                <c:pt idx="12">
                  <c:v>0.22660321776569228</c:v>
                </c:pt>
                <c:pt idx="13">
                  <c:v>0.20158580835909154</c:v>
                </c:pt>
                <c:pt idx="14">
                  <c:v>0.16931933626820181</c:v>
                </c:pt>
                <c:pt idx="15">
                  <c:v>0.12207031250000001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BD-469B-AE22-6088A47C6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262960"/>
        <c:axId val="552262632"/>
      </c:scatterChart>
      <c:valAx>
        <c:axId val="5522629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Disharge (m^3/s)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62632"/>
        <c:crosses val="autoZero"/>
        <c:crossBetween val="midCat"/>
      </c:valAx>
      <c:valAx>
        <c:axId val="5522626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6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Velocity (950.61)</a:t>
            </a:r>
          </a:p>
        </c:rich>
      </c:tx>
      <c:layout>
        <c:manualLayout>
          <c:xMode val="edge"/>
          <c:yMode val="edge"/>
          <c:x val="0.2491526684164479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1.3400262467191601E-2"/>
                  <c:y val="0.2105059784193642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0.1079x</a:t>
                    </a:r>
                    <a:r>
                      <a:rPr lang="en-US" sz="1200" baseline="30000"/>
                      <a:t>0.3514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0.963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1289'!$N$26:$N$36</c:f>
              <c:numCache>
                <c:formatCode>General</c:formatCode>
                <c:ptCount val="11"/>
                <c:pt idx="0">
                  <c:v>110</c:v>
                </c:pt>
                <c:pt idx="1">
                  <c:v>100</c:v>
                </c:pt>
                <c:pt idx="2">
                  <c:v>90</c:v>
                </c:pt>
                <c:pt idx="3">
                  <c:v>80</c:v>
                </c:pt>
                <c:pt idx="4">
                  <c:v>70</c:v>
                </c:pt>
                <c:pt idx="5">
                  <c:v>60</c:v>
                </c:pt>
                <c:pt idx="6">
                  <c:v>50</c:v>
                </c:pt>
                <c:pt idx="7">
                  <c:v>40</c:v>
                </c:pt>
                <c:pt idx="8">
                  <c:v>30</c:v>
                </c:pt>
                <c:pt idx="9">
                  <c:v>20</c:v>
                </c:pt>
                <c:pt idx="10">
                  <c:v>10</c:v>
                </c:pt>
              </c:numCache>
            </c:numRef>
          </c:xVal>
          <c:yVal>
            <c:numRef>
              <c:f>'Collected Data Site 1289'!$R$26:$R$36</c:f>
              <c:numCache>
                <c:formatCode>General</c:formatCode>
                <c:ptCount val="11"/>
                <c:pt idx="0">
                  <c:v>0.52493438320209973</c:v>
                </c:pt>
                <c:pt idx="1">
                  <c:v>0.51490654446218009</c:v>
                </c:pt>
                <c:pt idx="2">
                  <c:v>0.5056747949207776</c:v>
                </c:pt>
                <c:pt idx="3">
                  <c:v>0.50482741212847859</c:v>
                </c:pt>
                <c:pt idx="4">
                  <c:v>0.49875311720698245</c:v>
                </c:pt>
                <c:pt idx="5">
                  <c:v>0.48192771084337349</c:v>
                </c:pt>
                <c:pt idx="6">
                  <c:v>0.45355587808418002</c:v>
                </c:pt>
                <c:pt idx="7">
                  <c:v>0.41386445938954991</c:v>
                </c:pt>
                <c:pt idx="8">
                  <c:v>0.36742192284139619</c:v>
                </c:pt>
                <c:pt idx="9">
                  <c:v>0.30959752321981426</c:v>
                </c:pt>
                <c:pt idx="10">
                  <c:v>0.22527596305474207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2D-470C-BF9D-32CCB974F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244920"/>
        <c:axId val="552245904"/>
      </c:scatterChart>
      <c:valAx>
        <c:axId val="552244920"/>
        <c:scaling>
          <c:logBase val="10"/>
          <c:orientation val="minMax"/>
          <c:max val="20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</a:t>
                </a:r>
                <a:r>
                  <a:rPr lang="en-US" baseline="0"/>
                  <a:t> Discharge (m^3/s)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45904"/>
        <c:crosses val="autoZero"/>
        <c:crossBetween val="midCat"/>
      </c:valAx>
      <c:valAx>
        <c:axId val="5522459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(m/s</a:t>
                </a:r>
                <a:r>
                  <a:rPr lang="en-US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44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Velocity (1089.41)</a:t>
            </a:r>
          </a:p>
        </c:rich>
      </c:tx>
      <c:layout>
        <c:manualLayout>
          <c:xMode val="edge"/>
          <c:yMode val="edge"/>
          <c:x val="0.2480415573053368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2709755030621173"/>
                  <c:y val="-2.820209973753280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0.0739x</a:t>
                    </a:r>
                    <a:r>
                      <a:rPr lang="en-US" sz="1200" baseline="30000"/>
                      <a:t>0.4158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0.9841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1289'!$T$26:$T$43</c:f>
              <c:numCache>
                <c:formatCode>General</c:formatCode>
                <c:ptCount val="18"/>
                <c:pt idx="0">
                  <c:v>90</c:v>
                </c:pt>
                <c:pt idx="1">
                  <c:v>85</c:v>
                </c:pt>
                <c:pt idx="2">
                  <c:v>80</c:v>
                </c:pt>
                <c:pt idx="3">
                  <c:v>75</c:v>
                </c:pt>
                <c:pt idx="4">
                  <c:v>70</c:v>
                </c:pt>
                <c:pt idx="5">
                  <c:v>65</c:v>
                </c:pt>
                <c:pt idx="6">
                  <c:v>60</c:v>
                </c:pt>
                <c:pt idx="7">
                  <c:v>55</c:v>
                </c:pt>
                <c:pt idx="8">
                  <c:v>50</c:v>
                </c:pt>
                <c:pt idx="9">
                  <c:v>45</c:v>
                </c:pt>
                <c:pt idx="10">
                  <c:v>40</c:v>
                </c:pt>
                <c:pt idx="11">
                  <c:v>35</c:v>
                </c:pt>
                <c:pt idx="12">
                  <c:v>30</c:v>
                </c:pt>
                <c:pt idx="13">
                  <c:v>25</c:v>
                </c:pt>
                <c:pt idx="14">
                  <c:v>20</c:v>
                </c:pt>
                <c:pt idx="15">
                  <c:v>15</c:v>
                </c:pt>
                <c:pt idx="16">
                  <c:v>10</c:v>
                </c:pt>
                <c:pt idx="17">
                  <c:v>5</c:v>
                </c:pt>
              </c:numCache>
            </c:numRef>
          </c:xVal>
          <c:yVal>
            <c:numRef>
              <c:f>'Collected Data Site 1289'!$X$26:$X$43</c:f>
              <c:numCache>
                <c:formatCode>General</c:formatCode>
                <c:ptCount val="18"/>
                <c:pt idx="0">
                  <c:v>0.44693847147042753</c:v>
                </c:pt>
                <c:pt idx="1">
                  <c:v>0.44353997077854312</c:v>
                </c:pt>
                <c:pt idx="2">
                  <c:v>0.4402135035492214</c:v>
                </c:pt>
                <c:pt idx="3">
                  <c:v>0.43506003828528339</c:v>
                </c:pt>
                <c:pt idx="4">
                  <c:v>0.42776827181618188</c:v>
                </c:pt>
                <c:pt idx="5">
                  <c:v>0.41940895599432182</c:v>
                </c:pt>
                <c:pt idx="6">
                  <c:v>0.40908161178155045</c:v>
                </c:pt>
                <c:pt idx="7">
                  <c:v>0.39788757867322583</c:v>
                </c:pt>
                <c:pt idx="8">
                  <c:v>0.38505968425105891</c:v>
                </c:pt>
                <c:pt idx="9">
                  <c:v>0.37055335968379449</c:v>
                </c:pt>
                <c:pt idx="10">
                  <c:v>0.35323207347227131</c:v>
                </c:pt>
                <c:pt idx="11">
                  <c:v>0.33553829930016299</c:v>
                </c:pt>
                <c:pt idx="12">
                  <c:v>0.31648908112670116</c:v>
                </c:pt>
                <c:pt idx="13">
                  <c:v>0.29315196998123827</c:v>
                </c:pt>
                <c:pt idx="14">
                  <c:v>0.2664535038635758</c:v>
                </c:pt>
                <c:pt idx="15">
                  <c:v>0.2371166613974075</c:v>
                </c:pt>
                <c:pt idx="16">
                  <c:v>0.18982536066818528</c:v>
                </c:pt>
                <c:pt idx="17">
                  <c:v>0.13054830287206268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F0-42E1-A8CE-6E18F2776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498864"/>
        <c:axId val="430134936"/>
      </c:scatterChart>
      <c:valAx>
        <c:axId val="5054988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</a:t>
                </a:r>
                <a:r>
                  <a:rPr lang="en-US" baseline="0"/>
                  <a:t> Discharge (m^3/s)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134936"/>
        <c:crosses val="autoZero"/>
        <c:crossBetween val="midCat"/>
      </c:valAx>
      <c:valAx>
        <c:axId val="4301349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9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Depth (326.19)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4.0261373578302714E-2"/>
                  <c:y val="0.2662900991542723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0.3175x</a:t>
                    </a:r>
                    <a:r>
                      <a:rPr lang="en-US" sz="1200" baseline="30000"/>
                      <a:t>0.49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0.9963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1289'!$T$6:$T$16</c:f>
              <c:numCache>
                <c:formatCode>General</c:formatCode>
                <c:ptCount val="11"/>
                <c:pt idx="0">
                  <c:v>110</c:v>
                </c:pt>
                <c:pt idx="1">
                  <c:v>100</c:v>
                </c:pt>
                <c:pt idx="2">
                  <c:v>90</c:v>
                </c:pt>
                <c:pt idx="3">
                  <c:v>80</c:v>
                </c:pt>
                <c:pt idx="4">
                  <c:v>70</c:v>
                </c:pt>
                <c:pt idx="5">
                  <c:v>60</c:v>
                </c:pt>
                <c:pt idx="6">
                  <c:v>50</c:v>
                </c:pt>
                <c:pt idx="7">
                  <c:v>40</c:v>
                </c:pt>
                <c:pt idx="8">
                  <c:v>30</c:v>
                </c:pt>
                <c:pt idx="9">
                  <c:v>20</c:v>
                </c:pt>
                <c:pt idx="10">
                  <c:v>10</c:v>
                </c:pt>
              </c:numCache>
            </c:numRef>
          </c:xVal>
          <c:yVal>
            <c:numRef>
              <c:f>'Collected Data Site 1289'!$W$6:$W$16</c:f>
              <c:numCache>
                <c:formatCode>General</c:formatCode>
                <c:ptCount val="11"/>
                <c:pt idx="0">
                  <c:v>3.25</c:v>
                </c:pt>
                <c:pt idx="1">
                  <c:v>3.1</c:v>
                </c:pt>
                <c:pt idx="2">
                  <c:v>2.94</c:v>
                </c:pt>
                <c:pt idx="3">
                  <c:v>2.71</c:v>
                </c:pt>
                <c:pt idx="4">
                  <c:v>2.52</c:v>
                </c:pt>
                <c:pt idx="5">
                  <c:v>2.31</c:v>
                </c:pt>
                <c:pt idx="6">
                  <c:v>2.11</c:v>
                </c:pt>
                <c:pt idx="7">
                  <c:v>1.9</c:v>
                </c:pt>
                <c:pt idx="8">
                  <c:v>1.65</c:v>
                </c:pt>
                <c:pt idx="9">
                  <c:v>1.36</c:v>
                </c:pt>
                <c:pt idx="10">
                  <c:v>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62-4AE9-81B9-8F4614BFE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937952"/>
        <c:axId val="548934016"/>
      </c:scatterChart>
      <c:valAx>
        <c:axId val="548937952"/>
        <c:scaling>
          <c:logBase val="10"/>
          <c:orientation val="minMax"/>
          <c:max val="20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</a:t>
                </a:r>
                <a:r>
                  <a:rPr lang="en-US" baseline="0"/>
                  <a:t> (m^3/s)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934016"/>
        <c:crosses val="autoZero"/>
        <c:crossBetween val="midCat"/>
      </c:valAx>
      <c:valAx>
        <c:axId val="5489340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93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Velocity (1178.01)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6735542432195974"/>
                  <c:y val="4.5501603966170891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0.0618x</a:t>
                    </a:r>
                    <a:r>
                      <a:rPr lang="en-US" sz="1200" baseline="30000"/>
                      <a:t>0.4504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0.9951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1289'!$Z$26:$Z$47</c:f>
              <c:numCache>
                <c:formatCode>General</c:formatCode>
                <c:ptCount val="22"/>
                <c:pt idx="0">
                  <c:v>110</c:v>
                </c:pt>
                <c:pt idx="1">
                  <c:v>105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85</c:v>
                </c:pt>
                <c:pt idx="6">
                  <c:v>80</c:v>
                </c:pt>
                <c:pt idx="7">
                  <c:v>75</c:v>
                </c:pt>
                <c:pt idx="8">
                  <c:v>70</c:v>
                </c:pt>
                <c:pt idx="9">
                  <c:v>65</c:v>
                </c:pt>
                <c:pt idx="10">
                  <c:v>60</c:v>
                </c:pt>
                <c:pt idx="11">
                  <c:v>55</c:v>
                </c:pt>
                <c:pt idx="12">
                  <c:v>50</c:v>
                </c:pt>
                <c:pt idx="13">
                  <c:v>45</c:v>
                </c:pt>
                <c:pt idx="14">
                  <c:v>40</c:v>
                </c:pt>
                <c:pt idx="15">
                  <c:v>35</c:v>
                </c:pt>
                <c:pt idx="16">
                  <c:v>30</c:v>
                </c:pt>
                <c:pt idx="17">
                  <c:v>25</c:v>
                </c:pt>
                <c:pt idx="18">
                  <c:v>20</c:v>
                </c:pt>
                <c:pt idx="19">
                  <c:v>15</c:v>
                </c:pt>
                <c:pt idx="20">
                  <c:v>10</c:v>
                </c:pt>
                <c:pt idx="21">
                  <c:v>5</c:v>
                </c:pt>
              </c:numCache>
            </c:numRef>
          </c:xVal>
          <c:yVal>
            <c:numRef>
              <c:f>'Collected Data Site 1289'!$AD$26:$AD$47</c:f>
              <c:numCache>
                <c:formatCode>General</c:formatCode>
                <c:ptCount val="22"/>
                <c:pt idx="0">
                  <c:v>0.49686074348434894</c:v>
                </c:pt>
                <c:pt idx="1">
                  <c:v>0.48710335869363519</c:v>
                </c:pt>
                <c:pt idx="2">
                  <c:v>0.47721307563827248</c:v>
                </c:pt>
                <c:pt idx="3">
                  <c:v>0.46768079554964803</c:v>
                </c:pt>
                <c:pt idx="4">
                  <c:v>0.45824847250509165</c:v>
                </c:pt>
                <c:pt idx="5">
                  <c:v>0.45073708770813448</c:v>
                </c:pt>
                <c:pt idx="6">
                  <c:v>0.44260027662517287</c:v>
                </c:pt>
                <c:pt idx="7">
                  <c:v>0.43485823621499392</c:v>
                </c:pt>
                <c:pt idx="8">
                  <c:v>0.42560953365355386</c:v>
                </c:pt>
                <c:pt idx="9">
                  <c:v>0.41160081053698078</c:v>
                </c:pt>
                <c:pt idx="10">
                  <c:v>0.39777247414478917</c:v>
                </c:pt>
                <c:pt idx="11">
                  <c:v>0.38464228267711026</c:v>
                </c:pt>
                <c:pt idx="12">
                  <c:v>0.3679988224037683</c:v>
                </c:pt>
                <c:pt idx="13">
                  <c:v>0.35180986631225081</c:v>
                </c:pt>
                <c:pt idx="14">
                  <c:v>0.33397344911079568</c:v>
                </c:pt>
                <c:pt idx="15">
                  <c:v>0.31378877532723687</c:v>
                </c:pt>
                <c:pt idx="16">
                  <c:v>0.2913187026607108</c:v>
                </c:pt>
                <c:pt idx="17">
                  <c:v>0.26936752505117983</c:v>
                </c:pt>
                <c:pt idx="18">
                  <c:v>0.24333860566978952</c:v>
                </c:pt>
                <c:pt idx="19">
                  <c:v>0.21195421788893601</c:v>
                </c:pt>
                <c:pt idx="20">
                  <c:v>0.17274140611504576</c:v>
                </c:pt>
                <c:pt idx="21">
                  <c:v>0.11936022917164001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AD-44BE-B38C-3A5097937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244592"/>
        <c:axId val="552255416"/>
      </c:scatterChart>
      <c:valAx>
        <c:axId val="5522445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</a:t>
                </a:r>
                <a:r>
                  <a:rPr lang="en-US" baseline="0"/>
                  <a:t> Discharge (m^3/s)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55416"/>
        <c:crosses val="autoZero"/>
        <c:crossBetween val="midCat"/>
      </c:valAx>
      <c:valAx>
        <c:axId val="552255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</a:t>
                </a:r>
                <a:r>
                  <a:rPr lang="en-US" baseline="0"/>
                  <a:t>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4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Depth (484.68)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6.5698162729658796E-2"/>
                  <c:y val="0.2798913677456984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0.2399x</a:t>
                    </a:r>
                    <a:r>
                      <a:rPr lang="en-US" sz="1200" baseline="30000"/>
                      <a:t>0.544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0.9976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1289'!$Z$6:$Z$18</c:f>
              <c:numCache>
                <c:formatCode>General</c:formatCode>
                <c:ptCount val="13"/>
                <c:pt idx="0">
                  <c:v>130</c:v>
                </c:pt>
                <c:pt idx="1">
                  <c:v>120</c:v>
                </c:pt>
                <c:pt idx="2">
                  <c:v>110</c:v>
                </c:pt>
                <c:pt idx="3">
                  <c:v>100</c:v>
                </c:pt>
                <c:pt idx="4">
                  <c:v>90</c:v>
                </c:pt>
                <c:pt idx="5">
                  <c:v>80</c:v>
                </c:pt>
                <c:pt idx="6">
                  <c:v>70</c:v>
                </c:pt>
                <c:pt idx="7">
                  <c:v>60</c:v>
                </c:pt>
                <c:pt idx="8">
                  <c:v>50</c:v>
                </c:pt>
                <c:pt idx="9">
                  <c:v>40</c:v>
                </c:pt>
                <c:pt idx="10">
                  <c:v>30</c:v>
                </c:pt>
                <c:pt idx="11">
                  <c:v>20</c:v>
                </c:pt>
                <c:pt idx="12">
                  <c:v>10</c:v>
                </c:pt>
              </c:numCache>
            </c:numRef>
          </c:xVal>
          <c:yVal>
            <c:numRef>
              <c:f>'Collected Data Site 1289'!$AC$6:$AC$18</c:f>
              <c:numCache>
                <c:formatCode>General</c:formatCode>
                <c:ptCount val="13"/>
                <c:pt idx="0">
                  <c:v>3.5</c:v>
                </c:pt>
                <c:pt idx="1">
                  <c:v>3.3</c:v>
                </c:pt>
                <c:pt idx="2">
                  <c:v>3.1</c:v>
                </c:pt>
                <c:pt idx="3">
                  <c:v>2.96</c:v>
                </c:pt>
                <c:pt idx="4">
                  <c:v>2.81</c:v>
                </c:pt>
                <c:pt idx="5">
                  <c:v>2.59</c:v>
                </c:pt>
                <c:pt idx="6">
                  <c:v>2.37</c:v>
                </c:pt>
                <c:pt idx="7">
                  <c:v>2.17</c:v>
                </c:pt>
                <c:pt idx="8">
                  <c:v>1.96</c:v>
                </c:pt>
                <c:pt idx="9">
                  <c:v>1.76</c:v>
                </c:pt>
                <c:pt idx="10">
                  <c:v>1.51</c:v>
                </c:pt>
                <c:pt idx="11">
                  <c:v>1.22</c:v>
                </c:pt>
                <c:pt idx="12">
                  <c:v>0.87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02-485B-91BA-FDADCA8DB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286944"/>
        <c:axId val="516288912"/>
      </c:scatterChart>
      <c:valAx>
        <c:axId val="516286944"/>
        <c:scaling>
          <c:logBase val="10"/>
          <c:orientation val="minMax"/>
          <c:max val="20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88912"/>
        <c:crosses val="autoZero"/>
        <c:crossBetween val="midCat"/>
      </c:valAx>
      <c:valAx>
        <c:axId val="5162889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8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Depth (631.89)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4.9190726159230097E-4"/>
                  <c:y val="0.190145450568678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0.3843x</a:t>
                    </a:r>
                    <a:r>
                      <a:rPr lang="en-US" sz="1200" baseline="30000"/>
                      <a:t>0.4231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0.9874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1289'!$B$26:$B$45</c:f>
              <c:numCache>
                <c:formatCode>General</c:formatCode>
                <c:ptCount val="20"/>
                <c:pt idx="0">
                  <c:v>40</c:v>
                </c:pt>
                <c:pt idx="1">
                  <c:v>38</c:v>
                </c:pt>
                <c:pt idx="2">
                  <c:v>36</c:v>
                </c:pt>
                <c:pt idx="3">
                  <c:v>34</c:v>
                </c:pt>
                <c:pt idx="4">
                  <c:v>32</c:v>
                </c:pt>
                <c:pt idx="5">
                  <c:v>30</c:v>
                </c:pt>
                <c:pt idx="6">
                  <c:v>28</c:v>
                </c:pt>
                <c:pt idx="7">
                  <c:v>26</c:v>
                </c:pt>
                <c:pt idx="8">
                  <c:v>24</c:v>
                </c:pt>
                <c:pt idx="9">
                  <c:v>22</c:v>
                </c:pt>
                <c:pt idx="10">
                  <c:v>20</c:v>
                </c:pt>
                <c:pt idx="11">
                  <c:v>18</c:v>
                </c:pt>
                <c:pt idx="12">
                  <c:v>16</c:v>
                </c:pt>
                <c:pt idx="13">
                  <c:v>14</c:v>
                </c:pt>
                <c:pt idx="14">
                  <c:v>12</c:v>
                </c:pt>
                <c:pt idx="15">
                  <c:v>10</c:v>
                </c:pt>
                <c:pt idx="16">
                  <c:v>8</c:v>
                </c:pt>
                <c:pt idx="17">
                  <c:v>6</c:v>
                </c:pt>
                <c:pt idx="18">
                  <c:v>4</c:v>
                </c:pt>
                <c:pt idx="19">
                  <c:v>2</c:v>
                </c:pt>
              </c:numCache>
            </c:numRef>
          </c:xVal>
          <c:yVal>
            <c:numRef>
              <c:f>'Collected Data Site 1289'!$E$26:$E$45</c:f>
              <c:numCache>
                <c:formatCode>General</c:formatCode>
                <c:ptCount val="20"/>
                <c:pt idx="0">
                  <c:v>2.0499999999999998</c:v>
                </c:pt>
                <c:pt idx="1">
                  <c:v>1.79</c:v>
                </c:pt>
                <c:pt idx="2">
                  <c:v>1.79</c:v>
                </c:pt>
                <c:pt idx="3">
                  <c:v>1.74</c:v>
                </c:pt>
                <c:pt idx="4">
                  <c:v>1.68</c:v>
                </c:pt>
                <c:pt idx="5">
                  <c:v>1.61</c:v>
                </c:pt>
                <c:pt idx="6">
                  <c:v>1.58</c:v>
                </c:pt>
                <c:pt idx="7">
                  <c:v>1.53</c:v>
                </c:pt>
                <c:pt idx="8">
                  <c:v>1.45</c:v>
                </c:pt>
                <c:pt idx="9">
                  <c:v>1.41</c:v>
                </c:pt>
                <c:pt idx="10">
                  <c:v>1.31</c:v>
                </c:pt>
                <c:pt idx="11">
                  <c:v>1.28</c:v>
                </c:pt>
                <c:pt idx="12">
                  <c:v>1.2</c:v>
                </c:pt>
                <c:pt idx="13">
                  <c:v>1.1499999999999999</c:v>
                </c:pt>
                <c:pt idx="14">
                  <c:v>1.06</c:v>
                </c:pt>
                <c:pt idx="15">
                  <c:v>0.99</c:v>
                </c:pt>
                <c:pt idx="16">
                  <c:v>0.9</c:v>
                </c:pt>
                <c:pt idx="17">
                  <c:v>0.8</c:v>
                </c:pt>
                <c:pt idx="18">
                  <c:v>0.7</c:v>
                </c:pt>
                <c:pt idx="19">
                  <c:v>0.56000000000000005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5A-44CF-98E4-7F1877DCB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447872"/>
        <c:axId val="548402696"/>
      </c:scatterChart>
      <c:valAx>
        <c:axId val="3404478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402696"/>
        <c:crosses val="autoZero"/>
        <c:crossBetween val="midCat"/>
      </c:valAx>
      <c:valAx>
        <c:axId val="548402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44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Depth (782.85)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0378455818022747"/>
                  <c:y val="0.2370858850976961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0.312x</a:t>
                    </a:r>
                    <a:r>
                      <a:rPr lang="en-US" sz="1200" baseline="30000"/>
                      <a:t>0.4813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0.9973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1289'!$H$26:$H$41</c:f>
              <c:numCache>
                <c:formatCode>General</c:formatCode>
                <c:ptCount val="16"/>
                <c:pt idx="0">
                  <c:v>80</c:v>
                </c:pt>
                <c:pt idx="1">
                  <c:v>75</c:v>
                </c:pt>
                <c:pt idx="2">
                  <c:v>70</c:v>
                </c:pt>
                <c:pt idx="3">
                  <c:v>65</c:v>
                </c:pt>
                <c:pt idx="4">
                  <c:v>60</c:v>
                </c:pt>
                <c:pt idx="5">
                  <c:v>55</c:v>
                </c:pt>
                <c:pt idx="6">
                  <c:v>50</c:v>
                </c:pt>
                <c:pt idx="7">
                  <c:v>45</c:v>
                </c:pt>
                <c:pt idx="8">
                  <c:v>40</c:v>
                </c:pt>
                <c:pt idx="9">
                  <c:v>35</c:v>
                </c:pt>
                <c:pt idx="10">
                  <c:v>30</c:v>
                </c:pt>
                <c:pt idx="11">
                  <c:v>25</c:v>
                </c:pt>
                <c:pt idx="12">
                  <c:v>20</c:v>
                </c:pt>
                <c:pt idx="13">
                  <c:v>15</c:v>
                </c:pt>
                <c:pt idx="14">
                  <c:v>10</c:v>
                </c:pt>
                <c:pt idx="15">
                  <c:v>5</c:v>
                </c:pt>
              </c:numCache>
            </c:numRef>
          </c:xVal>
          <c:yVal>
            <c:numRef>
              <c:f>'Collected Data Site 1289'!$K$26:$K$41</c:f>
              <c:numCache>
                <c:formatCode>General</c:formatCode>
                <c:ptCount val="16"/>
                <c:pt idx="0">
                  <c:v>2.66</c:v>
                </c:pt>
                <c:pt idx="1">
                  <c:v>2.5299999999999998</c:v>
                </c:pt>
                <c:pt idx="2">
                  <c:v>2.44</c:v>
                </c:pt>
                <c:pt idx="3">
                  <c:v>2.35</c:v>
                </c:pt>
                <c:pt idx="4">
                  <c:v>2.2400000000000002</c:v>
                </c:pt>
                <c:pt idx="5">
                  <c:v>2.14</c:v>
                </c:pt>
                <c:pt idx="6">
                  <c:v>2.0499999999999998</c:v>
                </c:pt>
                <c:pt idx="7">
                  <c:v>1.93</c:v>
                </c:pt>
                <c:pt idx="8">
                  <c:v>1.83</c:v>
                </c:pt>
                <c:pt idx="9">
                  <c:v>1.7</c:v>
                </c:pt>
                <c:pt idx="10">
                  <c:v>1.57</c:v>
                </c:pt>
                <c:pt idx="11">
                  <c:v>1.44</c:v>
                </c:pt>
                <c:pt idx="12">
                  <c:v>1.29</c:v>
                </c:pt>
                <c:pt idx="13">
                  <c:v>1.1299999999999999</c:v>
                </c:pt>
                <c:pt idx="14">
                  <c:v>0.94</c:v>
                </c:pt>
                <c:pt idx="15">
                  <c:v>0.71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79-488B-BA7C-A7082399C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262960"/>
        <c:axId val="552262632"/>
      </c:scatterChart>
      <c:valAx>
        <c:axId val="5522629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62632"/>
        <c:crosses val="autoZero"/>
        <c:crossBetween val="midCat"/>
      </c:valAx>
      <c:valAx>
        <c:axId val="5522626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6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Depth (950.61)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2.2891513560804899E-3"/>
                  <c:y val="0.254186351706036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0.2795x</a:t>
                    </a:r>
                    <a:r>
                      <a:rPr lang="en-US" sz="1200" baseline="30000"/>
                      <a:t>0.5127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0.998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1289'!$N$26:$N$36</c:f>
              <c:numCache>
                <c:formatCode>General</c:formatCode>
                <c:ptCount val="11"/>
                <c:pt idx="0">
                  <c:v>110</c:v>
                </c:pt>
                <c:pt idx="1">
                  <c:v>100</c:v>
                </c:pt>
                <c:pt idx="2">
                  <c:v>90</c:v>
                </c:pt>
                <c:pt idx="3">
                  <c:v>80</c:v>
                </c:pt>
                <c:pt idx="4">
                  <c:v>70</c:v>
                </c:pt>
                <c:pt idx="5">
                  <c:v>60</c:v>
                </c:pt>
                <c:pt idx="6">
                  <c:v>50</c:v>
                </c:pt>
                <c:pt idx="7">
                  <c:v>40</c:v>
                </c:pt>
                <c:pt idx="8">
                  <c:v>30</c:v>
                </c:pt>
                <c:pt idx="9">
                  <c:v>20</c:v>
                </c:pt>
                <c:pt idx="10">
                  <c:v>10</c:v>
                </c:pt>
              </c:numCache>
            </c:numRef>
          </c:xVal>
          <c:yVal>
            <c:numRef>
              <c:f>'Collected Data Site 1289'!$Q$26:$Q$36</c:f>
              <c:numCache>
                <c:formatCode>General</c:formatCode>
                <c:ptCount val="11"/>
                <c:pt idx="0">
                  <c:v>3.17</c:v>
                </c:pt>
                <c:pt idx="1">
                  <c:v>3.02</c:v>
                </c:pt>
                <c:pt idx="2">
                  <c:v>2.85</c:v>
                </c:pt>
                <c:pt idx="3">
                  <c:v>2.64</c:v>
                </c:pt>
                <c:pt idx="4">
                  <c:v>2.44</c:v>
                </c:pt>
                <c:pt idx="5">
                  <c:v>2.25</c:v>
                </c:pt>
                <c:pt idx="6">
                  <c:v>2.0299999999999998</c:v>
                </c:pt>
                <c:pt idx="7">
                  <c:v>1.82</c:v>
                </c:pt>
                <c:pt idx="8">
                  <c:v>1.57</c:v>
                </c:pt>
                <c:pt idx="9">
                  <c:v>1.31</c:v>
                </c:pt>
                <c:pt idx="10">
                  <c:v>0.93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F0-4235-9AA8-B361EE9FA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244920"/>
        <c:axId val="552245904"/>
      </c:scatterChart>
      <c:valAx>
        <c:axId val="552244920"/>
        <c:scaling>
          <c:logBase val="10"/>
          <c:orientation val="minMax"/>
          <c:max val="20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</a:t>
                </a:r>
                <a:r>
                  <a:rPr lang="en-US" baseline="0"/>
                  <a:t> Discharge (m^3/s)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45904"/>
        <c:crosses val="autoZero"/>
        <c:crossBetween val="midCat"/>
      </c:valAx>
      <c:valAx>
        <c:axId val="5522459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44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Depth (1089.41)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1876421697287839"/>
                  <c:y val="-2.984507144940215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0.3805x</a:t>
                    </a:r>
                    <a:r>
                      <a:rPr lang="en-US" sz="1200" baseline="30000"/>
                      <a:t>0.4495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0.9939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1289'!$T$26:$T$43</c:f>
              <c:numCache>
                <c:formatCode>General</c:formatCode>
                <c:ptCount val="18"/>
                <c:pt idx="0">
                  <c:v>90</c:v>
                </c:pt>
                <c:pt idx="1">
                  <c:v>85</c:v>
                </c:pt>
                <c:pt idx="2">
                  <c:v>80</c:v>
                </c:pt>
                <c:pt idx="3">
                  <c:v>75</c:v>
                </c:pt>
                <c:pt idx="4">
                  <c:v>70</c:v>
                </c:pt>
                <c:pt idx="5">
                  <c:v>65</c:v>
                </c:pt>
                <c:pt idx="6">
                  <c:v>60</c:v>
                </c:pt>
                <c:pt idx="7">
                  <c:v>55</c:v>
                </c:pt>
                <c:pt idx="8">
                  <c:v>50</c:v>
                </c:pt>
                <c:pt idx="9">
                  <c:v>45</c:v>
                </c:pt>
                <c:pt idx="10">
                  <c:v>40</c:v>
                </c:pt>
                <c:pt idx="11">
                  <c:v>35</c:v>
                </c:pt>
                <c:pt idx="12">
                  <c:v>30</c:v>
                </c:pt>
                <c:pt idx="13">
                  <c:v>25</c:v>
                </c:pt>
                <c:pt idx="14">
                  <c:v>20</c:v>
                </c:pt>
                <c:pt idx="15">
                  <c:v>15</c:v>
                </c:pt>
                <c:pt idx="16">
                  <c:v>10</c:v>
                </c:pt>
                <c:pt idx="17">
                  <c:v>5</c:v>
                </c:pt>
              </c:numCache>
            </c:numRef>
          </c:xVal>
          <c:yVal>
            <c:numRef>
              <c:f>'Collected Data Site 1289'!$W$26:$W$43</c:f>
              <c:numCache>
                <c:formatCode>General</c:formatCode>
                <c:ptCount val="18"/>
                <c:pt idx="0">
                  <c:v>3.01</c:v>
                </c:pt>
                <c:pt idx="1">
                  <c:v>2.89</c:v>
                </c:pt>
                <c:pt idx="2">
                  <c:v>2.78</c:v>
                </c:pt>
                <c:pt idx="3">
                  <c:v>2.7</c:v>
                </c:pt>
                <c:pt idx="4">
                  <c:v>2.59</c:v>
                </c:pt>
                <c:pt idx="5">
                  <c:v>2.4900000000000002</c:v>
                </c:pt>
                <c:pt idx="6">
                  <c:v>2.39</c:v>
                </c:pt>
                <c:pt idx="7">
                  <c:v>2.2799999999999998</c:v>
                </c:pt>
                <c:pt idx="8">
                  <c:v>2.1800000000000002</c:v>
                </c:pt>
                <c:pt idx="9">
                  <c:v>2.06</c:v>
                </c:pt>
                <c:pt idx="10">
                  <c:v>1.97</c:v>
                </c:pt>
                <c:pt idx="11">
                  <c:v>1.83</c:v>
                </c:pt>
                <c:pt idx="12">
                  <c:v>1.71</c:v>
                </c:pt>
                <c:pt idx="13">
                  <c:v>1.57</c:v>
                </c:pt>
                <c:pt idx="14">
                  <c:v>1.42</c:v>
                </c:pt>
                <c:pt idx="15">
                  <c:v>1.25</c:v>
                </c:pt>
                <c:pt idx="16">
                  <c:v>1.08</c:v>
                </c:pt>
                <c:pt idx="17">
                  <c:v>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24-421C-8B61-CB3D3EFFD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498864"/>
        <c:axId val="430134936"/>
      </c:scatterChart>
      <c:valAx>
        <c:axId val="5054988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</a:t>
                </a:r>
                <a:r>
                  <a:rPr lang="en-US" baseline="0"/>
                  <a:t> Discharge (m^3/s)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134936"/>
        <c:crosses val="autoZero"/>
        <c:crossBetween val="midCat"/>
      </c:valAx>
      <c:valAx>
        <c:axId val="4301349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9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609600</xdr:colOff>
      <xdr:row>13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3DCE97-ED4B-4E6C-9B2D-E31DC8A25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609600</xdr:colOff>
      <xdr:row>0</xdr:row>
      <xdr:rowOff>0</xdr:rowOff>
    </xdr:from>
    <xdr:to>
      <xdr:col>9</xdr:col>
      <xdr:colOff>228600</xdr:colOff>
      <xdr:row>13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D49A82-5843-4F87-ADEC-55CC0E341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213360</xdr:colOff>
      <xdr:row>0</xdr:row>
      <xdr:rowOff>0</xdr:rowOff>
    </xdr:from>
    <xdr:to>
      <xdr:col>13</xdr:col>
      <xdr:colOff>822960</xdr:colOff>
      <xdr:row>13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4FB9A9-76A8-46BB-8F66-58D08041C6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815340</xdr:colOff>
      <xdr:row>0</xdr:row>
      <xdr:rowOff>0</xdr:rowOff>
    </xdr:from>
    <xdr:to>
      <xdr:col>18</xdr:col>
      <xdr:colOff>434340</xdr:colOff>
      <xdr:row>13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F42A7C-0A39-4B73-99B0-C3B86295C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419100</xdr:colOff>
      <xdr:row>0</xdr:row>
      <xdr:rowOff>0</xdr:rowOff>
    </xdr:from>
    <xdr:to>
      <xdr:col>23</xdr:col>
      <xdr:colOff>38100</xdr:colOff>
      <xdr:row>13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6CCB58D-4AD2-439A-82A4-25764817F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4</xdr:col>
      <xdr:colOff>609600</xdr:colOff>
      <xdr:row>27</xdr:row>
      <xdr:rowOff>167640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6A555BB-868D-4325-86D5-57E6D86753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601980</xdr:colOff>
      <xdr:row>14</xdr:row>
      <xdr:rowOff>0</xdr:rowOff>
    </xdr:from>
    <xdr:to>
      <xdr:col>9</xdr:col>
      <xdr:colOff>220980</xdr:colOff>
      <xdr:row>27</xdr:row>
      <xdr:rowOff>167640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399259B-A123-4D12-8E37-7C0BA64537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220980</xdr:colOff>
      <xdr:row>14</xdr:row>
      <xdr:rowOff>7620</xdr:rowOff>
    </xdr:from>
    <xdr:to>
      <xdr:col>13</xdr:col>
      <xdr:colOff>830580</xdr:colOff>
      <xdr:row>27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A920E42-9778-4C22-AD50-012B06891F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830580</xdr:colOff>
      <xdr:row>14</xdr:row>
      <xdr:rowOff>15240</xdr:rowOff>
    </xdr:from>
    <xdr:to>
      <xdr:col>18</xdr:col>
      <xdr:colOff>449580</xdr:colOff>
      <xdr:row>27</xdr:row>
      <xdr:rowOff>182880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F5A646A-8082-41D0-A998-CA60EDBE6A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457200</xdr:colOff>
      <xdr:row>14</xdr:row>
      <xdr:rowOff>0</xdr:rowOff>
    </xdr:from>
    <xdr:to>
      <xdr:col>23</xdr:col>
      <xdr:colOff>76200</xdr:colOff>
      <xdr:row>27</xdr:row>
      <xdr:rowOff>167640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FCDE7DA-248A-4442-B6F0-46B0A915A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609600</xdr:colOff>
      <xdr:row>13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76A18A-FC51-4338-B2DA-EB978AF087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617220</xdr:colOff>
      <xdr:row>0</xdr:row>
      <xdr:rowOff>0</xdr:rowOff>
    </xdr:from>
    <xdr:to>
      <xdr:col>9</xdr:col>
      <xdr:colOff>236220</xdr:colOff>
      <xdr:row>13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625E05-C03E-49FD-9852-901970C372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236220</xdr:colOff>
      <xdr:row>0</xdr:row>
      <xdr:rowOff>0</xdr:rowOff>
    </xdr:from>
    <xdr:to>
      <xdr:col>13</xdr:col>
      <xdr:colOff>845820</xdr:colOff>
      <xdr:row>13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0680F0-DBF7-4FDB-B100-00251B7969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845820</xdr:colOff>
      <xdr:row>0</xdr:row>
      <xdr:rowOff>0</xdr:rowOff>
    </xdr:from>
    <xdr:to>
      <xdr:col>18</xdr:col>
      <xdr:colOff>464820</xdr:colOff>
      <xdr:row>13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402065-D4F0-4C89-AD4C-5397E017E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472440</xdr:colOff>
      <xdr:row>0</xdr:row>
      <xdr:rowOff>0</xdr:rowOff>
    </xdr:from>
    <xdr:to>
      <xdr:col>23</xdr:col>
      <xdr:colOff>91440</xdr:colOff>
      <xdr:row>13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32C4A7-CDD7-4CB5-B330-485BDDDF1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4</xdr:col>
      <xdr:colOff>609600</xdr:colOff>
      <xdr:row>27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9E24C6B-BC2F-4392-968F-D86C66812E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624840</xdr:colOff>
      <xdr:row>14</xdr:row>
      <xdr:rowOff>0</xdr:rowOff>
    </xdr:from>
    <xdr:to>
      <xdr:col>9</xdr:col>
      <xdr:colOff>243840</xdr:colOff>
      <xdr:row>27</xdr:row>
      <xdr:rowOff>167640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1A03775-29DA-4C2D-831B-DD7437F04E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228600</xdr:colOff>
      <xdr:row>13</xdr:row>
      <xdr:rowOff>190500</xdr:rowOff>
    </xdr:from>
    <xdr:to>
      <xdr:col>13</xdr:col>
      <xdr:colOff>838200</xdr:colOff>
      <xdr:row>27</xdr:row>
      <xdr:rowOff>160020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D6CB874-E3B7-451C-9B29-DF72B94F9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838200</xdr:colOff>
      <xdr:row>13</xdr:row>
      <xdr:rowOff>190500</xdr:rowOff>
    </xdr:from>
    <xdr:to>
      <xdr:col>18</xdr:col>
      <xdr:colOff>457200</xdr:colOff>
      <xdr:row>27</xdr:row>
      <xdr:rowOff>160020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4456119-B463-46BC-9181-5F6FBECC1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472440</xdr:colOff>
      <xdr:row>13</xdr:row>
      <xdr:rowOff>182880</xdr:rowOff>
    </xdr:from>
    <xdr:to>
      <xdr:col>23</xdr:col>
      <xdr:colOff>91440</xdr:colOff>
      <xdr:row>27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6209D18-8037-4257-B8B2-980D1C1DB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609600</xdr:colOff>
      <xdr:row>13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9B1A58-7734-4513-AAB9-AE1DA86070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609600</xdr:colOff>
      <xdr:row>0</xdr:row>
      <xdr:rowOff>0</xdr:rowOff>
    </xdr:from>
    <xdr:to>
      <xdr:col>9</xdr:col>
      <xdr:colOff>228600</xdr:colOff>
      <xdr:row>13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291B87-80F1-418B-B9FF-CEDDCFDA10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220980</xdr:colOff>
      <xdr:row>0</xdr:row>
      <xdr:rowOff>0</xdr:rowOff>
    </xdr:from>
    <xdr:to>
      <xdr:col>13</xdr:col>
      <xdr:colOff>830580</xdr:colOff>
      <xdr:row>13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4D6287-8B09-4264-9BDC-4018A9977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822960</xdr:colOff>
      <xdr:row>0</xdr:row>
      <xdr:rowOff>0</xdr:rowOff>
    </xdr:from>
    <xdr:to>
      <xdr:col>18</xdr:col>
      <xdr:colOff>441960</xdr:colOff>
      <xdr:row>13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8ECCD1-0790-4675-8226-7EF36B55C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441960</xdr:colOff>
      <xdr:row>0</xdr:row>
      <xdr:rowOff>0</xdr:rowOff>
    </xdr:from>
    <xdr:to>
      <xdr:col>23</xdr:col>
      <xdr:colOff>60960</xdr:colOff>
      <xdr:row>13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CDC514-053A-4D7A-9AC7-3AF904E846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4</xdr:col>
      <xdr:colOff>609600</xdr:colOff>
      <xdr:row>27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7BED70A-9A83-4244-9729-9113CCC328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601980</xdr:colOff>
      <xdr:row>13</xdr:row>
      <xdr:rowOff>190500</xdr:rowOff>
    </xdr:from>
    <xdr:to>
      <xdr:col>9</xdr:col>
      <xdr:colOff>220980</xdr:colOff>
      <xdr:row>27</xdr:row>
      <xdr:rowOff>160020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510897E-2CF2-4879-B868-58A0F52294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205740</xdr:colOff>
      <xdr:row>13</xdr:row>
      <xdr:rowOff>190500</xdr:rowOff>
    </xdr:from>
    <xdr:to>
      <xdr:col>13</xdr:col>
      <xdr:colOff>815340</xdr:colOff>
      <xdr:row>27</xdr:row>
      <xdr:rowOff>160020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A0EAFF3-F614-4AF6-9F83-1B95D1D9DD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822960</xdr:colOff>
      <xdr:row>13</xdr:row>
      <xdr:rowOff>167640</xdr:rowOff>
    </xdr:from>
    <xdr:to>
      <xdr:col>18</xdr:col>
      <xdr:colOff>441960</xdr:colOff>
      <xdr:row>27</xdr:row>
      <xdr:rowOff>137160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600B36C-3DE9-4398-8469-8780CD6EB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449580</xdr:colOff>
      <xdr:row>13</xdr:row>
      <xdr:rowOff>167640</xdr:rowOff>
    </xdr:from>
    <xdr:to>
      <xdr:col>23</xdr:col>
      <xdr:colOff>68580</xdr:colOff>
      <xdr:row>27</xdr:row>
      <xdr:rowOff>137160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9F52C3F-A181-4DF7-B65E-B59F9FE6EA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609600</xdr:colOff>
      <xdr:row>13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26E303-2218-4B92-B450-112FE639CE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609600</xdr:colOff>
      <xdr:row>0</xdr:row>
      <xdr:rowOff>0</xdr:rowOff>
    </xdr:from>
    <xdr:to>
      <xdr:col>9</xdr:col>
      <xdr:colOff>228600</xdr:colOff>
      <xdr:row>13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53D518-0816-4650-B678-1EFAF738D0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236220</xdr:colOff>
      <xdr:row>0</xdr:row>
      <xdr:rowOff>0</xdr:rowOff>
    </xdr:from>
    <xdr:to>
      <xdr:col>13</xdr:col>
      <xdr:colOff>845820</xdr:colOff>
      <xdr:row>13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7972D3-93A7-46AD-92F0-CD3B7C45A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853440</xdr:colOff>
      <xdr:row>0</xdr:row>
      <xdr:rowOff>0</xdr:rowOff>
    </xdr:from>
    <xdr:to>
      <xdr:col>18</xdr:col>
      <xdr:colOff>472440</xdr:colOff>
      <xdr:row>13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3EF795-C9A6-4409-AE22-98E20783A1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457200</xdr:colOff>
      <xdr:row>0</xdr:row>
      <xdr:rowOff>0</xdr:rowOff>
    </xdr:from>
    <xdr:to>
      <xdr:col>23</xdr:col>
      <xdr:colOff>76200</xdr:colOff>
      <xdr:row>13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084D1E-E4B2-4836-8346-36A20E23D7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4</xdr:col>
      <xdr:colOff>609600</xdr:colOff>
      <xdr:row>27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4432D86-A7D6-4D29-A544-604211231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609600</xdr:colOff>
      <xdr:row>14</xdr:row>
      <xdr:rowOff>0</xdr:rowOff>
    </xdr:from>
    <xdr:to>
      <xdr:col>9</xdr:col>
      <xdr:colOff>228600</xdr:colOff>
      <xdr:row>27</xdr:row>
      <xdr:rowOff>167640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3D699D6-EEEB-43AB-9AD0-8B746B45F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228600</xdr:colOff>
      <xdr:row>13</xdr:row>
      <xdr:rowOff>190500</xdr:rowOff>
    </xdr:from>
    <xdr:to>
      <xdr:col>13</xdr:col>
      <xdr:colOff>838200</xdr:colOff>
      <xdr:row>27</xdr:row>
      <xdr:rowOff>160020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8E68704-2992-4225-B2D7-8B43BB8D1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838200</xdr:colOff>
      <xdr:row>13</xdr:row>
      <xdr:rowOff>175260</xdr:rowOff>
    </xdr:from>
    <xdr:to>
      <xdr:col>18</xdr:col>
      <xdr:colOff>457200</xdr:colOff>
      <xdr:row>27</xdr:row>
      <xdr:rowOff>144780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224CE7A-2EF9-4469-863E-411A3F76D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441960</xdr:colOff>
      <xdr:row>13</xdr:row>
      <xdr:rowOff>175260</xdr:rowOff>
    </xdr:from>
    <xdr:to>
      <xdr:col>23</xdr:col>
      <xdr:colOff>60960</xdr:colOff>
      <xdr:row>27</xdr:row>
      <xdr:rowOff>144780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0B18756-8D41-47C1-8C75-56E89108F7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AD48"/>
  <sheetViews>
    <sheetView workbookViewId="0">
      <selection activeCell="Y44" sqref="Y44"/>
    </sheetView>
  </sheetViews>
  <sheetFormatPr defaultColWidth="14.44140625" defaultRowHeight="15.75" customHeight="1" x14ac:dyDescent="0.25"/>
  <cols>
    <col min="2" max="2" width="22.6640625" customWidth="1"/>
    <col min="8" max="8" width="22.6640625" customWidth="1"/>
    <col min="14" max="14" width="22.6640625" customWidth="1"/>
    <col min="20" max="20" width="22.6640625" customWidth="1"/>
    <col min="26" max="26" width="22.6640625" customWidth="1"/>
  </cols>
  <sheetData>
    <row r="2" spans="2:30" x14ac:dyDescent="0.25">
      <c r="B2" s="1" t="s">
        <v>0</v>
      </c>
      <c r="C2" s="2">
        <v>1289</v>
      </c>
      <c r="D2" s="3"/>
      <c r="E2" s="3"/>
      <c r="F2" s="3"/>
      <c r="H2" s="1" t="s">
        <v>0</v>
      </c>
      <c r="I2" s="2">
        <v>1289</v>
      </c>
      <c r="J2" s="3"/>
      <c r="K2" s="3"/>
      <c r="L2" s="3"/>
      <c r="N2" s="1" t="s">
        <v>0</v>
      </c>
      <c r="O2" s="2">
        <v>1289</v>
      </c>
      <c r="P2" s="3"/>
      <c r="Q2" s="3"/>
      <c r="R2" s="3"/>
      <c r="T2" s="1" t="s">
        <v>0</v>
      </c>
      <c r="U2" s="2">
        <v>1289</v>
      </c>
      <c r="V2" s="3"/>
      <c r="W2" s="3"/>
      <c r="X2" s="3"/>
      <c r="Z2" s="1" t="s">
        <v>0</v>
      </c>
      <c r="AA2" s="2">
        <v>1289</v>
      </c>
      <c r="AB2" s="3"/>
      <c r="AC2" s="3"/>
      <c r="AD2" s="3"/>
    </row>
    <row r="3" spans="2:30" x14ac:dyDescent="0.25">
      <c r="B3" s="1" t="s">
        <v>1</v>
      </c>
      <c r="C3" s="2">
        <v>40.14</v>
      </c>
      <c r="D3" s="3"/>
      <c r="E3" s="3"/>
      <c r="F3" s="3"/>
      <c r="H3" s="1" t="s">
        <v>1</v>
      </c>
      <c r="I3" s="2">
        <v>107.58</v>
      </c>
      <c r="J3" s="3"/>
      <c r="K3" s="3"/>
      <c r="L3" s="3"/>
      <c r="N3" s="1" t="s">
        <v>1</v>
      </c>
      <c r="O3" s="2">
        <v>212.58</v>
      </c>
      <c r="P3" s="3"/>
      <c r="Q3" s="3"/>
      <c r="R3" s="3"/>
      <c r="T3" s="1" t="s">
        <v>1</v>
      </c>
      <c r="U3" s="2">
        <v>326.19</v>
      </c>
      <c r="V3" s="3"/>
      <c r="W3" s="3"/>
      <c r="X3" s="3"/>
      <c r="Z3" s="1" t="s">
        <v>1</v>
      </c>
      <c r="AA3" s="2">
        <v>484.68</v>
      </c>
      <c r="AB3" s="3"/>
      <c r="AC3" s="3"/>
      <c r="AD3" s="3"/>
    </row>
    <row r="4" spans="2:30" x14ac:dyDescent="0.25">
      <c r="B4" s="3"/>
      <c r="C4" s="3"/>
      <c r="D4" s="3"/>
      <c r="E4" s="3"/>
      <c r="F4" s="3"/>
      <c r="H4" s="3"/>
      <c r="I4" s="3"/>
      <c r="J4" s="3"/>
      <c r="K4" s="3"/>
      <c r="L4" s="3"/>
      <c r="N4" s="3"/>
      <c r="O4" s="3"/>
      <c r="P4" s="3"/>
      <c r="Q4" s="3"/>
      <c r="R4" s="3"/>
      <c r="T4" s="3"/>
      <c r="U4" s="3"/>
      <c r="V4" s="3"/>
      <c r="W4" s="3"/>
      <c r="X4" s="3"/>
      <c r="Z4" s="3"/>
      <c r="AA4" s="3"/>
      <c r="AB4" s="3"/>
      <c r="AC4" s="3"/>
      <c r="AD4" s="3"/>
    </row>
    <row r="5" spans="2:30" x14ac:dyDescent="0.25"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H5" s="1" t="s">
        <v>2</v>
      </c>
      <c r="I5" s="1" t="s">
        <v>3</v>
      </c>
      <c r="J5" s="1" t="s">
        <v>4</v>
      </c>
      <c r="K5" s="1" t="s">
        <v>5</v>
      </c>
      <c r="L5" s="1" t="s">
        <v>6</v>
      </c>
      <c r="N5" s="1" t="s">
        <v>2</v>
      </c>
      <c r="O5" s="1" t="s">
        <v>3</v>
      </c>
      <c r="P5" s="1" t="s">
        <v>4</v>
      </c>
      <c r="Q5" s="1" t="s">
        <v>5</v>
      </c>
      <c r="R5" s="1" t="s">
        <v>6</v>
      </c>
      <c r="T5" s="1" t="s">
        <v>2</v>
      </c>
      <c r="U5" s="1" t="s">
        <v>3</v>
      </c>
      <c r="V5" s="1" t="s">
        <v>4</v>
      </c>
      <c r="W5" s="1" t="s">
        <v>5</v>
      </c>
      <c r="X5" s="1" t="s">
        <v>6</v>
      </c>
      <c r="Z5" s="1" t="s">
        <v>2</v>
      </c>
      <c r="AA5" s="1" t="s">
        <v>3</v>
      </c>
      <c r="AB5" s="1" t="s">
        <v>4</v>
      </c>
      <c r="AC5" s="1" t="s">
        <v>5</v>
      </c>
      <c r="AD5" s="1" t="s">
        <v>6</v>
      </c>
    </row>
    <row r="6" spans="2:30" x14ac:dyDescent="0.25">
      <c r="B6" s="4">
        <v>120</v>
      </c>
      <c r="C6" s="4">
        <v>186.4</v>
      </c>
      <c r="D6" s="4">
        <v>67.709999999999994</v>
      </c>
      <c r="E6" s="4">
        <v>3.29</v>
      </c>
      <c r="F6" s="5">
        <f t="shared" ref="F6:F17" si="0">B6/C6</f>
        <v>0.64377682403433478</v>
      </c>
      <c r="H6" s="4">
        <v>65</v>
      </c>
      <c r="I6" s="5">
        <f>122.5+1.08+46.06</f>
        <v>169.64</v>
      </c>
      <c r="J6" s="5">
        <f>71.07+31.89+8.69</f>
        <v>111.64999999999999</v>
      </c>
      <c r="K6" s="4">
        <v>2.38</v>
      </c>
      <c r="L6" s="5">
        <f t="shared" ref="L6:L18" si="1">H6/I6</f>
        <v>0.38316434803112476</v>
      </c>
      <c r="N6" s="4">
        <v>125</v>
      </c>
      <c r="O6" s="5">
        <f>177.05+0.51+0.07+0.52</f>
        <v>178.15</v>
      </c>
      <c r="P6" s="5">
        <f>65.27+4.75+1.01+2.54</f>
        <v>73.570000000000007</v>
      </c>
      <c r="Q6" s="4">
        <v>3.46</v>
      </c>
      <c r="R6" s="5">
        <f t="shared" ref="R6:R18" si="2">N6/O6</f>
        <v>0.70165590794274491</v>
      </c>
      <c r="T6" s="4">
        <v>110</v>
      </c>
      <c r="U6" s="5">
        <f>180.12+16.34</f>
        <v>196.46</v>
      </c>
      <c r="V6" s="5">
        <f>74.12+29.19</f>
        <v>103.31</v>
      </c>
      <c r="W6" s="4">
        <v>3.25</v>
      </c>
      <c r="X6" s="5">
        <f t="shared" ref="X6:X16" si="3">T6/U6</f>
        <v>0.55991041433370659</v>
      </c>
      <c r="Z6" s="4">
        <v>130</v>
      </c>
      <c r="AA6" s="5">
        <f>232.38+59.96</f>
        <v>292.33999999999997</v>
      </c>
      <c r="AB6" s="5">
        <f>87.89+35.02</f>
        <v>122.91</v>
      </c>
      <c r="AC6" s="4">
        <v>3.5</v>
      </c>
      <c r="AD6" s="5">
        <f t="shared" ref="AD6:AD18" si="4">Z6/AA6</f>
        <v>0.44468769241294387</v>
      </c>
    </row>
    <row r="7" spans="2:30" x14ac:dyDescent="0.25">
      <c r="B7" s="4">
        <v>110</v>
      </c>
      <c r="C7" s="4">
        <v>174.23</v>
      </c>
      <c r="D7" s="4">
        <v>65.75</v>
      </c>
      <c r="E7" s="4">
        <v>3.14</v>
      </c>
      <c r="F7" s="5">
        <f t="shared" si="0"/>
        <v>0.63134936578086442</v>
      </c>
      <c r="H7" s="4">
        <v>60</v>
      </c>
      <c r="I7" s="5">
        <f>115.31+0.34+42.9</f>
        <v>158.55000000000001</v>
      </c>
      <c r="J7" s="5">
        <f>67.58+4.91+31.21</f>
        <v>103.69999999999999</v>
      </c>
      <c r="K7" s="4">
        <v>2.2799999999999998</v>
      </c>
      <c r="L7" s="5">
        <f t="shared" si="1"/>
        <v>0.37842951750236514</v>
      </c>
      <c r="N7" s="4">
        <v>120</v>
      </c>
      <c r="O7" s="5">
        <f>0.21+0.33+0.015+171.6</f>
        <v>172.155</v>
      </c>
      <c r="P7" s="5">
        <f>2.47+2.14+0.439+64.7</f>
        <v>69.749000000000009</v>
      </c>
      <c r="Q7" s="4">
        <v>3.37</v>
      </c>
      <c r="R7" s="5">
        <f t="shared" si="2"/>
        <v>0.69704626644593537</v>
      </c>
      <c r="T7" s="4">
        <v>100</v>
      </c>
      <c r="U7" s="5">
        <f>11.9+167.94</f>
        <v>179.84</v>
      </c>
      <c r="V7" s="5">
        <f>26.47+72.53</f>
        <v>99</v>
      </c>
      <c r="W7" s="4">
        <v>3.1</v>
      </c>
      <c r="X7" s="5">
        <f t="shared" si="3"/>
        <v>0.55604982206405695</v>
      </c>
      <c r="Z7" s="4">
        <v>120</v>
      </c>
      <c r="AA7" s="5">
        <f>219.71+54.87</f>
        <v>274.58</v>
      </c>
      <c r="AB7" s="5">
        <f>86.09+34.4</f>
        <v>120.49000000000001</v>
      </c>
      <c r="AC7" s="4">
        <v>3.3</v>
      </c>
      <c r="AD7" s="5">
        <f t="shared" si="4"/>
        <v>0.43703110204676238</v>
      </c>
    </row>
    <row r="8" spans="2:30" x14ac:dyDescent="0.25">
      <c r="B8" s="4">
        <v>100</v>
      </c>
      <c r="C8" s="4">
        <v>165.01</v>
      </c>
      <c r="D8" s="4">
        <v>65.09</v>
      </c>
      <c r="E8" s="4">
        <v>2.97</v>
      </c>
      <c r="F8" s="5">
        <f t="shared" si="0"/>
        <v>0.60602387734076724</v>
      </c>
      <c r="H8" s="4">
        <v>55</v>
      </c>
      <c r="I8" s="5">
        <f>108.49+39.58</f>
        <v>148.07</v>
      </c>
      <c r="J8" s="5">
        <f>66.67+30.05</f>
        <v>96.72</v>
      </c>
      <c r="K8" s="4">
        <v>2.19</v>
      </c>
      <c r="L8" s="5">
        <f t="shared" si="1"/>
        <v>0.37144593773215373</v>
      </c>
      <c r="N8" s="4">
        <v>110</v>
      </c>
      <c r="O8" s="4">
        <v>159.78</v>
      </c>
      <c r="P8" s="4">
        <v>63.73</v>
      </c>
      <c r="Q8" s="4">
        <v>3.22</v>
      </c>
      <c r="R8" s="5">
        <f t="shared" si="2"/>
        <v>0.68844661409437979</v>
      </c>
      <c r="T8" s="4">
        <v>90</v>
      </c>
      <c r="U8" s="5">
        <f>7.68+156.49</f>
        <v>164.17000000000002</v>
      </c>
      <c r="V8" s="5">
        <f>24.52+70.99</f>
        <v>95.509999999999991</v>
      </c>
      <c r="W8" s="4">
        <v>2.94</v>
      </c>
      <c r="X8" s="5">
        <f t="shared" si="3"/>
        <v>0.54821221904123774</v>
      </c>
      <c r="Z8" s="4">
        <v>110</v>
      </c>
      <c r="AA8" s="5">
        <f>204.07+48.97</f>
        <v>253.04</v>
      </c>
      <c r="AB8" s="5">
        <f>84.06+36.02</f>
        <v>120.08000000000001</v>
      </c>
      <c r="AC8" s="4">
        <v>3.1</v>
      </c>
      <c r="AD8" s="5">
        <f t="shared" si="4"/>
        <v>0.43471387922858046</v>
      </c>
    </row>
    <row r="9" spans="2:30" x14ac:dyDescent="0.25">
      <c r="B9" s="4">
        <v>90</v>
      </c>
      <c r="C9" s="4">
        <v>154.06</v>
      </c>
      <c r="D9" s="4">
        <v>64.38</v>
      </c>
      <c r="E9" s="4">
        <v>2.78</v>
      </c>
      <c r="F9" s="5">
        <f t="shared" si="0"/>
        <v>0.5841879787095936</v>
      </c>
      <c r="H9" s="4">
        <v>50</v>
      </c>
      <c r="I9" s="5">
        <f>36.99+102.18</f>
        <v>139.17000000000002</v>
      </c>
      <c r="J9" s="5">
        <f>65.83+29.31</f>
        <v>95.14</v>
      </c>
      <c r="K9" s="4">
        <v>2.08</v>
      </c>
      <c r="L9" s="5">
        <f t="shared" si="1"/>
        <v>0.35927283178846009</v>
      </c>
      <c r="N9" s="4">
        <v>100</v>
      </c>
      <c r="O9" s="4">
        <v>150.62</v>
      </c>
      <c r="P9" s="4">
        <v>64</v>
      </c>
      <c r="Q9" s="4">
        <v>3.06</v>
      </c>
      <c r="R9" s="5">
        <f t="shared" si="2"/>
        <v>0.66392245385738946</v>
      </c>
      <c r="T9" s="4">
        <v>80</v>
      </c>
      <c r="U9" s="5">
        <f>141.82+2.76+0.05+0.09</f>
        <v>144.72</v>
      </c>
      <c r="V9" s="5">
        <f>68.34+14.78+1.2+1.2</f>
        <v>85.52000000000001</v>
      </c>
      <c r="W9" s="4">
        <v>2.71</v>
      </c>
      <c r="X9" s="5">
        <f t="shared" si="3"/>
        <v>0.55279159756771701</v>
      </c>
      <c r="Z9" s="4">
        <v>100</v>
      </c>
      <c r="AA9" s="5">
        <f>192.23+44.21</f>
        <v>236.44</v>
      </c>
      <c r="AB9" s="5">
        <f>82.91+32.85</f>
        <v>115.75999999999999</v>
      </c>
      <c r="AC9" s="4">
        <v>2.96</v>
      </c>
      <c r="AD9" s="5">
        <f t="shared" si="4"/>
        <v>0.42294028083234647</v>
      </c>
    </row>
    <row r="10" spans="2:30" x14ac:dyDescent="0.25">
      <c r="B10" s="4">
        <v>80</v>
      </c>
      <c r="C10" s="4">
        <v>139.97</v>
      </c>
      <c r="D10" s="4">
        <v>63.76</v>
      </c>
      <c r="E10" s="4">
        <v>2.59</v>
      </c>
      <c r="F10" s="5">
        <f t="shared" si="0"/>
        <v>0.57155104665285417</v>
      </c>
      <c r="H10" s="4">
        <v>45</v>
      </c>
      <c r="I10" s="5">
        <f>94.94+33.51</f>
        <v>128.44999999999999</v>
      </c>
      <c r="J10" s="5">
        <f>64.29+28.32</f>
        <v>92.610000000000014</v>
      </c>
      <c r="K10" s="4">
        <v>1.96</v>
      </c>
      <c r="L10" s="5">
        <f t="shared" si="1"/>
        <v>0.35033086804203972</v>
      </c>
      <c r="N10" s="4">
        <v>90</v>
      </c>
      <c r="O10" s="4">
        <v>140.69</v>
      </c>
      <c r="P10" s="4">
        <v>62.47</v>
      </c>
      <c r="Q10" s="4">
        <v>2.89</v>
      </c>
      <c r="R10" s="5">
        <f t="shared" si="2"/>
        <v>0.6397043144502097</v>
      </c>
      <c r="T10" s="4">
        <v>70</v>
      </c>
      <c r="U10" s="4">
        <v>127.33</v>
      </c>
      <c r="V10" s="4">
        <v>67.260000000000005</v>
      </c>
      <c r="W10" s="4">
        <v>2.52</v>
      </c>
      <c r="X10" s="5">
        <f t="shared" si="3"/>
        <v>0.54975261132490383</v>
      </c>
      <c r="Z10" s="4">
        <v>90</v>
      </c>
      <c r="AA10" s="5">
        <f>0.28+38.88+178.18</f>
        <v>217.34</v>
      </c>
      <c r="AB10" s="5">
        <f>2.44+31.89+74.96</f>
        <v>109.28999999999999</v>
      </c>
      <c r="AC10" s="4">
        <v>2.81</v>
      </c>
      <c r="AD10" s="5">
        <f t="shared" si="4"/>
        <v>0.414097727063587</v>
      </c>
    </row>
    <row r="11" spans="2:30" x14ac:dyDescent="0.25">
      <c r="B11" s="4">
        <v>70</v>
      </c>
      <c r="C11" s="4">
        <v>126.48</v>
      </c>
      <c r="D11" s="4">
        <v>63.05</v>
      </c>
      <c r="E11" s="4">
        <v>2.36</v>
      </c>
      <c r="F11" s="5">
        <f t="shared" si="0"/>
        <v>0.55344718532574322</v>
      </c>
      <c r="H11" s="4">
        <v>40</v>
      </c>
      <c r="I11" s="5">
        <f>87.57+30.3</f>
        <v>117.86999999999999</v>
      </c>
      <c r="J11" s="5">
        <f>62.93+28.02</f>
        <v>90.95</v>
      </c>
      <c r="K11" s="4">
        <v>1.86</v>
      </c>
      <c r="L11" s="5">
        <f t="shared" si="1"/>
        <v>0.33935691863917877</v>
      </c>
      <c r="N11" s="4">
        <v>80</v>
      </c>
      <c r="O11" s="4">
        <v>127.3</v>
      </c>
      <c r="P11" s="4">
        <v>61.45</v>
      </c>
      <c r="Q11" s="4">
        <v>2.67</v>
      </c>
      <c r="R11" s="5">
        <f t="shared" si="2"/>
        <v>0.62843676355066769</v>
      </c>
      <c r="T11" s="4">
        <v>60</v>
      </c>
      <c r="U11" s="4">
        <v>114.52</v>
      </c>
      <c r="V11" s="4">
        <v>65.040000000000006</v>
      </c>
      <c r="W11" s="4">
        <v>2.31</v>
      </c>
      <c r="X11" s="5">
        <f t="shared" si="3"/>
        <v>0.52392595179881241</v>
      </c>
      <c r="Z11" s="4">
        <v>80</v>
      </c>
      <c r="AA11" s="5">
        <f>163.16+32.31</f>
        <v>195.47</v>
      </c>
      <c r="AB11" s="5">
        <f>73.19+30.64</f>
        <v>103.83</v>
      </c>
      <c r="AC11" s="4">
        <v>2.59</v>
      </c>
      <c r="AD11" s="5">
        <f t="shared" si="4"/>
        <v>0.40926996470046556</v>
      </c>
    </row>
    <row r="12" spans="2:30" x14ac:dyDescent="0.25">
      <c r="B12" s="4">
        <v>60</v>
      </c>
      <c r="C12" s="4">
        <v>114.15</v>
      </c>
      <c r="D12" s="4">
        <v>62.41</v>
      </c>
      <c r="E12" s="4">
        <v>2.16</v>
      </c>
      <c r="F12" s="5">
        <f t="shared" si="0"/>
        <v>0.52562417871222078</v>
      </c>
      <c r="H12" s="4">
        <v>35</v>
      </c>
      <c r="I12" s="5">
        <f>80.4+27</f>
        <v>107.4</v>
      </c>
      <c r="J12" s="5">
        <f>61.57+28.42</f>
        <v>89.990000000000009</v>
      </c>
      <c r="K12" s="4">
        <v>1.73</v>
      </c>
      <c r="L12" s="5">
        <f t="shared" si="1"/>
        <v>0.32588454376163872</v>
      </c>
      <c r="N12" s="4">
        <v>70</v>
      </c>
      <c r="O12" s="4">
        <v>114</v>
      </c>
      <c r="P12" s="4">
        <v>61.64</v>
      </c>
      <c r="Q12" s="4">
        <v>2.4700000000000002</v>
      </c>
      <c r="R12" s="5">
        <f t="shared" si="2"/>
        <v>0.61403508771929827</v>
      </c>
      <c r="T12" s="4">
        <v>50</v>
      </c>
      <c r="U12" s="4">
        <v>101.55</v>
      </c>
      <c r="V12" s="4">
        <v>61.77</v>
      </c>
      <c r="W12" s="4">
        <v>2.11</v>
      </c>
      <c r="X12" s="5">
        <f t="shared" si="3"/>
        <v>0.4923682914820286</v>
      </c>
      <c r="Z12" s="4">
        <v>70</v>
      </c>
      <c r="AA12" s="5">
        <f>147.17+25.67</f>
        <v>172.83999999999997</v>
      </c>
      <c r="AB12" s="5">
        <f>72.25+29.14</f>
        <v>101.39</v>
      </c>
      <c r="AC12" s="4">
        <v>2.37</v>
      </c>
      <c r="AD12" s="5">
        <f t="shared" si="4"/>
        <v>0.40499884286044902</v>
      </c>
    </row>
    <row r="13" spans="2:30" x14ac:dyDescent="0.25">
      <c r="B13" s="4">
        <v>50</v>
      </c>
      <c r="C13" s="4">
        <v>101.59</v>
      </c>
      <c r="D13" s="4">
        <v>61.06</v>
      </c>
      <c r="E13" s="4">
        <v>1.96</v>
      </c>
      <c r="F13" s="5">
        <f t="shared" si="0"/>
        <v>0.49217442661679295</v>
      </c>
      <c r="H13" s="4">
        <v>30</v>
      </c>
      <c r="I13" s="5">
        <f>72.81+23.55</f>
        <v>96.36</v>
      </c>
      <c r="J13" s="5">
        <f>60.46+26.52</f>
        <v>86.98</v>
      </c>
      <c r="K13" s="4">
        <v>1.61</v>
      </c>
      <c r="L13" s="5">
        <f t="shared" si="1"/>
        <v>0.31133250311332505</v>
      </c>
      <c r="N13" s="4">
        <v>60</v>
      </c>
      <c r="O13" s="4">
        <v>101.65</v>
      </c>
      <c r="P13" s="4">
        <v>59.37</v>
      </c>
      <c r="Q13" s="4">
        <v>2.2599999999999998</v>
      </c>
      <c r="R13" s="5">
        <f t="shared" si="2"/>
        <v>0.59026069847515983</v>
      </c>
      <c r="T13" s="4">
        <v>40</v>
      </c>
      <c r="U13" s="4">
        <v>88.13</v>
      </c>
      <c r="V13" s="4">
        <v>60.06</v>
      </c>
      <c r="W13" s="4">
        <v>1.9</v>
      </c>
      <c r="X13" s="5">
        <f t="shared" si="3"/>
        <v>0.45387495744922274</v>
      </c>
      <c r="Z13" s="4">
        <v>60</v>
      </c>
      <c r="AA13" s="5">
        <f>0.39+19.96+133.18</f>
        <v>153.53</v>
      </c>
      <c r="AB13" s="5">
        <f>6.12+16.6+71.43</f>
        <v>94.15</v>
      </c>
      <c r="AC13" s="4">
        <v>2.17</v>
      </c>
      <c r="AD13" s="5">
        <f t="shared" si="4"/>
        <v>0.39080310037126292</v>
      </c>
    </row>
    <row r="14" spans="2:30" x14ac:dyDescent="0.25">
      <c r="B14" s="4">
        <v>40</v>
      </c>
      <c r="C14" s="4">
        <v>87.98</v>
      </c>
      <c r="D14" s="4">
        <v>60.35</v>
      </c>
      <c r="E14" s="4">
        <v>1.74</v>
      </c>
      <c r="F14" s="5">
        <f t="shared" si="0"/>
        <v>0.4546487838145033</v>
      </c>
      <c r="H14" s="4">
        <v>25</v>
      </c>
      <c r="I14" s="5">
        <f>64.67+20.01</f>
        <v>84.68</v>
      </c>
      <c r="J14" s="5">
        <f>59.55+25.94</f>
        <v>85.49</v>
      </c>
      <c r="K14" s="4">
        <v>1.47</v>
      </c>
      <c r="L14" s="5">
        <f t="shared" si="1"/>
        <v>0.29522909777987716</v>
      </c>
      <c r="N14" s="4">
        <v>50</v>
      </c>
      <c r="O14" s="4">
        <v>90.31</v>
      </c>
      <c r="P14" s="4">
        <v>57.42</v>
      </c>
      <c r="Q14" s="4">
        <v>2.06</v>
      </c>
      <c r="R14" s="5">
        <f t="shared" si="2"/>
        <v>0.55364854390432949</v>
      </c>
      <c r="T14" s="4">
        <v>30</v>
      </c>
      <c r="U14" s="4">
        <v>74.099999999999994</v>
      </c>
      <c r="V14" s="4">
        <v>58.88</v>
      </c>
      <c r="W14" s="4">
        <v>1.65</v>
      </c>
      <c r="X14" s="5">
        <f t="shared" si="3"/>
        <v>0.40485829959514175</v>
      </c>
      <c r="Z14" s="4">
        <v>50</v>
      </c>
      <c r="AA14" s="5">
        <f>16.66+118.13</f>
        <v>134.79</v>
      </c>
      <c r="AB14" s="5">
        <f>15.38+69.14</f>
        <v>84.52</v>
      </c>
      <c r="AC14" s="4">
        <v>1.96</v>
      </c>
      <c r="AD14" s="5">
        <f t="shared" si="4"/>
        <v>0.37094739965872842</v>
      </c>
    </row>
    <row r="15" spans="2:30" x14ac:dyDescent="0.25">
      <c r="B15" s="4">
        <v>30</v>
      </c>
      <c r="C15" s="4">
        <v>73.83</v>
      </c>
      <c r="D15" s="4">
        <v>59.5</v>
      </c>
      <c r="E15" s="4">
        <v>1.49</v>
      </c>
      <c r="F15" s="5">
        <f t="shared" si="0"/>
        <v>0.40633888663145062</v>
      </c>
      <c r="H15" s="4">
        <v>20</v>
      </c>
      <c r="I15" s="5">
        <f>55.7+16.41</f>
        <v>72.11</v>
      </c>
      <c r="J15" s="5">
        <f>58.15+22.85</f>
        <v>81</v>
      </c>
      <c r="K15" s="4">
        <v>1.31</v>
      </c>
      <c r="L15" s="5">
        <f t="shared" si="1"/>
        <v>0.27735404243516848</v>
      </c>
      <c r="N15" s="4">
        <v>40</v>
      </c>
      <c r="O15" s="4">
        <v>77.459999999999994</v>
      </c>
      <c r="P15" s="4">
        <v>55.67</v>
      </c>
      <c r="Q15" s="4">
        <v>1.83</v>
      </c>
      <c r="R15" s="5">
        <f t="shared" si="2"/>
        <v>0.51639555899819267</v>
      </c>
      <c r="T15" s="4">
        <v>20</v>
      </c>
      <c r="U15" s="4">
        <v>57.39</v>
      </c>
      <c r="V15" s="4">
        <v>56.54</v>
      </c>
      <c r="W15" s="4">
        <v>1.36</v>
      </c>
      <c r="X15" s="5">
        <f t="shared" si="3"/>
        <v>0.34849276877504792</v>
      </c>
      <c r="Z15" s="4">
        <v>40</v>
      </c>
      <c r="AA15" s="5">
        <f>103.54+13.46</f>
        <v>117</v>
      </c>
      <c r="AB15" s="5">
        <f>68.27+13.65</f>
        <v>81.92</v>
      </c>
      <c r="AC15" s="4">
        <v>1.76</v>
      </c>
      <c r="AD15" s="5">
        <f t="shared" si="4"/>
        <v>0.34188034188034189</v>
      </c>
    </row>
    <row r="16" spans="2:30" x14ac:dyDescent="0.25">
      <c r="B16" s="4">
        <v>20</v>
      </c>
      <c r="C16" s="4">
        <v>56.86</v>
      </c>
      <c r="D16" s="4">
        <v>58.73</v>
      </c>
      <c r="E16" s="4">
        <v>1.22</v>
      </c>
      <c r="F16" s="5">
        <f t="shared" si="0"/>
        <v>0.35174111853675694</v>
      </c>
      <c r="H16" s="4">
        <v>15</v>
      </c>
      <c r="I16" s="5">
        <f>46.54+12.88</f>
        <v>59.42</v>
      </c>
      <c r="J16" s="5">
        <f>57.3+21.66</f>
        <v>78.959999999999994</v>
      </c>
      <c r="K16" s="4">
        <v>1.17</v>
      </c>
      <c r="L16" s="5">
        <f t="shared" si="1"/>
        <v>0.25244025580612589</v>
      </c>
      <c r="N16" s="4">
        <v>30</v>
      </c>
      <c r="O16" s="4">
        <v>64.61</v>
      </c>
      <c r="P16" s="4">
        <v>53.68</v>
      </c>
      <c r="Q16" s="4">
        <v>1.6</v>
      </c>
      <c r="R16" s="5">
        <f t="shared" si="2"/>
        <v>0.46432440798637981</v>
      </c>
      <c r="T16" s="4">
        <v>10</v>
      </c>
      <c r="U16" s="4">
        <v>38.4</v>
      </c>
      <c r="V16" s="4">
        <v>55.03</v>
      </c>
      <c r="W16" s="4">
        <v>1.02</v>
      </c>
      <c r="X16" s="5">
        <f t="shared" si="3"/>
        <v>0.26041666666666669</v>
      </c>
      <c r="Z16" s="4">
        <v>30</v>
      </c>
      <c r="AA16" s="5">
        <f>87.15+10.28</f>
        <v>97.43</v>
      </c>
      <c r="AB16" s="5">
        <f>67.31+12.3</f>
        <v>79.61</v>
      </c>
      <c r="AC16" s="4">
        <v>1.51</v>
      </c>
      <c r="AD16" s="5">
        <f t="shared" si="4"/>
        <v>0.30791337370419786</v>
      </c>
    </row>
    <row r="17" spans="2:30" x14ac:dyDescent="0.25">
      <c r="B17" s="4">
        <v>10</v>
      </c>
      <c r="C17" s="4">
        <v>36.979999999999997</v>
      </c>
      <c r="D17" s="4">
        <v>57.72</v>
      </c>
      <c r="E17" s="4">
        <v>0.89</v>
      </c>
      <c r="F17" s="5">
        <f t="shared" si="0"/>
        <v>0.27041644131963227</v>
      </c>
      <c r="H17" s="4">
        <v>10</v>
      </c>
      <c r="I17" s="5">
        <f>9.08+36.3</f>
        <v>45.379999999999995</v>
      </c>
      <c r="J17" s="5">
        <f>18.17+56.14</f>
        <v>74.31</v>
      </c>
      <c r="K17" s="4">
        <v>0.98</v>
      </c>
      <c r="L17" s="5">
        <f t="shared" si="1"/>
        <v>0.22036139268400179</v>
      </c>
      <c r="N17" s="4">
        <v>20</v>
      </c>
      <c r="O17" s="4">
        <v>49.33</v>
      </c>
      <c r="P17" s="4">
        <v>51.73</v>
      </c>
      <c r="Q17" s="4">
        <v>1.31</v>
      </c>
      <c r="R17" s="5">
        <f t="shared" si="2"/>
        <v>0.40543279951348066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Z17" s="4">
        <v>20</v>
      </c>
      <c r="AA17" s="5">
        <f>67.38+6.89</f>
        <v>74.27</v>
      </c>
      <c r="AB17" s="5">
        <f>66.59+12.04</f>
        <v>78.63</v>
      </c>
      <c r="AC17" s="4">
        <v>1.22</v>
      </c>
      <c r="AD17" s="5">
        <f t="shared" si="4"/>
        <v>0.26928773394371885</v>
      </c>
    </row>
    <row r="18" spans="2:30" x14ac:dyDescent="0.25">
      <c r="B18" s="4">
        <v>0</v>
      </c>
      <c r="C18" s="4">
        <v>0</v>
      </c>
      <c r="D18" s="4">
        <v>0</v>
      </c>
      <c r="E18" s="4">
        <v>0</v>
      </c>
      <c r="F18" s="4">
        <v>0</v>
      </c>
      <c r="H18" s="4">
        <v>5</v>
      </c>
      <c r="I18" s="5">
        <f>5.5+24.03</f>
        <v>29.53</v>
      </c>
      <c r="J18" s="4">
        <f>55.19+14.46</f>
        <v>69.650000000000006</v>
      </c>
      <c r="K18" s="4">
        <v>0.75</v>
      </c>
      <c r="L18" s="5">
        <f t="shared" si="1"/>
        <v>0.16931933626820181</v>
      </c>
      <c r="N18" s="4">
        <v>10</v>
      </c>
      <c r="O18" s="4">
        <v>32.380000000000003</v>
      </c>
      <c r="P18" s="4">
        <v>49.7</v>
      </c>
      <c r="Q18" s="4">
        <v>0.98</v>
      </c>
      <c r="R18" s="5">
        <f t="shared" si="2"/>
        <v>0.30883261272390361</v>
      </c>
      <c r="Z18" s="4">
        <v>10</v>
      </c>
      <c r="AA18" s="5">
        <f>45.26+3.65</f>
        <v>48.91</v>
      </c>
      <c r="AB18" s="5">
        <f>63.59+8.44</f>
        <v>72.03</v>
      </c>
      <c r="AC18" s="4">
        <v>0.87</v>
      </c>
      <c r="AD18" s="5">
        <f t="shared" si="4"/>
        <v>0.20445716622367616</v>
      </c>
    </row>
    <row r="19" spans="2:30" x14ac:dyDescent="0.25">
      <c r="H19" s="4">
        <v>0</v>
      </c>
      <c r="I19" s="4">
        <v>0</v>
      </c>
      <c r="J19" s="4">
        <v>0</v>
      </c>
      <c r="K19" s="4">
        <v>0</v>
      </c>
      <c r="L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</row>
    <row r="22" spans="2:30" x14ac:dyDescent="0.25">
      <c r="B22" s="1" t="s">
        <v>0</v>
      </c>
      <c r="C22" s="2">
        <v>1289</v>
      </c>
      <c r="D22" s="3"/>
      <c r="E22" s="3"/>
      <c r="F22" s="3"/>
      <c r="H22" s="1" t="s">
        <v>0</v>
      </c>
      <c r="I22" s="2">
        <v>1289</v>
      </c>
      <c r="J22" s="3"/>
      <c r="K22" s="3"/>
      <c r="L22" s="3"/>
      <c r="N22" s="1" t="s">
        <v>0</v>
      </c>
      <c r="O22" s="2">
        <v>1289</v>
      </c>
      <c r="P22" s="3"/>
      <c r="Q22" s="3"/>
      <c r="R22" s="3"/>
      <c r="T22" s="1" t="s">
        <v>0</v>
      </c>
      <c r="U22" s="2">
        <v>1289</v>
      </c>
      <c r="V22" s="3"/>
      <c r="W22" s="3"/>
      <c r="X22" s="3"/>
      <c r="Z22" s="1" t="s">
        <v>0</v>
      </c>
      <c r="AA22" s="2">
        <v>1289</v>
      </c>
      <c r="AB22" s="3"/>
      <c r="AC22" s="3"/>
      <c r="AD22" s="3"/>
    </row>
    <row r="23" spans="2:30" x14ac:dyDescent="0.25">
      <c r="B23" s="1" t="s">
        <v>1</v>
      </c>
      <c r="C23" s="2">
        <v>631.89</v>
      </c>
      <c r="D23" s="3"/>
      <c r="E23" s="3"/>
      <c r="F23" s="3"/>
      <c r="H23" s="1" t="s">
        <v>1</v>
      </c>
      <c r="I23" s="2">
        <v>782.85</v>
      </c>
      <c r="J23" s="3"/>
      <c r="K23" s="3"/>
      <c r="L23" s="3"/>
      <c r="N23" s="1" t="s">
        <v>1</v>
      </c>
      <c r="O23" s="2">
        <v>950.61</v>
      </c>
      <c r="P23" s="3"/>
      <c r="Q23" s="3"/>
      <c r="R23" s="3"/>
      <c r="T23" s="1" t="s">
        <v>1</v>
      </c>
      <c r="U23" s="2">
        <v>1089.4100000000001</v>
      </c>
      <c r="V23" s="3"/>
      <c r="W23" s="3"/>
      <c r="X23" s="3"/>
      <c r="Z23" s="1" t="s">
        <v>1</v>
      </c>
      <c r="AA23" s="2">
        <v>1178.01</v>
      </c>
      <c r="AB23" s="3"/>
      <c r="AC23" s="3"/>
      <c r="AD23" s="3"/>
    </row>
    <row r="24" spans="2:30" x14ac:dyDescent="0.25">
      <c r="B24" s="3"/>
      <c r="C24" s="3"/>
      <c r="D24" s="3"/>
      <c r="E24" s="3"/>
      <c r="F24" s="3"/>
      <c r="H24" s="3"/>
      <c r="I24" s="3"/>
      <c r="J24" s="3"/>
      <c r="K24" s="3"/>
      <c r="L24" s="3"/>
      <c r="N24" s="3"/>
      <c r="O24" s="3"/>
      <c r="P24" s="3"/>
      <c r="Q24" s="3"/>
      <c r="R24" s="3"/>
      <c r="T24" s="3"/>
      <c r="U24" s="3"/>
      <c r="V24" s="3"/>
      <c r="W24" s="3"/>
      <c r="X24" s="3"/>
      <c r="Z24" s="3"/>
      <c r="AA24" s="3"/>
      <c r="AB24" s="3"/>
      <c r="AC24" s="3"/>
      <c r="AD24" s="3"/>
    </row>
    <row r="25" spans="2:30" x14ac:dyDescent="0.25">
      <c r="B25" s="1" t="s">
        <v>2</v>
      </c>
      <c r="C25" s="1" t="s">
        <v>3</v>
      </c>
      <c r="D25" s="1" t="s">
        <v>4</v>
      </c>
      <c r="E25" s="1" t="s">
        <v>5</v>
      </c>
      <c r="F25" s="1" t="s">
        <v>6</v>
      </c>
      <c r="H25" s="1" t="s">
        <v>2</v>
      </c>
      <c r="I25" s="1" t="s">
        <v>3</v>
      </c>
      <c r="J25" s="1" t="s">
        <v>4</v>
      </c>
      <c r="K25" s="1" t="s">
        <v>5</v>
      </c>
      <c r="L25" s="1" t="s">
        <v>6</v>
      </c>
      <c r="N25" s="1" t="s">
        <v>2</v>
      </c>
      <c r="O25" s="1" t="s">
        <v>3</v>
      </c>
      <c r="P25" s="1" t="s">
        <v>4</v>
      </c>
      <c r="Q25" s="1" t="s">
        <v>5</v>
      </c>
      <c r="R25" s="1" t="s">
        <v>6</v>
      </c>
      <c r="T25" s="1" t="s">
        <v>2</v>
      </c>
      <c r="U25" s="1" t="s">
        <v>3</v>
      </c>
      <c r="V25" s="1" t="s">
        <v>4</v>
      </c>
      <c r="W25" s="1" t="s">
        <v>5</v>
      </c>
      <c r="X25" s="1" t="s">
        <v>6</v>
      </c>
      <c r="Z25" s="1" t="s">
        <v>2</v>
      </c>
      <c r="AA25" s="1" t="s">
        <v>3</v>
      </c>
      <c r="AB25" s="1" t="s">
        <v>4</v>
      </c>
      <c r="AC25" s="1" t="s">
        <v>5</v>
      </c>
      <c r="AD25" s="1" t="s">
        <v>6</v>
      </c>
    </row>
    <row r="26" spans="2:30" x14ac:dyDescent="0.25">
      <c r="B26" s="4">
        <v>40</v>
      </c>
      <c r="C26" s="4">
        <v>122.81</v>
      </c>
      <c r="D26" s="4">
        <v>94.78</v>
      </c>
      <c r="E26" s="4">
        <v>2.0499999999999998</v>
      </c>
      <c r="F26" s="5">
        <f t="shared" ref="F26:F45" si="5">B26/C26</f>
        <v>0.32570637570230437</v>
      </c>
      <c r="H26" s="4">
        <v>80</v>
      </c>
      <c r="I26" s="5">
        <f>189.25+63.1</f>
        <v>252.35</v>
      </c>
      <c r="J26" s="5">
        <f>96.65+43.58</f>
        <v>140.23000000000002</v>
      </c>
      <c r="K26" s="4">
        <v>2.66</v>
      </c>
      <c r="L26" s="5">
        <f t="shared" ref="L26:L41" si="6">H26/I26</f>
        <v>0.31702001188825046</v>
      </c>
      <c r="N26" s="4">
        <v>110</v>
      </c>
      <c r="O26" s="5">
        <f>16.53+9.56+183.46</f>
        <v>209.55</v>
      </c>
      <c r="P26" s="5">
        <f>20.9+15.27+68.74</f>
        <v>104.91</v>
      </c>
      <c r="Q26" s="4">
        <v>3.17</v>
      </c>
      <c r="R26" s="5">
        <f t="shared" ref="R26:R36" si="7">N26/O26</f>
        <v>0.52493438320209973</v>
      </c>
      <c r="T26" s="4">
        <v>90</v>
      </c>
      <c r="U26" s="5">
        <f>53.01+148.36</f>
        <v>201.37</v>
      </c>
      <c r="V26" s="5">
        <f>30.9+64.29</f>
        <v>95.19</v>
      </c>
      <c r="W26" s="4">
        <v>3.01</v>
      </c>
      <c r="X26" s="5">
        <f t="shared" ref="X26:X43" si="8">T26/U26</f>
        <v>0.44693847147042753</v>
      </c>
      <c r="Z26" s="4">
        <v>110</v>
      </c>
      <c r="AA26" s="4">
        <v>221.39</v>
      </c>
      <c r="AB26" s="4">
        <v>83.25</v>
      </c>
      <c r="AC26" s="4">
        <v>3.25</v>
      </c>
      <c r="AD26" s="5">
        <f t="shared" ref="AD26:AD47" si="9">Z26/AA26</f>
        <v>0.49686074348434894</v>
      </c>
    </row>
    <row r="27" spans="2:30" x14ac:dyDescent="0.25">
      <c r="B27" s="4">
        <v>38</v>
      </c>
      <c r="C27" s="4">
        <v>118.84</v>
      </c>
      <c r="D27" s="4">
        <v>93.7</v>
      </c>
      <c r="E27" s="4">
        <v>1.79</v>
      </c>
      <c r="F27" s="5">
        <f t="shared" si="5"/>
        <v>0.31975765735442613</v>
      </c>
      <c r="H27" s="4">
        <v>75</v>
      </c>
      <c r="I27" s="5">
        <f>178.74+58.09</f>
        <v>236.83</v>
      </c>
      <c r="J27" s="5">
        <f>95.8+40.17</f>
        <v>135.97</v>
      </c>
      <c r="K27" s="4">
        <v>2.5299999999999998</v>
      </c>
      <c r="L27" s="5">
        <f t="shared" si="6"/>
        <v>0.31668285267913693</v>
      </c>
      <c r="N27" s="4">
        <v>100</v>
      </c>
      <c r="O27" s="5">
        <f>173.31+13.5+7.4</f>
        <v>194.21</v>
      </c>
      <c r="P27" s="5">
        <f>66.42+19.47+14.1</f>
        <v>99.99</v>
      </c>
      <c r="Q27" s="4">
        <v>3.02</v>
      </c>
      <c r="R27" s="5">
        <f t="shared" si="7"/>
        <v>0.51490654446218009</v>
      </c>
      <c r="T27" s="4">
        <v>85</v>
      </c>
      <c r="U27" s="5">
        <f>141.88+49.76</f>
        <v>191.64</v>
      </c>
      <c r="V27" s="5">
        <f>63.51+28.87</f>
        <v>92.38</v>
      </c>
      <c r="W27" s="4">
        <v>2.89</v>
      </c>
      <c r="X27" s="5">
        <f t="shared" si="8"/>
        <v>0.44353997077854312</v>
      </c>
      <c r="Z27" s="4">
        <v>105</v>
      </c>
      <c r="AA27" s="5">
        <f>214.03+1.53</f>
        <v>215.56</v>
      </c>
      <c r="AB27" s="5">
        <f>76.22+6.02</f>
        <v>82.24</v>
      </c>
      <c r="AC27" s="4">
        <v>3.18</v>
      </c>
      <c r="AD27" s="5">
        <f t="shared" si="9"/>
        <v>0.48710335869363519</v>
      </c>
    </row>
    <row r="28" spans="2:30" x14ac:dyDescent="0.25">
      <c r="B28" s="4">
        <v>36</v>
      </c>
      <c r="C28" s="5">
        <f>6.37+108.09</f>
        <v>114.46000000000001</v>
      </c>
      <c r="D28" s="5">
        <f>16.26+75.76</f>
        <v>92.02000000000001</v>
      </c>
      <c r="E28" s="4">
        <v>1.79</v>
      </c>
      <c r="F28" s="5">
        <f t="shared" si="5"/>
        <v>0.31452035645640397</v>
      </c>
      <c r="H28" s="4">
        <v>70</v>
      </c>
      <c r="I28" s="5">
        <f>54.62+168.57</f>
        <v>223.19</v>
      </c>
      <c r="J28" s="5">
        <f>39.54+95.8</f>
        <v>135.34</v>
      </c>
      <c r="K28" s="4">
        <v>2.44</v>
      </c>
      <c r="L28" s="5">
        <f t="shared" si="6"/>
        <v>0.31363412339262514</v>
      </c>
      <c r="N28" s="4">
        <v>90</v>
      </c>
      <c r="O28" s="5">
        <f>5.17+10.5+162.31</f>
        <v>177.98</v>
      </c>
      <c r="P28" s="5">
        <f>12.81+18.15+65.58</f>
        <v>96.539999999999992</v>
      </c>
      <c r="Q28" s="4">
        <v>2.85</v>
      </c>
      <c r="R28" s="5">
        <f t="shared" si="7"/>
        <v>0.5056747949207776</v>
      </c>
      <c r="T28" s="4">
        <v>80</v>
      </c>
      <c r="U28" s="4">
        <v>181.73</v>
      </c>
      <c r="V28" s="4">
        <v>90.04</v>
      </c>
      <c r="W28" s="4">
        <v>2.78</v>
      </c>
      <c r="X28" s="5">
        <f t="shared" si="8"/>
        <v>0.4402135035492214</v>
      </c>
      <c r="Z28" s="4">
        <v>100</v>
      </c>
      <c r="AA28" s="5">
        <f>208.49+1.06</f>
        <v>209.55</v>
      </c>
      <c r="AB28" s="5">
        <f>75.21+5.99</f>
        <v>81.199999999999989</v>
      </c>
      <c r="AC28" s="4">
        <v>3.12</v>
      </c>
      <c r="AD28" s="5">
        <f t="shared" si="9"/>
        <v>0.47721307563827248</v>
      </c>
    </row>
    <row r="29" spans="2:30" x14ac:dyDescent="0.25">
      <c r="B29" s="4">
        <v>34</v>
      </c>
      <c r="C29" s="5">
        <f>103.96+5.67</f>
        <v>109.63</v>
      </c>
      <c r="D29" s="5">
        <f>75.13+14.8</f>
        <v>89.929999999999993</v>
      </c>
      <c r="E29" s="4">
        <v>1.74</v>
      </c>
      <c r="F29" s="5">
        <f t="shared" si="5"/>
        <v>0.31013408738483994</v>
      </c>
      <c r="H29" s="4">
        <v>65</v>
      </c>
      <c r="I29" s="5">
        <f>159.09+50.63</f>
        <v>209.72</v>
      </c>
      <c r="J29" s="5">
        <f>94.13+37.88</f>
        <v>132.01</v>
      </c>
      <c r="K29" s="4">
        <v>2.35</v>
      </c>
      <c r="L29" s="5">
        <f t="shared" si="6"/>
        <v>0.30993705893572382</v>
      </c>
      <c r="N29" s="4">
        <v>80</v>
      </c>
      <c r="O29" s="5">
        <f>148.98+6.86+2.63</f>
        <v>158.47</v>
      </c>
      <c r="P29" s="5">
        <f>64.39+16.14+11.67</f>
        <v>92.2</v>
      </c>
      <c r="Q29" s="4">
        <v>2.64</v>
      </c>
      <c r="R29" s="5">
        <f t="shared" si="7"/>
        <v>0.50482741212847859</v>
      </c>
      <c r="T29" s="4">
        <v>75</v>
      </c>
      <c r="U29" s="5">
        <f>128.38+44.01</f>
        <v>172.39</v>
      </c>
      <c r="V29" s="5">
        <f>62.1+25.82</f>
        <v>87.92</v>
      </c>
      <c r="W29" s="4">
        <v>2.7</v>
      </c>
      <c r="X29" s="5">
        <f t="shared" si="8"/>
        <v>0.43506003828528339</v>
      </c>
      <c r="Z29" s="4">
        <v>95</v>
      </c>
      <c r="AA29" s="5">
        <f>0.12+0.54+202.47</f>
        <v>203.13</v>
      </c>
      <c r="AB29" s="5">
        <f>1.61+3.21+74.9</f>
        <v>79.72</v>
      </c>
      <c r="AC29" s="4">
        <v>3.04</v>
      </c>
      <c r="AD29" s="5">
        <f t="shared" si="9"/>
        <v>0.46768079554964803</v>
      </c>
    </row>
    <row r="30" spans="2:30" x14ac:dyDescent="0.25">
      <c r="B30" s="4">
        <v>32</v>
      </c>
      <c r="C30" s="5">
        <f>4.92+99.76</f>
        <v>104.68</v>
      </c>
      <c r="D30" s="5">
        <f>13.83+74.94</f>
        <v>88.77</v>
      </c>
      <c r="E30" s="4">
        <v>1.68</v>
      </c>
      <c r="F30" s="5">
        <f t="shared" si="5"/>
        <v>0.30569354222392048</v>
      </c>
      <c r="H30" s="4">
        <v>60</v>
      </c>
      <c r="I30" s="5">
        <f>46.89+149.67</f>
        <v>196.56</v>
      </c>
      <c r="J30" s="5">
        <f>36.85+93.42</f>
        <v>130.27000000000001</v>
      </c>
      <c r="K30" s="4">
        <v>2.2400000000000002</v>
      </c>
      <c r="L30" s="5">
        <f t="shared" si="6"/>
        <v>0.30525030525030522</v>
      </c>
      <c r="N30" s="4">
        <v>70</v>
      </c>
      <c r="O30" s="5">
        <f>3.69+0.86+0.03+135.77</f>
        <v>140.35000000000002</v>
      </c>
      <c r="P30" s="5">
        <f>13.95+3.72+0.91+65.1</f>
        <v>83.679999999999993</v>
      </c>
      <c r="Q30" s="4">
        <v>2.44</v>
      </c>
      <c r="R30" s="5">
        <f t="shared" si="7"/>
        <v>0.49875311720698245</v>
      </c>
      <c r="T30" s="4">
        <v>70</v>
      </c>
      <c r="U30" s="5">
        <f>41.61+122.03</f>
        <v>163.63999999999999</v>
      </c>
      <c r="V30" s="5">
        <f>25.8+61.43</f>
        <v>87.23</v>
      </c>
      <c r="W30" s="4">
        <v>2.59</v>
      </c>
      <c r="X30" s="5">
        <f t="shared" si="8"/>
        <v>0.42776827181618188</v>
      </c>
      <c r="Z30" s="4">
        <v>90</v>
      </c>
      <c r="AA30" s="5">
        <f>196.1+0.3</f>
        <v>196.4</v>
      </c>
      <c r="AB30" s="5">
        <f>74.74+2.18</f>
        <v>76.92</v>
      </c>
      <c r="AC30" s="4">
        <v>2.94</v>
      </c>
      <c r="AD30" s="5">
        <f t="shared" si="9"/>
        <v>0.45824847250509165</v>
      </c>
    </row>
    <row r="31" spans="2:30" x14ac:dyDescent="0.25">
      <c r="B31" s="4">
        <v>30</v>
      </c>
      <c r="C31" s="5">
        <f>96.71+4.23</f>
        <v>100.94</v>
      </c>
      <c r="D31" s="5">
        <f>74.5+12.77</f>
        <v>87.27</v>
      </c>
      <c r="E31" s="4">
        <v>1.61</v>
      </c>
      <c r="F31" s="5">
        <f t="shared" si="5"/>
        <v>0.2972062611452348</v>
      </c>
      <c r="H31" s="4">
        <v>55</v>
      </c>
      <c r="I31" s="5">
        <f>140.32+43.05</f>
        <v>183.37</v>
      </c>
      <c r="J31" s="5">
        <f>92.87+35.8</f>
        <v>128.67000000000002</v>
      </c>
      <c r="K31" s="4">
        <v>2.14</v>
      </c>
      <c r="L31" s="5">
        <f t="shared" si="6"/>
        <v>0.29994001199760045</v>
      </c>
      <c r="N31" s="4">
        <v>60</v>
      </c>
      <c r="O31" s="5">
        <f>122.93+1.32+0.25</f>
        <v>124.5</v>
      </c>
      <c r="P31" s="5">
        <f>63.61+9.41+2.37</f>
        <v>75.39</v>
      </c>
      <c r="Q31" s="4">
        <v>2.25</v>
      </c>
      <c r="R31" s="5">
        <f t="shared" si="7"/>
        <v>0.48192771084337349</v>
      </c>
      <c r="T31" s="4">
        <v>65</v>
      </c>
      <c r="U31" s="5">
        <f>115.79+39.19</f>
        <v>154.98000000000002</v>
      </c>
      <c r="V31" s="5">
        <f>59.52+24.85</f>
        <v>84.37</v>
      </c>
      <c r="W31" s="4">
        <v>2.4900000000000002</v>
      </c>
      <c r="X31" s="5">
        <f t="shared" si="8"/>
        <v>0.41940895599432182</v>
      </c>
      <c r="Z31" s="4">
        <v>85</v>
      </c>
      <c r="AA31" s="5">
        <f>188.46+0.12</f>
        <v>188.58</v>
      </c>
      <c r="AB31" s="5">
        <f>74.2+1.55</f>
        <v>75.75</v>
      </c>
      <c r="AC31" s="4">
        <v>2.85</v>
      </c>
      <c r="AD31" s="5">
        <f t="shared" si="9"/>
        <v>0.45073708770813448</v>
      </c>
    </row>
    <row r="32" spans="2:30" x14ac:dyDescent="0.25">
      <c r="B32" s="4">
        <v>28</v>
      </c>
      <c r="C32" s="5">
        <f>3.53+92.08</f>
        <v>95.61</v>
      </c>
      <c r="D32" s="5">
        <f>11.7+73.81</f>
        <v>85.51</v>
      </c>
      <c r="E32" s="4">
        <v>1.58</v>
      </c>
      <c r="F32" s="5">
        <f t="shared" si="5"/>
        <v>0.29285639577450057</v>
      </c>
      <c r="H32" s="4">
        <v>50</v>
      </c>
      <c r="I32" s="5">
        <f>39.47+130.76</f>
        <v>170.23</v>
      </c>
      <c r="J32" s="5">
        <f>35.73+92.07</f>
        <v>127.79999999999998</v>
      </c>
      <c r="K32" s="4">
        <v>2.0499999999999998</v>
      </c>
      <c r="L32" s="5">
        <f t="shared" si="6"/>
        <v>0.29372026082359165</v>
      </c>
      <c r="N32" s="4">
        <v>50</v>
      </c>
      <c r="O32" s="4">
        <v>110.24</v>
      </c>
      <c r="P32" s="4">
        <v>61.79</v>
      </c>
      <c r="Q32" s="4">
        <v>2.0299999999999998</v>
      </c>
      <c r="R32" s="5">
        <f t="shared" si="7"/>
        <v>0.45355587808418002</v>
      </c>
      <c r="T32" s="4">
        <v>60</v>
      </c>
      <c r="U32" s="4">
        <f>36.48+110.19</f>
        <v>146.66999999999999</v>
      </c>
      <c r="V32" s="5">
        <f>24.34+59.65</f>
        <v>83.99</v>
      </c>
      <c r="W32" s="4">
        <v>2.39</v>
      </c>
      <c r="X32" s="5">
        <f t="shared" si="8"/>
        <v>0.40908161178155045</v>
      </c>
      <c r="Z32" s="4">
        <v>80</v>
      </c>
      <c r="AA32" s="5">
        <f>180.75</f>
        <v>180.75</v>
      </c>
      <c r="AB32" s="4">
        <v>73.959999999999994</v>
      </c>
      <c r="AC32" s="4">
        <v>2.73</v>
      </c>
      <c r="AD32" s="5">
        <f t="shared" si="9"/>
        <v>0.44260027662517287</v>
      </c>
    </row>
    <row r="33" spans="2:30" x14ac:dyDescent="0.25">
      <c r="B33" s="4">
        <v>26</v>
      </c>
      <c r="C33" s="5">
        <f>2.94+88.67</f>
        <v>91.61</v>
      </c>
      <c r="D33" s="5">
        <f>10.91+72.44</f>
        <v>83.35</v>
      </c>
      <c r="E33" s="4">
        <v>1.53</v>
      </c>
      <c r="F33" s="5">
        <f t="shared" si="5"/>
        <v>0.28381181093767055</v>
      </c>
      <c r="H33" s="4">
        <v>45</v>
      </c>
      <c r="I33" s="5">
        <f>121.05+35.71</f>
        <v>156.76</v>
      </c>
      <c r="J33" s="5">
        <f>89.54+34.89</f>
        <v>124.43</v>
      </c>
      <c r="K33" s="4">
        <v>1.93</v>
      </c>
      <c r="L33" s="5">
        <f t="shared" si="6"/>
        <v>0.28706302628221486</v>
      </c>
      <c r="N33" s="4">
        <v>40</v>
      </c>
      <c r="O33" s="4">
        <v>96.65</v>
      </c>
      <c r="P33" s="4">
        <v>61.47</v>
      </c>
      <c r="Q33" s="4">
        <v>1.82</v>
      </c>
      <c r="R33" s="5">
        <f t="shared" si="7"/>
        <v>0.41386445938954991</v>
      </c>
      <c r="T33" s="4">
        <v>55</v>
      </c>
      <c r="U33" s="5">
        <f>34.12+104.11</f>
        <v>138.22999999999999</v>
      </c>
      <c r="V33" s="5">
        <f>23.83+57.37</f>
        <v>81.199999999999989</v>
      </c>
      <c r="W33" s="4">
        <v>2.2799999999999998</v>
      </c>
      <c r="X33" s="5">
        <f t="shared" si="8"/>
        <v>0.39788757867322583</v>
      </c>
      <c r="Z33" s="4">
        <v>75</v>
      </c>
      <c r="AA33" s="4">
        <v>172.47</v>
      </c>
      <c r="AB33" s="4">
        <v>73.569999999999993</v>
      </c>
      <c r="AC33" s="4">
        <v>2.62</v>
      </c>
      <c r="AD33" s="5">
        <f t="shared" si="9"/>
        <v>0.43485823621499392</v>
      </c>
    </row>
    <row r="34" spans="2:30" x14ac:dyDescent="0.25">
      <c r="B34" s="4">
        <v>24</v>
      </c>
      <c r="C34" s="5">
        <f>2.35+83.53</f>
        <v>85.88</v>
      </c>
      <c r="D34" s="5">
        <f>10.07+72.94</f>
        <v>83.009999999999991</v>
      </c>
      <c r="E34" s="4">
        <v>1.45</v>
      </c>
      <c r="F34" s="5">
        <f t="shared" si="5"/>
        <v>0.2794597112249651</v>
      </c>
      <c r="H34" s="4">
        <v>40</v>
      </c>
      <c r="I34" s="5">
        <f>31.94+111.52</f>
        <v>143.46</v>
      </c>
      <c r="J34" s="5">
        <f>32.96+85.95</f>
        <v>118.91</v>
      </c>
      <c r="K34" s="4">
        <v>1.83</v>
      </c>
      <c r="L34" s="5">
        <f t="shared" si="6"/>
        <v>0.27882336539802033</v>
      </c>
      <c r="N34" s="4">
        <v>30</v>
      </c>
      <c r="O34" s="4">
        <v>81.650000000000006</v>
      </c>
      <c r="P34" s="4">
        <v>60.45</v>
      </c>
      <c r="Q34" s="4">
        <v>1.57</v>
      </c>
      <c r="R34" s="5">
        <f t="shared" si="7"/>
        <v>0.36742192284139619</v>
      </c>
      <c r="T34" s="4">
        <v>50</v>
      </c>
      <c r="U34" s="5">
        <f>32.01+97.84</f>
        <v>129.85</v>
      </c>
      <c r="V34" s="5">
        <f>23.52+56.42</f>
        <v>79.94</v>
      </c>
      <c r="W34" s="4">
        <v>2.1800000000000002</v>
      </c>
      <c r="X34" s="5">
        <f t="shared" si="8"/>
        <v>0.38505968425105891</v>
      </c>
      <c r="Z34" s="4">
        <v>70</v>
      </c>
      <c r="AA34" s="4">
        <v>164.47</v>
      </c>
      <c r="AB34" s="4">
        <v>73.03</v>
      </c>
      <c r="AC34" s="4">
        <v>2.52</v>
      </c>
      <c r="AD34" s="5">
        <f t="shared" si="9"/>
        <v>0.42560953365355386</v>
      </c>
    </row>
    <row r="35" spans="2:30" x14ac:dyDescent="0.25">
      <c r="B35" s="4">
        <v>22</v>
      </c>
      <c r="C35" s="5">
        <f>1.77+80.01</f>
        <v>81.78</v>
      </c>
      <c r="D35" s="5">
        <f>8.15+72.5</f>
        <v>80.650000000000006</v>
      </c>
      <c r="E35" s="4">
        <v>1.41</v>
      </c>
      <c r="F35" s="5">
        <f t="shared" si="5"/>
        <v>0.26901442895573491</v>
      </c>
      <c r="H35" s="4">
        <v>35</v>
      </c>
      <c r="I35" s="5">
        <f>101.29+28.03</f>
        <v>129.32</v>
      </c>
      <c r="J35" s="5">
        <f>82.79+31.96</f>
        <v>114.75</v>
      </c>
      <c r="K35" s="4">
        <v>1.7</v>
      </c>
      <c r="L35" s="5">
        <f t="shared" si="6"/>
        <v>0.27064645839777296</v>
      </c>
      <c r="N35" s="4">
        <v>20</v>
      </c>
      <c r="O35" s="4">
        <v>64.599999999999994</v>
      </c>
      <c r="P35" s="4">
        <v>58.41</v>
      </c>
      <c r="Q35" s="4">
        <v>1.31</v>
      </c>
      <c r="R35" s="5">
        <f t="shared" si="7"/>
        <v>0.30959752321981426</v>
      </c>
      <c r="T35" s="4">
        <v>45</v>
      </c>
      <c r="U35" s="5">
        <f>29.31+92.13</f>
        <v>121.44</v>
      </c>
      <c r="V35" s="5">
        <f>22.15+55.06</f>
        <v>77.210000000000008</v>
      </c>
      <c r="W35" s="4">
        <v>2.06</v>
      </c>
      <c r="X35" s="5">
        <f t="shared" si="8"/>
        <v>0.37055335968379449</v>
      </c>
      <c r="Z35" s="4">
        <v>65</v>
      </c>
      <c r="AA35" s="4">
        <v>157.91999999999999</v>
      </c>
      <c r="AB35" s="4">
        <v>72.95</v>
      </c>
      <c r="AC35" s="4">
        <v>2.44</v>
      </c>
      <c r="AD35" s="5">
        <f t="shared" si="9"/>
        <v>0.41160081053698078</v>
      </c>
    </row>
    <row r="36" spans="2:30" x14ac:dyDescent="0.25">
      <c r="B36" s="4">
        <v>20</v>
      </c>
      <c r="C36" s="5">
        <f>74.87+1.33</f>
        <v>76.2</v>
      </c>
      <c r="D36" s="5">
        <f>72.19+7</f>
        <v>79.19</v>
      </c>
      <c r="E36" s="4">
        <v>1.31</v>
      </c>
      <c r="F36" s="5">
        <f t="shared" si="5"/>
        <v>0.26246719160104987</v>
      </c>
      <c r="H36" s="4">
        <v>30</v>
      </c>
      <c r="I36" s="5">
        <f>24.18+90.66</f>
        <v>114.84</v>
      </c>
      <c r="J36" s="5">
        <f>26.99+76.23</f>
        <v>103.22</v>
      </c>
      <c r="K36" s="4">
        <v>1.57</v>
      </c>
      <c r="L36" s="5">
        <f t="shared" si="6"/>
        <v>0.2612330198537095</v>
      </c>
      <c r="N36" s="4">
        <v>10</v>
      </c>
      <c r="O36" s="4">
        <v>44.39</v>
      </c>
      <c r="P36" s="4">
        <v>57.66</v>
      </c>
      <c r="Q36" s="4">
        <v>0.93</v>
      </c>
      <c r="R36" s="5">
        <f t="shared" si="7"/>
        <v>0.22527596305474207</v>
      </c>
      <c r="T36" s="4">
        <v>40</v>
      </c>
      <c r="U36" s="5">
        <f>86.33+26.91</f>
        <v>113.24</v>
      </c>
      <c r="V36" s="5">
        <f>53.67+21.58</f>
        <v>75.25</v>
      </c>
      <c r="W36" s="4">
        <v>1.97</v>
      </c>
      <c r="X36" s="5">
        <f t="shared" si="8"/>
        <v>0.35323207347227131</v>
      </c>
      <c r="Z36" s="4">
        <v>60</v>
      </c>
      <c r="AA36" s="4">
        <v>150.84</v>
      </c>
      <c r="AB36" s="4">
        <v>72.64</v>
      </c>
      <c r="AC36" s="4">
        <v>2.33</v>
      </c>
      <c r="AD36" s="5">
        <f t="shared" si="9"/>
        <v>0.39777247414478917</v>
      </c>
    </row>
    <row r="37" spans="2:30" x14ac:dyDescent="0.25">
      <c r="B37" s="4">
        <v>18</v>
      </c>
      <c r="C37" s="5">
        <f>0.94+70.7</f>
        <v>71.64</v>
      </c>
      <c r="D37" s="5">
        <f>71.88+5.62</f>
        <v>77.5</v>
      </c>
      <c r="E37" s="4">
        <v>1.28</v>
      </c>
      <c r="F37" s="5">
        <f t="shared" si="5"/>
        <v>0.25125628140703515</v>
      </c>
      <c r="H37" s="4">
        <v>25</v>
      </c>
      <c r="I37" s="5">
        <f>20.73+81.16</f>
        <v>101.89</v>
      </c>
      <c r="J37" s="5">
        <f>26.56+67.48</f>
        <v>94.04</v>
      </c>
      <c r="K37" s="4">
        <v>1.44</v>
      </c>
      <c r="L37" s="5">
        <f t="shared" si="6"/>
        <v>0.24536264599077437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T37" s="4">
        <v>35</v>
      </c>
      <c r="U37" s="5">
        <f>80.01+24.3</f>
        <v>104.31</v>
      </c>
      <c r="V37" s="5">
        <f>52.79+20.65</f>
        <v>73.44</v>
      </c>
      <c r="W37" s="4">
        <v>1.83</v>
      </c>
      <c r="X37" s="5">
        <f t="shared" si="8"/>
        <v>0.33553829930016299</v>
      </c>
      <c r="Z37" s="4">
        <v>55</v>
      </c>
      <c r="AA37" s="4">
        <v>142.99</v>
      </c>
      <c r="AB37" s="4">
        <v>72.2</v>
      </c>
      <c r="AC37" s="4">
        <v>2.2200000000000002</v>
      </c>
      <c r="AD37" s="5">
        <f t="shared" si="9"/>
        <v>0.38464228267711026</v>
      </c>
    </row>
    <row r="38" spans="2:30" x14ac:dyDescent="0.25">
      <c r="B38" s="4">
        <v>16</v>
      </c>
      <c r="C38" s="5">
        <f>65.94+0.6+0.04</f>
        <v>66.58</v>
      </c>
      <c r="D38" s="5">
        <f>71.12+3.36+0.5</f>
        <v>74.98</v>
      </c>
      <c r="E38" s="4">
        <v>1.2</v>
      </c>
      <c r="F38" s="5">
        <f t="shared" si="5"/>
        <v>0.24031240612796637</v>
      </c>
      <c r="H38" s="4">
        <v>20</v>
      </c>
      <c r="I38" s="5">
        <f>17.3+70.96</f>
        <v>88.259999999999991</v>
      </c>
      <c r="J38" s="5">
        <f>23.33+66.43</f>
        <v>89.76</v>
      </c>
      <c r="K38" s="4">
        <v>1.29</v>
      </c>
      <c r="L38" s="5">
        <f t="shared" si="6"/>
        <v>0.22660321776569228</v>
      </c>
      <c r="T38" s="4">
        <v>30</v>
      </c>
      <c r="U38" s="5">
        <f>21.83+72.96</f>
        <v>94.789999999999992</v>
      </c>
      <c r="V38" s="5">
        <f>18.5+51.81</f>
        <v>70.31</v>
      </c>
      <c r="W38" s="4">
        <v>1.71</v>
      </c>
      <c r="X38" s="5">
        <f t="shared" si="8"/>
        <v>0.31648908112670116</v>
      </c>
      <c r="Z38" s="4">
        <v>50</v>
      </c>
      <c r="AA38" s="4">
        <v>135.87</v>
      </c>
      <c r="AB38" s="4">
        <v>71.819999999999993</v>
      </c>
      <c r="AC38" s="4">
        <v>2.11</v>
      </c>
      <c r="AD38" s="5">
        <f t="shared" si="9"/>
        <v>0.3679988224037683</v>
      </c>
    </row>
    <row r="39" spans="2:30" x14ac:dyDescent="0.25">
      <c r="B39" s="4">
        <v>14</v>
      </c>
      <c r="C39" s="5">
        <f>61.5+0.38+0.02</f>
        <v>61.900000000000006</v>
      </c>
      <c r="D39" s="5">
        <f>70.51+3.02+0.34</f>
        <v>73.87</v>
      </c>
      <c r="E39" s="4">
        <v>1.1499999999999999</v>
      </c>
      <c r="F39" s="5">
        <f t="shared" si="5"/>
        <v>0.22617124394184165</v>
      </c>
      <c r="H39" s="4">
        <v>15</v>
      </c>
      <c r="I39" s="5">
        <f>13.9+60.51</f>
        <v>74.41</v>
      </c>
      <c r="J39" s="5">
        <f>19.58+64.39</f>
        <v>83.97</v>
      </c>
      <c r="K39" s="4">
        <v>1.1299999999999999</v>
      </c>
      <c r="L39" s="5">
        <f t="shared" si="6"/>
        <v>0.20158580835909154</v>
      </c>
      <c r="T39" s="4">
        <v>25</v>
      </c>
      <c r="U39" s="5">
        <f>65.98+19.3</f>
        <v>85.28</v>
      </c>
      <c r="V39" s="5">
        <f>51.35+16.95</f>
        <v>68.3</v>
      </c>
      <c r="W39" s="4">
        <v>1.57</v>
      </c>
      <c r="X39" s="5">
        <f t="shared" si="8"/>
        <v>0.29315196998123827</v>
      </c>
      <c r="Z39" s="4">
        <v>45</v>
      </c>
      <c r="AA39" s="5">
        <f>127.91</f>
        <v>127.91</v>
      </c>
      <c r="AB39" s="4">
        <v>71.760000000000005</v>
      </c>
      <c r="AC39" s="4">
        <v>2</v>
      </c>
      <c r="AD39" s="5">
        <f t="shared" si="9"/>
        <v>0.35180986631225081</v>
      </c>
    </row>
    <row r="40" spans="2:30" x14ac:dyDescent="0.25">
      <c r="B40" s="4">
        <v>12</v>
      </c>
      <c r="C40" s="5">
        <f>55.85+0.12+0.06</f>
        <v>56.03</v>
      </c>
      <c r="D40" s="5">
        <f>69.53+1.6+0.77</f>
        <v>71.899999999999991</v>
      </c>
      <c r="E40" s="4">
        <v>1.06</v>
      </c>
      <c r="F40" s="5">
        <f t="shared" si="5"/>
        <v>0.21417097983223274</v>
      </c>
      <c r="H40" s="4">
        <v>10</v>
      </c>
      <c r="I40" s="5">
        <f>48.56+10.5</f>
        <v>59.06</v>
      </c>
      <c r="J40" s="5">
        <f>63.82+17.45</f>
        <v>81.27</v>
      </c>
      <c r="K40" s="4">
        <v>0.94</v>
      </c>
      <c r="L40" s="5">
        <f t="shared" si="6"/>
        <v>0.16931933626820181</v>
      </c>
      <c r="T40" s="4">
        <v>20</v>
      </c>
      <c r="U40" s="5">
        <f>16.89+58.17</f>
        <v>75.06</v>
      </c>
      <c r="V40" s="5">
        <f>15.86+49.55</f>
        <v>65.41</v>
      </c>
      <c r="W40" s="4">
        <v>1.42</v>
      </c>
      <c r="X40" s="5">
        <f t="shared" si="8"/>
        <v>0.2664535038635758</v>
      </c>
      <c r="Z40" s="4">
        <v>40</v>
      </c>
      <c r="AA40" s="4">
        <v>119.77</v>
      </c>
      <c r="AB40" s="4">
        <v>71.12</v>
      </c>
      <c r="AC40" s="4">
        <v>1.89</v>
      </c>
      <c r="AD40" s="5">
        <f t="shared" si="9"/>
        <v>0.33397344911079568</v>
      </c>
    </row>
    <row r="41" spans="2:30" x14ac:dyDescent="0.25">
      <c r="B41" s="4">
        <v>10</v>
      </c>
      <c r="C41" s="4">
        <v>50.82</v>
      </c>
      <c r="D41" s="4">
        <v>69.33</v>
      </c>
      <c r="E41" s="4">
        <v>0.99</v>
      </c>
      <c r="F41" s="5">
        <f t="shared" si="5"/>
        <v>0.1967729240456513</v>
      </c>
      <c r="H41" s="4">
        <v>5</v>
      </c>
      <c r="I41" s="5">
        <f>6.77+34.19</f>
        <v>40.959999999999994</v>
      </c>
      <c r="J41" s="5">
        <f>15.11+61.62</f>
        <v>76.72999999999999</v>
      </c>
      <c r="K41" s="4">
        <v>0.71</v>
      </c>
      <c r="L41" s="5">
        <f t="shared" si="6"/>
        <v>0.12207031250000001</v>
      </c>
      <c r="T41" s="4">
        <v>15</v>
      </c>
      <c r="U41" s="5">
        <f>14.34+48.92</f>
        <v>63.260000000000005</v>
      </c>
      <c r="V41" s="5">
        <f>15.4+48.92</f>
        <v>64.320000000000007</v>
      </c>
      <c r="W41" s="4">
        <v>1.25</v>
      </c>
      <c r="X41" s="5">
        <f t="shared" si="8"/>
        <v>0.2371166613974075</v>
      </c>
      <c r="Z41" s="4">
        <v>35</v>
      </c>
      <c r="AA41" s="4">
        <v>111.54</v>
      </c>
      <c r="AB41" s="4">
        <v>70.87</v>
      </c>
      <c r="AC41" s="4">
        <v>1.78</v>
      </c>
      <c r="AD41" s="5">
        <f t="shared" si="9"/>
        <v>0.31378877532723687</v>
      </c>
    </row>
    <row r="42" spans="2:30" x14ac:dyDescent="0.25">
      <c r="B42" s="4">
        <v>8</v>
      </c>
      <c r="C42" s="4">
        <v>45.38</v>
      </c>
      <c r="D42" s="4">
        <v>68.66</v>
      </c>
      <c r="E42" s="4">
        <v>0.9</v>
      </c>
      <c r="F42" s="5">
        <f t="shared" si="5"/>
        <v>0.17628911414720139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T42" s="4">
        <v>10</v>
      </c>
      <c r="U42" s="5">
        <f>11.6+41.08</f>
        <v>52.68</v>
      </c>
      <c r="V42" s="5">
        <f>14.56+48.79</f>
        <v>63.35</v>
      </c>
      <c r="W42" s="4">
        <v>1.08</v>
      </c>
      <c r="X42" s="5">
        <f t="shared" si="8"/>
        <v>0.18982536066818528</v>
      </c>
      <c r="Z42" s="4">
        <v>30</v>
      </c>
      <c r="AA42" s="4">
        <v>102.98</v>
      </c>
      <c r="AB42" s="4">
        <v>70.3</v>
      </c>
      <c r="AC42" s="4">
        <v>1.66</v>
      </c>
      <c r="AD42" s="5">
        <f t="shared" si="9"/>
        <v>0.2913187026607108</v>
      </c>
    </row>
    <row r="43" spans="2:30" x14ac:dyDescent="0.25">
      <c r="B43" s="4">
        <v>6</v>
      </c>
      <c r="C43" s="4">
        <v>38.78</v>
      </c>
      <c r="D43" s="4">
        <v>67.680000000000007</v>
      </c>
      <c r="E43" s="4">
        <v>0.8</v>
      </c>
      <c r="F43" s="5">
        <f t="shared" si="5"/>
        <v>0.15471892728210418</v>
      </c>
      <c r="T43" s="4">
        <v>5</v>
      </c>
      <c r="U43" s="5">
        <f>30.08+8.22</f>
        <v>38.299999999999997</v>
      </c>
      <c r="V43" s="5">
        <f>46.99+13.98</f>
        <v>60.97</v>
      </c>
      <c r="W43" s="4">
        <v>0.84</v>
      </c>
      <c r="X43" s="5">
        <f t="shared" si="8"/>
        <v>0.13054830287206268</v>
      </c>
      <c r="Z43" s="4">
        <v>25</v>
      </c>
      <c r="AA43" s="4">
        <v>92.81</v>
      </c>
      <c r="AB43" s="4">
        <v>69.989999999999995</v>
      </c>
      <c r="AC43" s="4">
        <v>1.51</v>
      </c>
      <c r="AD43" s="5">
        <f t="shared" si="9"/>
        <v>0.26936752505117983</v>
      </c>
    </row>
    <row r="44" spans="2:30" x14ac:dyDescent="0.25">
      <c r="B44" s="4">
        <v>4</v>
      </c>
      <c r="C44" s="4">
        <v>31.31</v>
      </c>
      <c r="D44" s="4">
        <v>67.37</v>
      </c>
      <c r="E44" s="4">
        <v>0.7</v>
      </c>
      <c r="F44" s="5">
        <f t="shared" si="5"/>
        <v>0.12775471095496646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Z44" s="4">
        <v>20</v>
      </c>
      <c r="AA44" s="4">
        <v>82.19</v>
      </c>
      <c r="AB44" s="4">
        <v>69.58</v>
      </c>
      <c r="AC44" s="4">
        <v>1.36</v>
      </c>
      <c r="AD44" s="5">
        <f t="shared" si="9"/>
        <v>0.24333860566978952</v>
      </c>
    </row>
    <row r="45" spans="2:30" x14ac:dyDescent="0.25">
      <c r="B45" s="4">
        <v>2</v>
      </c>
      <c r="C45" s="4">
        <v>22.1</v>
      </c>
      <c r="D45" s="4">
        <v>66.03</v>
      </c>
      <c r="E45" s="4">
        <v>0.56000000000000005</v>
      </c>
      <c r="F45" s="5">
        <f t="shared" si="5"/>
        <v>9.0497737556561084E-2</v>
      </c>
      <c r="Z45" s="4">
        <v>15</v>
      </c>
      <c r="AA45" s="4">
        <v>70.77</v>
      </c>
      <c r="AB45" s="4">
        <v>69.17</v>
      </c>
      <c r="AC45" s="4">
        <v>1.2</v>
      </c>
      <c r="AD45" s="5">
        <f t="shared" si="9"/>
        <v>0.21195421788893601</v>
      </c>
    </row>
    <row r="46" spans="2:30" x14ac:dyDescent="0.25">
      <c r="B46" s="4">
        <v>0</v>
      </c>
      <c r="C46" s="4">
        <v>0</v>
      </c>
      <c r="D46" s="4">
        <v>0</v>
      </c>
      <c r="E46" s="4">
        <v>0</v>
      </c>
      <c r="F46" s="4">
        <v>0</v>
      </c>
      <c r="Z46" s="4">
        <v>10</v>
      </c>
      <c r="AA46" s="4">
        <v>57.89</v>
      </c>
      <c r="AB46" s="4">
        <v>68.709999999999994</v>
      </c>
      <c r="AC46" s="4">
        <v>1.02</v>
      </c>
      <c r="AD46" s="5">
        <f t="shared" si="9"/>
        <v>0.17274140611504576</v>
      </c>
    </row>
    <row r="47" spans="2:30" x14ac:dyDescent="0.25">
      <c r="Z47" s="4">
        <v>5</v>
      </c>
      <c r="AA47" s="4">
        <v>41.89</v>
      </c>
      <c r="AB47" s="4">
        <v>68.239999999999995</v>
      </c>
      <c r="AC47" s="4">
        <v>0.77</v>
      </c>
      <c r="AD47" s="5">
        <f t="shared" si="9"/>
        <v>0.11936022917164001</v>
      </c>
    </row>
    <row r="48" spans="2:30" x14ac:dyDescent="0.25">
      <c r="Z48" s="4">
        <v>0</v>
      </c>
      <c r="AA48" s="4">
        <v>0</v>
      </c>
      <c r="AB48" s="4">
        <v>0</v>
      </c>
      <c r="AC48" s="4">
        <v>0</v>
      </c>
      <c r="AD48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W1:AG33"/>
  <sheetViews>
    <sheetView topLeftCell="A19" workbookViewId="0">
      <selection activeCell="Y20" sqref="Y20"/>
    </sheetView>
  </sheetViews>
  <sheetFormatPr defaultColWidth="14.44140625" defaultRowHeight="15.75" customHeight="1" x14ac:dyDescent="0.25"/>
  <sheetData>
    <row r="1" spans="23:27" ht="15.75" customHeight="1" x14ac:dyDescent="0.25">
      <c r="W1" s="6"/>
    </row>
    <row r="2" spans="23:27" ht="15.75" customHeight="1" x14ac:dyDescent="0.25">
      <c r="W2" s="6"/>
    </row>
    <row r="3" spans="23:27" ht="15.75" customHeight="1" x14ac:dyDescent="0.25">
      <c r="W3" s="6"/>
    </row>
    <row r="4" spans="23:27" ht="15.75" customHeight="1" x14ac:dyDescent="0.25">
      <c r="W4" s="6"/>
    </row>
    <row r="5" spans="23:27" ht="15.75" customHeight="1" x14ac:dyDescent="0.25">
      <c r="W5" s="6"/>
    </row>
    <row r="6" spans="23:27" ht="15.75" customHeight="1" x14ac:dyDescent="0.25">
      <c r="W6" s="6"/>
    </row>
    <row r="7" spans="23:27" ht="15.75" customHeight="1" x14ac:dyDescent="0.25">
      <c r="W7" s="6"/>
    </row>
    <row r="8" spans="23:27" ht="15.75" customHeight="1" x14ac:dyDescent="0.25">
      <c r="W8" s="6"/>
    </row>
    <row r="9" spans="23:27" ht="15.75" customHeight="1" x14ac:dyDescent="0.25">
      <c r="W9" s="6"/>
    </row>
    <row r="10" spans="23:27" ht="15.75" customHeight="1" x14ac:dyDescent="0.25">
      <c r="W10" s="6"/>
    </row>
    <row r="11" spans="23:27" ht="15.75" customHeight="1" x14ac:dyDescent="0.25">
      <c r="W11" s="6"/>
    </row>
    <row r="12" spans="23:27" ht="15.75" customHeight="1" x14ac:dyDescent="0.25">
      <c r="W12" s="6"/>
    </row>
    <row r="13" spans="23:27" ht="15.75" customHeight="1" x14ac:dyDescent="0.25">
      <c r="W13" s="6"/>
      <c r="Z13" s="10"/>
      <c r="AA13" s="11"/>
    </row>
    <row r="14" spans="23:27" ht="15.75" customHeight="1" x14ac:dyDescent="0.25">
      <c r="W14" s="6"/>
      <c r="Z14" s="12"/>
      <c r="AA14" s="9"/>
    </row>
    <row r="15" spans="23:27" ht="15.75" customHeight="1" x14ac:dyDescent="0.25">
      <c r="W15" s="6"/>
      <c r="Z15" s="12"/>
      <c r="AA15" s="9"/>
    </row>
    <row r="16" spans="23:27" ht="15.75" customHeight="1" x14ac:dyDescent="0.25">
      <c r="W16" s="6"/>
      <c r="Z16" s="12"/>
      <c r="AA16" s="9"/>
    </row>
    <row r="17" spans="23:27" ht="15.75" customHeight="1" x14ac:dyDescent="0.25">
      <c r="W17" s="6"/>
      <c r="Z17" s="12"/>
      <c r="AA17" s="9"/>
    </row>
    <row r="18" spans="23:27" ht="15.75" customHeight="1" x14ac:dyDescent="0.25">
      <c r="W18" s="6"/>
      <c r="Z18" s="12"/>
      <c r="AA18" s="9"/>
    </row>
    <row r="19" spans="23:27" ht="15.75" customHeight="1" x14ac:dyDescent="0.25">
      <c r="W19" s="6"/>
      <c r="Z19" s="12"/>
      <c r="AA19" s="9"/>
    </row>
    <row r="20" spans="23:27" ht="15.75" customHeight="1" x14ac:dyDescent="0.25">
      <c r="W20" s="6"/>
      <c r="Z20" s="12"/>
      <c r="AA20" s="9"/>
    </row>
    <row r="21" spans="23:27" ht="15.75" customHeight="1" x14ac:dyDescent="0.25">
      <c r="W21" s="6"/>
      <c r="Z21" s="12"/>
      <c r="AA21" s="9"/>
    </row>
    <row r="22" spans="23:27" ht="15.75" customHeight="1" x14ac:dyDescent="0.25">
      <c r="W22" s="6"/>
      <c r="Z22" s="12"/>
      <c r="AA22" s="9"/>
    </row>
    <row r="23" spans="23:27" ht="15.75" customHeight="1" x14ac:dyDescent="0.25">
      <c r="W23" s="6"/>
      <c r="Z23" s="12"/>
      <c r="AA23" s="9"/>
    </row>
    <row r="24" spans="23:27" ht="15.75" customHeight="1" x14ac:dyDescent="0.25">
      <c r="W24" s="6"/>
      <c r="Z24" s="12"/>
      <c r="AA24" s="9"/>
    </row>
    <row r="25" spans="23:27" ht="15.75" customHeight="1" x14ac:dyDescent="0.25">
      <c r="W25" s="6"/>
      <c r="Z25" s="12"/>
      <c r="AA25" s="9"/>
    </row>
    <row r="26" spans="23:27" ht="15.75" customHeight="1" x14ac:dyDescent="0.25">
      <c r="W26" s="6"/>
      <c r="Z26" s="12"/>
      <c r="AA26" s="9"/>
    </row>
    <row r="27" spans="23:27" ht="15.75" customHeight="1" x14ac:dyDescent="0.25">
      <c r="W27" s="6"/>
      <c r="Z27" s="12"/>
      <c r="AA27" s="9"/>
    </row>
    <row r="28" spans="23:27" ht="15.75" customHeight="1" x14ac:dyDescent="0.25">
      <c r="W28" s="6"/>
      <c r="Z28" s="12"/>
      <c r="AA28" s="9"/>
    </row>
    <row r="29" spans="23:27" ht="15.75" customHeight="1" x14ac:dyDescent="0.25">
      <c r="W29" s="7"/>
      <c r="Z29" s="13"/>
      <c r="AA29" s="14"/>
    </row>
    <row r="33" spans="33:33" ht="15.75" customHeight="1" x14ac:dyDescent="0.25">
      <c r="AG33" s="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Y40:Y42"/>
  <sheetViews>
    <sheetView workbookViewId="0">
      <selection activeCell="Y21" sqref="Y21"/>
    </sheetView>
  </sheetViews>
  <sheetFormatPr defaultColWidth="14.44140625" defaultRowHeight="15.75" customHeight="1" x14ac:dyDescent="0.25"/>
  <sheetData>
    <row r="40" spans="25:25" ht="15.75" customHeight="1" x14ac:dyDescent="0.25">
      <c r="Y40" s="8"/>
    </row>
    <row r="41" spans="25:25" ht="15.75" customHeight="1" x14ac:dyDescent="0.25">
      <c r="Y41" s="8"/>
    </row>
    <row r="42" spans="25:25" ht="15.75" customHeight="1" x14ac:dyDescent="0.25">
      <c r="Y42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X28:X31"/>
  <sheetViews>
    <sheetView workbookViewId="0">
      <selection activeCell="Y10" sqref="Y10"/>
    </sheetView>
  </sheetViews>
  <sheetFormatPr defaultColWidth="14.44140625" defaultRowHeight="15.75" customHeight="1" x14ac:dyDescent="0.25"/>
  <sheetData>
    <row r="28" spans="24:24" ht="15.75" customHeight="1" x14ac:dyDescent="0.25">
      <c r="X28" s="9"/>
    </row>
    <row r="29" spans="24:24" ht="15.75" customHeight="1" x14ac:dyDescent="0.25">
      <c r="X29" s="9"/>
    </row>
    <row r="30" spans="24:24" ht="15.75" customHeight="1" x14ac:dyDescent="0.25">
      <c r="X30" s="9"/>
    </row>
    <row r="31" spans="24:24" ht="15.75" customHeight="1" x14ac:dyDescent="0.25">
      <c r="X31" s="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Y26:Y31"/>
  <sheetViews>
    <sheetView tabSelected="1" topLeftCell="K7" workbookViewId="0">
      <selection activeCell="X20" sqref="X20"/>
    </sheetView>
  </sheetViews>
  <sheetFormatPr defaultColWidth="14.44140625" defaultRowHeight="15.75" customHeight="1" x14ac:dyDescent="0.25"/>
  <sheetData>
    <row r="26" spans="25:25" ht="15.75" customHeight="1" x14ac:dyDescent="0.25">
      <c r="Y26" s="9"/>
    </row>
    <row r="27" spans="25:25" ht="15.75" customHeight="1" x14ac:dyDescent="0.25">
      <c r="Y27" s="9"/>
    </row>
    <row r="28" spans="25:25" ht="15.75" customHeight="1" x14ac:dyDescent="0.25">
      <c r="Y28" s="9"/>
    </row>
    <row r="29" spans="25:25" ht="15.75" customHeight="1" x14ac:dyDescent="0.25">
      <c r="Y29" s="9"/>
    </row>
    <row r="30" spans="25:25" ht="15.75" customHeight="1" x14ac:dyDescent="0.25">
      <c r="Y30" s="9"/>
    </row>
    <row r="31" spans="25:25" ht="15.75" customHeight="1" x14ac:dyDescent="0.25">
      <c r="Y31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Collected Data Site 1289</vt:lpstr>
      <vt:lpstr>Discharge vs Depth</vt:lpstr>
      <vt:lpstr>Discharge vs Width</vt:lpstr>
      <vt:lpstr>Discharge vs Area</vt:lpstr>
      <vt:lpstr>Discharge vs Velocity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Fahmidah Ashraf</dc:creator>
  <cp:lastModifiedBy>Ruma</cp:lastModifiedBy>
  <dcterms:created xsi:type="dcterms:W3CDTF">2021-07-17T00:20:39Z</dcterms:created>
  <dcterms:modified xsi:type="dcterms:W3CDTF">2021-07-17T00:20:40Z</dcterms:modified>
</cp:coreProperties>
</file>